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https://hertshtengroup-my.sharepoint.com/personal/sujay_bhaumik_hertshtengroup_com/Documents/FILES/"/>
    </mc:Choice>
  </mc:AlternateContent>
  <xr:revisionPtr revIDLastSave="0" documentId="8_{490F6E08-20C4-4E7C-80C4-F39A5BFE263E}" xr6:coauthVersionLast="47" xr6:coauthVersionMax="47" xr10:uidLastSave="{00000000-0000-0000-0000-000000000000}"/>
  <bookViews>
    <workbookView xWindow="-120" yWindow="-120" windowWidth="38640" windowHeight="21240" xr2:uid="{00000000-000D-0000-FFFF-FFFF00000000}"/>
  </bookViews>
  <sheets>
    <sheet name="Journal Live" sheetId="1" r:id="rId1"/>
  </sheets>
  <definedNames>
    <definedName name="_xlnm._FilterDatabase" localSheetId="0" hidden="1">'Journal Live'!$A$2:$BF$1234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93" i="1" l="1"/>
  <c r="Y1193" i="1"/>
  <c r="BG1184" i="1"/>
  <c r="BH1184" i="1"/>
  <c r="BI1184" i="1"/>
  <c r="BL1184" i="1"/>
  <c r="BP1184" i="1"/>
  <c r="BQ1184" i="1"/>
  <c r="BT1184" i="1"/>
  <c r="BV1184" i="1"/>
  <c r="BW1184" i="1"/>
  <c r="BX1184" i="1"/>
  <c r="BZ1184" i="1"/>
  <c r="BG1185" i="1"/>
  <c r="BH1185" i="1"/>
  <c r="BI1185" i="1"/>
  <c r="BL1185" i="1"/>
  <c r="BP1185" i="1"/>
  <c r="BQ1185" i="1"/>
  <c r="BT1185" i="1"/>
  <c r="BV1185" i="1"/>
  <c r="BW1185" i="1"/>
  <c r="BX1185" i="1"/>
  <c r="BZ1185" i="1"/>
  <c r="BG1186" i="1"/>
  <c r="BH1186" i="1"/>
  <c r="BI1186" i="1"/>
  <c r="BL1186" i="1"/>
  <c r="BP1186" i="1"/>
  <c r="BQ1186" i="1"/>
  <c r="BT1186" i="1"/>
  <c r="BV1186" i="1"/>
  <c r="BW1186" i="1"/>
  <c r="BX1186" i="1"/>
  <c r="BZ1186" i="1"/>
  <c r="BG1187" i="1"/>
  <c r="BH1187" i="1"/>
  <c r="BI1187" i="1"/>
  <c r="BL1187" i="1"/>
  <c r="BP1187" i="1"/>
  <c r="BQ1187" i="1"/>
  <c r="BT1187" i="1"/>
  <c r="BV1187" i="1"/>
  <c r="BW1187" i="1"/>
  <c r="BX1187" i="1"/>
  <c r="BZ1187" i="1"/>
  <c r="BG1188" i="1"/>
  <c r="BH1188" i="1"/>
  <c r="BI1188" i="1"/>
  <c r="BL1188" i="1"/>
  <c r="BP1188" i="1"/>
  <c r="BQ1188" i="1"/>
  <c r="BT1188" i="1"/>
  <c r="BV1188" i="1"/>
  <c r="BW1188" i="1"/>
  <c r="BX1188" i="1"/>
  <c r="BZ1188" i="1"/>
  <c r="BG1189" i="1"/>
  <c r="BH1189" i="1"/>
  <c r="BI1189" i="1"/>
  <c r="BL1189" i="1"/>
  <c r="BP1189" i="1"/>
  <c r="BQ1189" i="1"/>
  <c r="BT1189" i="1"/>
  <c r="BV1189" i="1"/>
  <c r="BW1189" i="1"/>
  <c r="BX1189" i="1"/>
  <c r="BZ1189" i="1"/>
  <c r="BG1190" i="1"/>
  <c r="BH1190" i="1"/>
  <c r="BI1190" i="1"/>
  <c r="BL1190" i="1"/>
  <c r="BP1190" i="1"/>
  <c r="BQ1190" i="1"/>
  <c r="BT1190" i="1"/>
  <c r="BV1190" i="1"/>
  <c r="BW1190" i="1"/>
  <c r="BX1190" i="1"/>
  <c r="BZ1190" i="1"/>
  <c r="BG1191" i="1"/>
  <c r="BH1191" i="1"/>
  <c r="BI1191" i="1"/>
  <c r="BL1191" i="1"/>
  <c r="BP1191" i="1"/>
  <c r="BQ1191" i="1"/>
  <c r="BT1191" i="1"/>
  <c r="BV1191" i="1"/>
  <c r="BW1191" i="1"/>
  <c r="BX1191" i="1"/>
  <c r="BZ1191" i="1"/>
  <c r="BG1192" i="1"/>
  <c r="BH1192" i="1"/>
  <c r="BI1192" i="1"/>
  <c r="BL1192" i="1"/>
  <c r="BP1192" i="1"/>
  <c r="BQ1192" i="1"/>
  <c r="BT1192" i="1"/>
  <c r="BV1192" i="1"/>
  <c r="BW1192" i="1"/>
  <c r="BX1192" i="1"/>
  <c r="BZ1192" i="1"/>
  <c r="BI1193" i="1"/>
  <c r="BL1193" i="1"/>
  <c r="BP1193" i="1"/>
  <c r="BQ1193" i="1"/>
  <c r="BT1193" i="1"/>
  <c r="BV1193" i="1"/>
  <c r="BW1193" i="1"/>
  <c r="BX1193" i="1"/>
  <c r="BZ1193" i="1"/>
  <c r="BI1194" i="1"/>
  <c r="BL1194" i="1"/>
  <c r="BP1194" i="1"/>
  <c r="BQ1194" i="1"/>
  <c r="BT1194" i="1"/>
  <c r="BV1194" i="1"/>
  <c r="BW1194" i="1"/>
  <c r="BX1194" i="1"/>
  <c r="BZ1194" i="1"/>
  <c r="BI1195" i="1"/>
  <c r="BL1195" i="1"/>
  <c r="BP1195" i="1"/>
  <c r="BQ1195" i="1"/>
  <c r="BT1195" i="1"/>
  <c r="BV1195" i="1"/>
  <c r="BW1195" i="1"/>
  <c r="BX1195" i="1"/>
  <c r="BZ1195" i="1"/>
  <c r="BI1196" i="1"/>
  <c r="BL1196" i="1"/>
  <c r="BP1196" i="1"/>
  <c r="BQ1196" i="1"/>
  <c r="BT1196" i="1"/>
  <c r="BV1196" i="1"/>
  <c r="BW1196" i="1"/>
  <c r="BX1196" i="1"/>
  <c r="BZ1196" i="1"/>
  <c r="BI1197" i="1"/>
  <c r="BL1197" i="1"/>
  <c r="BP1197" i="1"/>
  <c r="BQ1197" i="1"/>
  <c r="BT1197" i="1"/>
  <c r="BV1197" i="1"/>
  <c r="BW1197" i="1"/>
  <c r="BX1197" i="1"/>
  <c r="BZ1197" i="1"/>
  <c r="BI1198" i="1"/>
  <c r="BL1198" i="1"/>
  <c r="BP1198" i="1"/>
  <c r="BQ1198" i="1"/>
  <c r="BT1198" i="1"/>
  <c r="BV1198" i="1"/>
  <c r="BW1198" i="1"/>
  <c r="BX1198" i="1"/>
  <c r="BZ1198" i="1"/>
  <c r="BI1199" i="1"/>
  <c r="BL1199" i="1"/>
  <c r="BP1199" i="1"/>
  <c r="BQ1199" i="1"/>
  <c r="BT1199" i="1"/>
  <c r="BV1199" i="1"/>
  <c r="BW1199" i="1"/>
  <c r="BX1199" i="1"/>
  <c r="BZ1199" i="1"/>
  <c r="BI1200" i="1"/>
  <c r="BL1200" i="1"/>
  <c r="BP1200" i="1"/>
  <c r="BQ1200" i="1"/>
  <c r="BT1200" i="1"/>
  <c r="BV1200" i="1"/>
  <c r="BW1200" i="1"/>
  <c r="BX1200" i="1"/>
  <c r="BZ1200" i="1"/>
  <c r="BI1201" i="1"/>
  <c r="BL1201" i="1"/>
  <c r="BP1201" i="1"/>
  <c r="BQ1201" i="1"/>
  <c r="BT1201" i="1"/>
  <c r="BV1201" i="1"/>
  <c r="BW1201" i="1"/>
  <c r="BX1201" i="1"/>
  <c r="BZ1201" i="1"/>
  <c r="BI1202" i="1"/>
  <c r="BL1202" i="1"/>
  <c r="BP1202" i="1"/>
  <c r="BQ1202" i="1"/>
  <c r="BT1202" i="1"/>
  <c r="BV1202" i="1"/>
  <c r="BW1202" i="1"/>
  <c r="BX1202" i="1"/>
  <c r="BZ1202" i="1"/>
  <c r="BI1203" i="1"/>
  <c r="BL1203" i="1"/>
  <c r="BP1203" i="1"/>
  <c r="BQ1203" i="1"/>
  <c r="BT1203" i="1"/>
  <c r="BV1203" i="1"/>
  <c r="BW1203" i="1"/>
  <c r="BX1203" i="1"/>
  <c r="BZ1203" i="1"/>
  <c r="BI1204" i="1"/>
  <c r="BL1204" i="1"/>
  <c r="BP1204" i="1"/>
  <c r="BQ1204" i="1"/>
  <c r="BT1204" i="1"/>
  <c r="BV1204" i="1"/>
  <c r="BW1204" i="1"/>
  <c r="BX1204" i="1"/>
  <c r="BZ1204" i="1"/>
  <c r="BI1205" i="1"/>
  <c r="BL1205" i="1"/>
  <c r="BP1205" i="1"/>
  <c r="BQ1205" i="1"/>
  <c r="BT1205" i="1"/>
  <c r="BV1205" i="1"/>
  <c r="BW1205" i="1"/>
  <c r="BX1205" i="1"/>
  <c r="BZ1205" i="1"/>
  <c r="BI1206" i="1"/>
  <c r="BL1206" i="1"/>
  <c r="BP1206" i="1"/>
  <c r="BQ1206" i="1"/>
  <c r="BT1206" i="1"/>
  <c r="BV1206" i="1"/>
  <c r="BW1206" i="1"/>
  <c r="BX1206" i="1"/>
  <c r="BZ1206" i="1"/>
  <c r="BI1207" i="1"/>
  <c r="BL1207" i="1"/>
  <c r="BP1207" i="1"/>
  <c r="BQ1207" i="1"/>
  <c r="BT1207" i="1"/>
  <c r="BV1207" i="1"/>
  <c r="BW1207" i="1"/>
  <c r="BX1207" i="1"/>
  <c r="BZ1207" i="1"/>
  <c r="BI1208" i="1"/>
  <c r="BL1208" i="1"/>
  <c r="BP1208" i="1"/>
  <c r="BQ1208" i="1"/>
  <c r="BT1208" i="1"/>
  <c r="BV1208" i="1"/>
  <c r="BW1208" i="1"/>
  <c r="BX1208" i="1"/>
  <c r="BZ1208" i="1"/>
  <c r="BI1209" i="1"/>
  <c r="BL1209" i="1"/>
  <c r="BP1209" i="1"/>
  <c r="BQ1209" i="1"/>
  <c r="BT1209" i="1"/>
  <c r="BV1209" i="1"/>
  <c r="BW1209" i="1"/>
  <c r="BX1209" i="1"/>
  <c r="BZ1209" i="1"/>
  <c r="BI1210" i="1"/>
  <c r="BL1210" i="1"/>
  <c r="BP1210" i="1"/>
  <c r="BQ1210" i="1"/>
  <c r="BT1210" i="1"/>
  <c r="BV1210" i="1"/>
  <c r="BW1210" i="1"/>
  <c r="BX1210" i="1"/>
  <c r="BZ1210" i="1"/>
  <c r="BI1211" i="1"/>
  <c r="BL1211" i="1"/>
  <c r="BP1211" i="1"/>
  <c r="BQ1211" i="1"/>
  <c r="BT1211" i="1"/>
  <c r="BV1211" i="1"/>
  <c r="BW1211" i="1"/>
  <c r="BX1211" i="1"/>
  <c r="BZ1211" i="1"/>
  <c r="BI1212" i="1"/>
  <c r="BL1212" i="1"/>
  <c r="BP1212" i="1"/>
  <c r="BQ1212" i="1"/>
  <c r="BT1212" i="1"/>
  <c r="BV1212" i="1"/>
  <c r="BW1212" i="1"/>
  <c r="BX1212" i="1"/>
  <c r="BZ1212" i="1"/>
  <c r="BI1213" i="1"/>
  <c r="BL1213" i="1"/>
  <c r="BP1213" i="1"/>
  <c r="BQ1213" i="1"/>
  <c r="BT1213" i="1"/>
  <c r="BV1213" i="1"/>
  <c r="BW1213" i="1"/>
  <c r="BX1213" i="1"/>
  <c r="BZ1213" i="1"/>
  <c r="BI1214" i="1"/>
  <c r="BL1214" i="1"/>
  <c r="BP1214" i="1"/>
  <c r="BQ1214" i="1"/>
  <c r="BT1214" i="1"/>
  <c r="BV1214" i="1"/>
  <c r="BW1214" i="1"/>
  <c r="BX1214" i="1"/>
  <c r="BZ1214" i="1"/>
  <c r="BI1215" i="1"/>
  <c r="BL1215" i="1"/>
  <c r="BP1215" i="1"/>
  <c r="BQ1215" i="1"/>
  <c r="BT1215" i="1"/>
  <c r="BV1215" i="1"/>
  <c r="BW1215" i="1"/>
  <c r="BX1215" i="1"/>
  <c r="BZ1215" i="1"/>
  <c r="BI1216" i="1"/>
  <c r="BL1216" i="1"/>
  <c r="BP1216" i="1"/>
  <c r="BQ1216" i="1"/>
  <c r="BT1216" i="1"/>
  <c r="BV1216" i="1"/>
  <c r="BW1216" i="1"/>
  <c r="BX1216" i="1"/>
  <c r="BZ1216" i="1"/>
  <c r="BI1217" i="1"/>
  <c r="BL1217" i="1"/>
  <c r="BP1217" i="1"/>
  <c r="BQ1217" i="1"/>
  <c r="BT1217" i="1"/>
  <c r="BV1217" i="1"/>
  <c r="BW1217" i="1"/>
  <c r="BX1217" i="1"/>
  <c r="BZ1217" i="1"/>
  <c r="BI1218" i="1"/>
  <c r="BL1218" i="1"/>
  <c r="BP1218" i="1"/>
  <c r="BQ1218" i="1"/>
  <c r="BT1218" i="1"/>
  <c r="BV1218" i="1"/>
  <c r="BW1218" i="1"/>
  <c r="BX1218" i="1"/>
  <c r="BZ1218" i="1"/>
  <c r="BI1219" i="1"/>
  <c r="BL1219" i="1"/>
  <c r="BP1219" i="1"/>
  <c r="BQ1219" i="1"/>
  <c r="BT1219" i="1"/>
  <c r="BV1219" i="1"/>
  <c r="BW1219" i="1"/>
  <c r="BX1219" i="1"/>
  <c r="BZ1219" i="1"/>
  <c r="BI1220" i="1"/>
  <c r="BL1220" i="1"/>
  <c r="BP1220" i="1"/>
  <c r="BQ1220" i="1"/>
  <c r="BT1220" i="1"/>
  <c r="BV1220" i="1"/>
  <c r="BW1220" i="1"/>
  <c r="BX1220" i="1"/>
  <c r="BZ1220" i="1"/>
  <c r="BI1221" i="1"/>
  <c r="BL1221" i="1"/>
  <c r="BP1221" i="1"/>
  <c r="BQ1221" i="1"/>
  <c r="BT1221" i="1"/>
  <c r="BV1221" i="1"/>
  <c r="BW1221" i="1"/>
  <c r="BX1221" i="1"/>
  <c r="BZ1221" i="1"/>
  <c r="BI1222" i="1"/>
  <c r="BL1222" i="1"/>
  <c r="BP1222" i="1"/>
  <c r="BQ1222" i="1"/>
  <c r="BT1222" i="1"/>
  <c r="BV1222" i="1"/>
  <c r="BW1222" i="1"/>
  <c r="BX1222" i="1"/>
  <c r="BZ1222" i="1"/>
  <c r="BI1223" i="1"/>
  <c r="BL1223" i="1"/>
  <c r="BP1223" i="1"/>
  <c r="BQ1223" i="1"/>
  <c r="BT1223" i="1"/>
  <c r="BV1223" i="1"/>
  <c r="BW1223" i="1"/>
  <c r="BX1223" i="1"/>
  <c r="BZ1223" i="1"/>
  <c r="BI1224" i="1"/>
  <c r="BL1224" i="1"/>
  <c r="BP1224" i="1"/>
  <c r="BQ1224" i="1"/>
  <c r="BT1224" i="1"/>
  <c r="BV1224" i="1"/>
  <c r="BW1224" i="1"/>
  <c r="BX1224" i="1"/>
  <c r="BZ1224" i="1"/>
  <c r="BI1225" i="1"/>
  <c r="BL1225" i="1"/>
  <c r="BP1225" i="1"/>
  <c r="BQ1225" i="1"/>
  <c r="BT1225" i="1"/>
  <c r="BV1225" i="1"/>
  <c r="BW1225" i="1"/>
  <c r="BX1225" i="1"/>
  <c r="BZ1225" i="1"/>
  <c r="BI1226" i="1"/>
  <c r="BL1226" i="1"/>
  <c r="BP1226" i="1"/>
  <c r="BQ1226" i="1"/>
  <c r="BT1226" i="1"/>
  <c r="BV1226" i="1"/>
  <c r="BW1226" i="1"/>
  <c r="BX1226" i="1"/>
  <c r="BZ1226" i="1"/>
  <c r="BI1227" i="1"/>
  <c r="BL1227" i="1"/>
  <c r="BP1227" i="1"/>
  <c r="BQ1227" i="1"/>
  <c r="BT1227" i="1"/>
  <c r="BV1227" i="1"/>
  <c r="BW1227" i="1"/>
  <c r="BX1227" i="1"/>
  <c r="BZ1227" i="1"/>
  <c r="BI1228" i="1"/>
  <c r="BL1228" i="1"/>
  <c r="BP1228" i="1"/>
  <c r="BQ1228" i="1"/>
  <c r="BT1228" i="1"/>
  <c r="BV1228" i="1"/>
  <c r="BW1228" i="1"/>
  <c r="BX1228" i="1"/>
  <c r="BZ1228" i="1"/>
  <c r="BI1229" i="1"/>
  <c r="BL1229" i="1"/>
  <c r="BP1229" i="1"/>
  <c r="BQ1229" i="1"/>
  <c r="BT1229" i="1"/>
  <c r="BV1229" i="1"/>
  <c r="BW1229" i="1"/>
  <c r="BX1229" i="1"/>
  <c r="BZ1229" i="1"/>
  <c r="BI1230" i="1"/>
  <c r="BL1230" i="1"/>
  <c r="BP1230" i="1"/>
  <c r="BQ1230" i="1"/>
  <c r="BT1230" i="1"/>
  <c r="BV1230" i="1"/>
  <c r="BW1230" i="1"/>
  <c r="BX1230" i="1"/>
  <c r="BZ1230" i="1"/>
  <c r="BI1231" i="1"/>
  <c r="BL1231" i="1"/>
  <c r="BP1231" i="1"/>
  <c r="BQ1231" i="1"/>
  <c r="BT1231" i="1"/>
  <c r="BV1231" i="1"/>
  <c r="BW1231" i="1"/>
  <c r="BX1231" i="1"/>
  <c r="BZ1231" i="1"/>
  <c r="BI1232" i="1"/>
  <c r="BL1232" i="1"/>
  <c r="BP1232" i="1"/>
  <c r="BQ1232" i="1"/>
  <c r="BT1232" i="1"/>
  <c r="BV1232" i="1"/>
  <c r="BW1232" i="1"/>
  <c r="BX1232" i="1"/>
  <c r="BZ1232" i="1"/>
  <c r="BI1233" i="1"/>
  <c r="BL1233" i="1"/>
  <c r="BP1233" i="1"/>
  <c r="BQ1233" i="1"/>
  <c r="BT1233" i="1"/>
  <c r="BV1233" i="1"/>
  <c r="BW1233" i="1"/>
  <c r="BX1233" i="1"/>
  <c r="BZ1233" i="1"/>
  <c r="BI1234" i="1"/>
  <c r="BL1234" i="1"/>
  <c r="BP1234" i="1"/>
  <c r="BQ1234" i="1"/>
  <c r="BT1234" i="1"/>
  <c r="BV1234" i="1"/>
  <c r="BW1234" i="1"/>
  <c r="BX1234" i="1"/>
  <c r="BZ1234" i="1"/>
  <c r="AV1193" i="1"/>
  <c r="AU1193" i="1"/>
  <c r="AT1193" i="1"/>
  <c r="AQ1193" i="1"/>
  <c r="AL1193" i="1"/>
  <c r="AM1193" i="1" s="1"/>
  <c r="AV1192" i="1"/>
  <c r="AU1192" i="1"/>
  <c r="AT1192" i="1"/>
  <c r="AQ1192" i="1"/>
  <c r="Z1192" i="1"/>
  <c r="AL1192" i="1" s="1"/>
  <c r="AM1192" i="1" s="1"/>
  <c r="Y1192" i="1"/>
  <c r="AV1191" i="1"/>
  <c r="AU1191" i="1"/>
  <c r="AT1191" i="1"/>
  <c r="AQ1191" i="1"/>
  <c r="Z1191" i="1"/>
  <c r="AL1191" i="1" s="1"/>
  <c r="AM1191" i="1" s="1"/>
  <c r="Y1191" i="1"/>
  <c r="AV1190" i="1"/>
  <c r="AU1190" i="1"/>
  <c r="AT1190" i="1"/>
  <c r="AQ1190" i="1"/>
  <c r="Z1190" i="1"/>
  <c r="AL1190" i="1" s="1"/>
  <c r="AM1190" i="1" s="1"/>
  <c r="Y1190" i="1"/>
  <c r="AT1189" i="1"/>
  <c r="Z1189" i="1"/>
  <c r="AL1189" i="1" s="1"/>
  <c r="AM1189" i="1" s="1"/>
  <c r="Y1189" i="1"/>
  <c r="AT1188" i="1"/>
  <c r="Z1188" i="1"/>
  <c r="AL1188" i="1" s="1"/>
  <c r="AM1188" i="1" s="1"/>
  <c r="Y1188" i="1"/>
  <c r="AV1187" i="1"/>
  <c r="AU1187" i="1"/>
  <c r="AT1187" i="1"/>
  <c r="AQ1187" i="1"/>
  <c r="Z1187" i="1"/>
  <c r="AL1187" i="1" s="1"/>
  <c r="AM1187" i="1" s="1"/>
  <c r="Y1187" i="1"/>
  <c r="AV1186" i="1"/>
  <c r="AU1186" i="1"/>
  <c r="AT1186" i="1"/>
  <c r="AQ1186" i="1"/>
  <c r="AL1186" i="1"/>
  <c r="AM1186" i="1" s="1"/>
  <c r="AV1185" i="1"/>
  <c r="AU1185" i="1"/>
  <c r="AT1185" i="1"/>
  <c r="AQ1185" i="1"/>
  <c r="AL1185" i="1"/>
  <c r="AM1185" i="1" s="1"/>
  <c r="AT1184" i="1"/>
  <c r="Z1184" i="1"/>
  <c r="AL1184" i="1" s="1"/>
  <c r="AM1184" i="1" s="1"/>
  <c r="Y1184" i="1"/>
  <c r="AV1199" i="1"/>
  <c r="AU1199" i="1"/>
  <c r="AT1199" i="1"/>
  <c r="AQ1199" i="1"/>
  <c r="AL1199" i="1"/>
  <c r="AM1199" i="1" s="1"/>
  <c r="AV1198" i="1"/>
  <c r="AU1198" i="1"/>
  <c r="AT1198" i="1"/>
  <c r="AQ1198" i="1"/>
  <c r="AL1198" i="1"/>
  <c r="AM1198" i="1" s="1"/>
  <c r="AV1197" i="1"/>
  <c r="AU1197" i="1"/>
  <c r="AT1197" i="1"/>
  <c r="AQ1197" i="1"/>
  <c r="AL1197" i="1"/>
  <c r="AM1197" i="1" s="1"/>
  <c r="AV1196" i="1"/>
  <c r="AU1196" i="1"/>
  <c r="AT1196" i="1"/>
  <c r="AQ1196" i="1"/>
  <c r="AL1196" i="1"/>
  <c r="AM1196" i="1" s="1"/>
  <c r="AV1195" i="1"/>
  <c r="AU1195" i="1"/>
  <c r="AT1195" i="1"/>
  <c r="AQ1195" i="1"/>
  <c r="AL1195" i="1"/>
  <c r="AM1195" i="1" s="1"/>
  <c r="AV1194" i="1"/>
  <c r="AU1194" i="1"/>
  <c r="AT1194" i="1"/>
  <c r="AQ1194" i="1"/>
  <c r="AL1194" i="1"/>
  <c r="AM1194" i="1" s="1"/>
  <c r="AL1200" i="1"/>
  <c r="AM1200" i="1"/>
  <c r="AQ1200" i="1"/>
  <c r="AT1200" i="1"/>
  <c r="AV1200" i="1"/>
  <c r="AU1200" i="1" s="1"/>
  <c r="AL1201" i="1"/>
  <c r="AM1201" i="1"/>
  <c r="AQ1201" i="1"/>
  <c r="AT1201" i="1"/>
  <c r="AV1201" i="1"/>
  <c r="AU1201" i="1" s="1"/>
  <c r="AL1202" i="1"/>
  <c r="AM1202" i="1"/>
  <c r="AQ1202" i="1"/>
  <c r="AT1202" i="1"/>
  <c r="AV1202" i="1"/>
  <c r="AU1202" i="1" s="1"/>
  <c r="AL1203" i="1"/>
  <c r="AM1203" i="1"/>
  <c r="AQ1203" i="1"/>
  <c r="AT1203" i="1"/>
  <c r="AV1203" i="1"/>
  <c r="AU1203" i="1" s="1"/>
  <c r="AL1204" i="1"/>
  <c r="AM1204" i="1"/>
  <c r="AQ1204" i="1"/>
  <c r="AT1204" i="1"/>
  <c r="AV1204" i="1"/>
  <c r="AU1204" i="1" s="1"/>
  <c r="AL1205" i="1"/>
  <c r="AM1205" i="1"/>
  <c r="AQ1205" i="1"/>
  <c r="AT1205" i="1"/>
  <c r="AV1205" i="1"/>
  <c r="AU1205" i="1" s="1"/>
  <c r="AL1206" i="1"/>
  <c r="AM1206" i="1"/>
  <c r="AQ1206" i="1"/>
  <c r="AT1206" i="1"/>
  <c r="AV1206" i="1"/>
  <c r="AU1206" i="1" s="1"/>
  <c r="AL1207" i="1"/>
  <c r="AM1207" i="1"/>
  <c r="AQ1207" i="1"/>
  <c r="AT1207" i="1"/>
  <c r="AV1207" i="1"/>
  <c r="AU1207" i="1" s="1"/>
  <c r="AL1208" i="1"/>
  <c r="AM1208" i="1"/>
  <c r="AQ1208" i="1"/>
  <c r="AT1208" i="1"/>
  <c r="AV1208" i="1"/>
  <c r="AU1208" i="1" s="1"/>
  <c r="AL1209" i="1"/>
  <c r="AM1209" i="1"/>
  <c r="AQ1209" i="1"/>
  <c r="AT1209" i="1"/>
  <c r="AV1209" i="1"/>
  <c r="AU1209" i="1" s="1"/>
  <c r="Z1183" i="1"/>
  <c r="Y1183" i="1"/>
  <c r="Z1182" i="1"/>
  <c r="Y1182" i="1"/>
  <c r="BP1183" i="1"/>
  <c r="AT1183" i="1"/>
  <c r="AV1183" i="1" s="1"/>
  <c r="AU1183" i="1" s="1"/>
  <c r="AL1183" i="1"/>
  <c r="AM1183" i="1" s="1"/>
  <c r="BP1182" i="1"/>
  <c r="AT1182" i="1"/>
  <c r="AV1182" i="1" s="1"/>
  <c r="AU1182" i="1" s="1"/>
  <c r="AL1182" i="1"/>
  <c r="AM1182" i="1" s="1"/>
  <c r="Y1179" i="1"/>
  <c r="Z1179" i="1"/>
  <c r="Y1175" i="1"/>
  <c r="Z1175" i="1"/>
  <c r="Y1176" i="1"/>
  <c r="Z1176" i="1"/>
  <c r="Y1177" i="1"/>
  <c r="Z1177" i="1"/>
  <c r="Y1178" i="1"/>
  <c r="Z1178" i="1"/>
  <c r="AV1177" i="1"/>
  <c r="AU1177" i="1" s="1"/>
  <c r="BP1178" i="1"/>
  <c r="AT1178" i="1"/>
  <c r="AV1178" i="1" s="1"/>
  <c r="AU1178" i="1" s="1"/>
  <c r="AL1178" i="1"/>
  <c r="AM1178" i="1" s="1"/>
  <c r="BP1177" i="1"/>
  <c r="AT1177" i="1"/>
  <c r="AQ1177" i="1"/>
  <c r="AL1177" i="1"/>
  <c r="AM1177" i="1" s="1"/>
  <c r="BP1176" i="1"/>
  <c r="AT1176" i="1"/>
  <c r="AV1176" i="1" s="1"/>
  <c r="AU1176" i="1" s="1"/>
  <c r="AL1176" i="1"/>
  <c r="AM1176" i="1" s="1"/>
  <c r="BP1175" i="1"/>
  <c r="AT1175" i="1"/>
  <c r="AV1175" i="1" s="1"/>
  <c r="AU1175" i="1" s="1"/>
  <c r="AL1175" i="1"/>
  <c r="AM1175" i="1" s="1"/>
  <c r="BP1174" i="1"/>
  <c r="AV1174" i="1"/>
  <c r="AU1174" i="1"/>
  <c r="AT1174" i="1"/>
  <c r="AQ1174" i="1"/>
  <c r="AL1174" i="1"/>
  <c r="AM1174" i="1" s="1"/>
  <c r="BP1173" i="1"/>
  <c r="AV1173" i="1"/>
  <c r="AU1173" i="1"/>
  <c r="AT1173" i="1"/>
  <c r="AQ1173" i="1"/>
  <c r="AL1173" i="1"/>
  <c r="AM1173" i="1" s="1"/>
  <c r="BP1172" i="1"/>
  <c r="AV1172" i="1"/>
  <c r="AU1172" i="1"/>
  <c r="AT1172" i="1"/>
  <c r="AQ1172" i="1"/>
  <c r="AL1172" i="1"/>
  <c r="AM1172" i="1" s="1"/>
  <c r="Z1170" i="1"/>
  <c r="Y1170" i="1"/>
  <c r="Z1169" i="1"/>
  <c r="Y1169" i="1"/>
  <c r="Z1166" i="1"/>
  <c r="Y1166" i="1"/>
  <c r="Z1165" i="1"/>
  <c r="Y1165" i="1"/>
  <c r="AD1158" i="1"/>
  <c r="BP1171" i="1"/>
  <c r="AV1171" i="1"/>
  <c r="AU1171" i="1"/>
  <c r="AT1171" i="1"/>
  <c r="AQ1171" i="1"/>
  <c r="AL1171" i="1"/>
  <c r="AM1171" i="1" s="1"/>
  <c r="BP1170" i="1"/>
  <c r="AT1170" i="1"/>
  <c r="AV1170" i="1" s="1"/>
  <c r="AU1170" i="1" s="1"/>
  <c r="AL1170" i="1"/>
  <c r="AM1170" i="1" s="1"/>
  <c r="BP1169" i="1"/>
  <c r="AT1169" i="1"/>
  <c r="AV1169" i="1" s="1"/>
  <c r="AU1169" i="1" s="1"/>
  <c r="AL1169" i="1"/>
  <c r="AM1169" i="1" s="1"/>
  <c r="BP1168" i="1"/>
  <c r="AV1168" i="1"/>
  <c r="AU1168" i="1"/>
  <c r="AT1168" i="1"/>
  <c r="AQ1168" i="1"/>
  <c r="AL1168" i="1"/>
  <c r="AM1168" i="1" s="1"/>
  <c r="BP1167" i="1"/>
  <c r="AV1167" i="1"/>
  <c r="AU1167" i="1"/>
  <c r="AT1167" i="1"/>
  <c r="AQ1167" i="1"/>
  <c r="AL1167" i="1"/>
  <c r="AM1167" i="1" s="1"/>
  <c r="BP1166" i="1"/>
  <c r="AT1166" i="1"/>
  <c r="AV1166" i="1" s="1"/>
  <c r="AU1166" i="1" s="1"/>
  <c r="AL1166" i="1"/>
  <c r="AM1166" i="1" s="1"/>
  <c r="Z1164" i="1"/>
  <c r="Y1164" i="1"/>
  <c r="Z1162" i="1"/>
  <c r="Y1162" i="1"/>
  <c r="Z1163" i="1"/>
  <c r="Y1163" i="1"/>
  <c r="AS1161" i="1"/>
  <c r="AU1243" i="1" a="1"/>
  <c r="AU1243" i="1"/>
  <c r="Z1161" i="1"/>
  <c r="Y1161" i="1"/>
  <c r="Z1160" i="1"/>
  <c r="Y1160" i="1"/>
  <c r="Y1159" i="1"/>
  <c r="Z1159" i="1"/>
  <c r="Y1158" i="1"/>
  <c r="Z1158" i="1"/>
  <c r="Z1157" i="1"/>
  <c r="Y1157" i="1"/>
  <c r="BP1164" i="1"/>
  <c r="AT1164" i="1"/>
  <c r="AV1164" i="1" s="1"/>
  <c r="AU1164" i="1" s="1"/>
  <c r="AL1164" i="1"/>
  <c r="AM1164" i="1" s="1"/>
  <c r="BP1163" i="1"/>
  <c r="AT1163" i="1"/>
  <c r="AV1163" i="1" s="1"/>
  <c r="AU1163" i="1" s="1"/>
  <c r="AL1163" i="1"/>
  <c r="AM1163" i="1" s="1"/>
  <c r="BP1162" i="1"/>
  <c r="AT1162" i="1"/>
  <c r="AV1162" i="1" s="1"/>
  <c r="AU1162" i="1" s="1"/>
  <c r="AL1162" i="1"/>
  <c r="AM1162" i="1" s="1"/>
  <c r="BP1161" i="1"/>
  <c r="AT1161" i="1"/>
  <c r="AV1161" i="1" s="1"/>
  <c r="AU1161" i="1" s="1"/>
  <c r="AQ1161" i="1"/>
  <c r="AL1161" i="1"/>
  <c r="AM1161" i="1" s="1"/>
  <c r="BP1160" i="1"/>
  <c r="AT1160" i="1"/>
  <c r="AV1160" i="1" s="1"/>
  <c r="AU1160" i="1" s="1"/>
  <c r="AQ1160" i="1"/>
  <c r="AL1160" i="1"/>
  <c r="AM1160" i="1" s="1"/>
  <c r="BP1159" i="1"/>
  <c r="AT1159" i="1"/>
  <c r="AV1159" i="1" s="1"/>
  <c r="AU1159" i="1" s="1"/>
  <c r="AL1159" i="1"/>
  <c r="AM1159" i="1" s="1"/>
  <c r="BP1158" i="1"/>
  <c r="AT1158" i="1"/>
  <c r="AV1158" i="1" s="1"/>
  <c r="AU1158" i="1" s="1"/>
  <c r="AQ1158" i="1"/>
  <c r="AL1158" i="1"/>
  <c r="AM1158" i="1" s="1"/>
  <c r="BP1157" i="1"/>
  <c r="AT1157" i="1"/>
  <c r="AV1157" i="1" s="1"/>
  <c r="AU1157" i="1" s="1"/>
  <c r="AL1157" i="1"/>
  <c r="AM1157" i="1" s="1"/>
  <c r="Z1156" i="1"/>
  <c r="Y1156" i="1"/>
  <c r="Y1155" i="1"/>
  <c r="Z1155" i="1"/>
  <c r="Y1154" i="1"/>
  <c r="Z1154" i="1"/>
  <c r="Z1153" i="1"/>
  <c r="Y1153" i="1"/>
  <c r="Z1152" i="1"/>
  <c r="Y1152" i="1"/>
  <c r="Z1151" i="1"/>
  <c r="Y1151" i="1"/>
  <c r="BP1156" i="1"/>
  <c r="AT1156" i="1"/>
  <c r="AV1156" i="1" s="1"/>
  <c r="AU1156" i="1" s="1"/>
  <c r="AQ1156" i="1"/>
  <c r="AL1156" i="1"/>
  <c r="AM1156" i="1" s="1"/>
  <c r="BP1155" i="1"/>
  <c r="AT1155" i="1"/>
  <c r="AV1155" i="1" s="1"/>
  <c r="AU1155" i="1" s="1"/>
  <c r="AL1155" i="1"/>
  <c r="AM1155" i="1" s="1"/>
  <c r="BP1154" i="1"/>
  <c r="AT1154" i="1"/>
  <c r="AV1154" i="1" s="1"/>
  <c r="AU1154" i="1" s="1"/>
  <c r="AL1154" i="1"/>
  <c r="AM1154" i="1" s="1"/>
  <c r="BP1153" i="1"/>
  <c r="AT1153" i="1"/>
  <c r="AV1153" i="1" s="1"/>
  <c r="AU1153" i="1" s="1"/>
  <c r="AL1153" i="1"/>
  <c r="AM1153" i="1" s="1"/>
  <c r="BP1152" i="1"/>
  <c r="AT1152" i="1"/>
  <c r="AV1152" i="1" s="1"/>
  <c r="AU1152" i="1" s="1"/>
  <c r="AL1152" i="1"/>
  <c r="AM1152" i="1" s="1"/>
  <c r="BP1151" i="1"/>
  <c r="AT1151" i="1"/>
  <c r="AV1151" i="1" s="1"/>
  <c r="AU1151" i="1" s="1"/>
  <c r="AL1151" i="1"/>
  <c r="AM1151" i="1" s="1"/>
  <c r="BP1150" i="1"/>
  <c r="AV1150" i="1"/>
  <c r="AU1150" i="1"/>
  <c r="AT1150" i="1"/>
  <c r="AQ1150" i="1"/>
  <c r="AL1150" i="1"/>
  <c r="AM1150" i="1" s="1"/>
  <c r="BP1149" i="1"/>
  <c r="AV1149" i="1"/>
  <c r="AU1149" i="1"/>
  <c r="AT1149" i="1"/>
  <c r="AQ1149" i="1"/>
  <c r="AL1149" i="1"/>
  <c r="AM1149" i="1" s="1"/>
  <c r="Z1148" i="1"/>
  <c r="Y1148" i="1"/>
  <c r="Z1147" i="1"/>
  <c r="Y1147" i="1"/>
  <c r="BP1181" i="1"/>
  <c r="AV1181" i="1"/>
  <c r="AU1181" i="1"/>
  <c r="AT1181" i="1"/>
  <c r="AQ1181" i="1"/>
  <c r="AL1181" i="1"/>
  <c r="AM1181" i="1" s="1"/>
  <c r="BP1165" i="1"/>
  <c r="AT1165" i="1"/>
  <c r="AV1165" i="1" s="1"/>
  <c r="AU1165" i="1" s="1"/>
  <c r="AL1165" i="1"/>
  <c r="AM1165" i="1" s="1"/>
  <c r="BP1148" i="1"/>
  <c r="AT1148" i="1"/>
  <c r="AV1148" i="1" s="1"/>
  <c r="AU1148" i="1" s="1"/>
  <c r="AL1148" i="1"/>
  <c r="AM1148" i="1" s="1"/>
  <c r="BP1147" i="1"/>
  <c r="AT1147" i="1"/>
  <c r="AV1147" i="1" s="1"/>
  <c r="AU1147" i="1" s="1"/>
  <c r="AL1147" i="1"/>
  <c r="AM1147" i="1" s="1"/>
  <c r="Z1146" i="1"/>
  <c r="Y1146" i="1"/>
  <c r="Y1145" i="1"/>
  <c r="Z1145" i="1"/>
  <c r="AL1145" i="1" s="1"/>
  <c r="AD1144" i="1"/>
  <c r="Z1144" i="1"/>
  <c r="Y1144" i="1"/>
  <c r="Z1140" i="1"/>
  <c r="Y1140" i="1"/>
  <c r="AS1126" i="1"/>
  <c r="AS1119" i="1"/>
  <c r="Y1135" i="1"/>
  <c r="Z1135" i="1"/>
  <c r="AS1120" i="1"/>
  <c r="Z1126" i="1"/>
  <c r="Y1126" i="1"/>
  <c r="AD1119" i="1"/>
  <c r="Z1125" i="1"/>
  <c r="Y1125" i="1"/>
  <c r="Y1124" i="1"/>
  <c r="Z1124" i="1"/>
  <c r="BP1128" i="1"/>
  <c r="AV1128" i="1"/>
  <c r="AU1128" i="1"/>
  <c r="AT1128" i="1"/>
  <c r="AQ1128" i="1"/>
  <c r="AL1128" i="1"/>
  <c r="AM1128" i="1" s="1"/>
  <c r="BP1127" i="1"/>
  <c r="AV1127" i="1"/>
  <c r="AU1127" i="1"/>
  <c r="AT1127" i="1"/>
  <c r="AQ1127" i="1"/>
  <c r="AL1127" i="1"/>
  <c r="AM1127" i="1" s="1"/>
  <c r="BP1126" i="1"/>
  <c r="AT1126" i="1"/>
  <c r="AV1126" i="1" s="1"/>
  <c r="AU1126" i="1" s="1"/>
  <c r="AL1126" i="1"/>
  <c r="AM1126" i="1" s="1"/>
  <c r="BP1125" i="1"/>
  <c r="AT1125" i="1"/>
  <c r="AV1125" i="1" s="1"/>
  <c r="AU1125" i="1" s="1"/>
  <c r="AL1125" i="1"/>
  <c r="AM1125" i="1" s="1"/>
  <c r="BP1124" i="1"/>
  <c r="AT1124" i="1"/>
  <c r="AV1124" i="1" s="1"/>
  <c r="AU1124" i="1" s="1"/>
  <c r="AL1124" i="1"/>
  <c r="AM1124" i="1" s="1"/>
  <c r="AL1131" i="1"/>
  <c r="AM1131" i="1"/>
  <c r="AQ1131" i="1"/>
  <c r="AT1131" i="1"/>
  <c r="AV1131" i="1"/>
  <c r="AU1131" i="1" s="1"/>
  <c r="BP1131" i="1"/>
  <c r="Z1123" i="1"/>
  <c r="Y1123" i="1"/>
  <c r="BP1130" i="1"/>
  <c r="AV1130" i="1"/>
  <c r="AU1130" i="1"/>
  <c r="AT1130" i="1"/>
  <c r="AQ1130" i="1"/>
  <c r="AL1130" i="1"/>
  <c r="AM1130" i="1" s="1"/>
  <c r="BP1129" i="1"/>
  <c r="AV1129" i="1"/>
  <c r="AU1129" i="1"/>
  <c r="AT1129" i="1"/>
  <c r="AQ1129" i="1"/>
  <c r="AL1129" i="1"/>
  <c r="AM1129" i="1" s="1"/>
  <c r="BP1123" i="1"/>
  <c r="AT1123" i="1"/>
  <c r="AV1123" i="1" s="1"/>
  <c r="AU1123" i="1" s="1"/>
  <c r="AL1123" i="1"/>
  <c r="AM1123" i="1" s="1"/>
  <c r="Y1122" i="1"/>
  <c r="Z1122" i="1"/>
  <c r="Y1121" i="1"/>
  <c r="Z1121" i="1"/>
  <c r="AD1120" i="1"/>
  <c r="Z1120" i="1"/>
  <c r="AL1120" i="1" s="1"/>
  <c r="Y1120" i="1"/>
  <c r="Y1119" i="1"/>
  <c r="Z1119" i="1"/>
  <c r="AL1119" i="1" s="1"/>
  <c r="Y1118" i="1"/>
  <c r="Z1118" i="1"/>
  <c r="Y1117" i="1"/>
  <c r="Z1117" i="1"/>
  <c r="BP1120" i="1"/>
  <c r="AT1120" i="1"/>
  <c r="AV1120" i="1" s="1"/>
  <c r="AU1120" i="1" s="1"/>
  <c r="AM1120" i="1"/>
  <c r="BP1119" i="1"/>
  <c r="AT1119" i="1"/>
  <c r="AV1119" i="1" s="1"/>
  <c r="AU1119" i="1" s="1"/>
  <c r="AM1119" i="1"/>
  <c r="BP1118" i="1"/>
  <c r="AT1118" i="1"/>
  <c r="AV1118" i="1" s="1"/>
  <c r="AU1118" i="1" s="1"/>
  <c r="AL1118" i="1"/>
  <c r="AM1118" i="1" s="1"/>
  <c r="BP1117" i="1"/>
  <c r="AT1117" i="1"/>
  <c r="AV1117" i="1" s="1"/>
  <c r="AU1117" i="1" s="1"/>
  <c r="AL1117" i="1"/>
  <c r="AM1117" i="1" s="1"/>
  <c r="BP1116" i="1"/>
  <c r="AV1116" i="1"/>
  <c r="AU1116" i="1"/>
  <c r="AT1116" i="1"/>
  <c r="AQ1116" i="1"/>
  <c r="AL1116" i="1"/>
  <c r="AM1116" i="1" s="1"/>
  <c r="AS1082" i="1"/>
  <c r="Z1109" i="1"/>
  <c r="Y1109" i="1"/>
  <c r="AS1078" i="1"/>
  <c r="Z1108" i="1"/>
  <c r="Y1108" i="1"/>
  <c r="AS1076" i="1"/>
  <c r="Z1106" i="1"/>
  <c r="Y1106" i="1"/>
  <c r="Z1105" i="1"/>
  <c r="Y1105" i="1"/>
  <c r="Z1104" i="1"/>
  <c r="Y1104" i="1"/>
  <c r="Z1103" i="1"/>
  <c r="Y1103" i="1"/>
  <c r="Z1102" i="1"/>
  <c r="Y1102" i="1"/>
  <c r="AS1096" i="1"/>
  <c r="AS1087" i="1"/>
  <c r="Z1097" i="1"/>
  <c r="Y1097" i="1"/>
  <c r="Z1096" i="1"/>
  <c r="Y1096" i="1"/>
  <c r="Z1095" i="1"/>
  <c r="Y1095" i="1"/>
  <c r="AD1089" i="1"/>
  <c r="Z1089" i="1"/>
  <c r="Y1089" i="1"/>
  <c r="AT1082" i="1"/>
  <c r="AT1076" i="1"/>
  <c r="AT1087" i="1"/>
  <c r="Z1087" i="1"/>
  <c r="Y1087" i="1"/>
  <c r="AS1084" i="1"/>
  <c r="AD1075" i="1"/>
  <c r="AD1084" i="1"/>
  <c r="Y1084" i="1"/>
  <c r="Z1084" i="1"/>
  <c r="AL1084" i="1" s="1"/>
  <c r="AM1084" i="1" s="1"/>
  <c r="Y1083" i="1"/>
  <c r="Z1083" i="1"/>
  <c r="BP1087" i="1"/>
  <c r="AL1087" i="1"/>
  <c r="AM1087" i="1" s="1"/>
  <c r="BP1086" i="1"/>
  <c r="AV1086" i="1"/>
  <c r="AU1086" i="1" s="1"/>
  <c r="AT1086" i="1"/>
  <c r="AQ1086" i="1"/>
  <c r="AL1086" i="1"/>
  <c r="AM1086" i="1" s="1"/>
  <c r="BP1085" i="1"/>
  <c r="AV1085" i="1"/>
  <c r="AU1085" i="1" s="1"/>
  <c r="AT1085" i="1"/>
  <c r="AQ1085" i="1"/>
  <c r="AL1085" i="1"/>
  <c r="AM1085" i="1" s="1"/>
  <c r="BP1084" i="1"/>
  <c r="AT1084" i="1"/>
  <c r="AV1084" i="1" s="1"/>
  <c r="AU1084" i="1" s="1"/>
  <c r="BP1083" i="1"/>
  <c r="AT1083" i="1"/>
  <c r="AV1083" i="1" s="1"/>
  <c r="AU1083" i="1" s="1"/>
  <c r="AL1083" i="1"/>
  <c r="AM1083" i="1" s="1"/>
  <c r="Z1082" i="1"/>
  <c r="AL1082" i="1" s="1"/>
  <c r="AM1082" i="1" s="1"/>
  <c r="Y1082" i="1"/>
  <c r="Z1081" i="1"/>
  <c r="AL1081" i="1" s="1"/>
  <c r="AM1081" i="1" s="1"/>
  <c r="Y1081" i="1"/>
  <c r="Z1080" i="1"/>
  <c r="AL1080" i="1" s="1"/>
  <c r="AM1080" i="1" s="1"/>
  <c r="Y1080" i="1"/>
  <c r="AD1078" i="1"/>
  <c r="AT1078" i="1" s="1"/>
  <c r="Z1078" i="1"/>
  <c r="Y1078" i="1"/>
  <c r="BP1082" i="1"/>
  <c r="BP1081" i="1"/>
  <c r="AT1081" i="1"/>
  <c r="BP1080" i="1"/>
  <c r="AT1080" i="1"/>
  <c r="BP1079" i="1"/>
  <c r="AV1079" i="1"/>
  <c r="AU1079" i="1" s="1"/>
  <c r="AT1079" i="1"/>
  <c r="AQ1079" i="1"/>
  <c r="AL1079" i="1"/>
  <c r="AM1079" i="1" s="1"/>
  <c r="BP1078" i="1"/>
  <c r="AL1078" i="1"/>
  <c r="AM1078" i="1" s="1"/>
  <c r="Z1077" i="1"/>
  <c r="Y1077" i="1"/>
  <c r="Y1076" i="1"/>
  <c r="Z1076" i="1"/>
  <c r="AL1076" i="1" s="1"/>
  <c r="AM1076" i="1" s="1"/>
  <c r="Y1075" i="1"/>
  <c r="Z1075" i="1"/>
  <c r="Y1072" i="1"/>
  <c r="Z1072" i="1"/>
  <c r="AL1072" i="1" s="1"/>
  <c r="AM1072" i="1" s="1"/>
  <c r="Y1071" i="1"/>
  <c r="Z1071" i="1"/>
  <c r="Y1068" i="1"/>
  <c r="Z1068" i="1"/>
  <c r="Z1067" i="1"/>
  <c r="AL1067" i="1" s="1"/>
  <c r="AM1067" i="1" s="1"/>
  <c r="Y1067" i="1"/>
  <c r="Z1066" i="1"/>
  <c r="AL1066" i="1" s="1"/>
  <c r="AM1066" i="1" s="1"/>
  <c r="Y1066" i="1"/>
  <c r="Z1065" i="1"/>
  <c r="Y1065" i="1"/>
  <c r="AS1059" i="1"/>
  <c r="BP1073" i="1"/>
  <c r="AV1073" i="1"/>
  <c r="AU1073" i="1" s="1"/>
  <c r="AT1073" i="1"/>
  <c r="AQ1073" i="1"/>
  <c r="AL1073" i="1"/>
  <c r="AM1073" i="1" s="1"/>
  <c r="BP1072" i="1"/>
  <c r="AT1072" i="1"/>
  <c r="BP1071" i="1"/>
  <c r="AT1071" i="1"/>
  <c r="AV1071" i="1" s="1"/>
  <c r="AU1071" i="1" s="1"/>
  <c r="AL1071" i="1"/>
  <c r="AM1071" i="1" s="1"/>
  <c r="BP1070" i="1"/>
  <c r="AV1070" i="1"/>
  <c r="AU1070" i="1" s="1"/>
  <c r="AT1070" i="1"/>
  <c r="AQ1070" i="1"/>
  <c r="AL1070" i="1"/>
  <c r="AM1070" i="1" s="1"/>
  <c r="BP1069" i="1"/>
  <c r="AV1069" i="1"/>
  <c r="AU1069" i="1" s="1"/>
  <c r="AT1069" i="1"/>
  <c r="AQ1069" i="1"/>
  <c r="AL1069" i="1"/>
  <c r="AM1069" i="1" s="1"/>
  <c r="BP1068" i="1"/>
  <c r="AT1068" i="1"/>
  <c r="AL1068" i="1"/>
  <c r="AM1068" i="1" s="1"/>
  <c r="BP1067" i="1"/>
  <c r="AT1067" i="1"/>
  <c r="BP1066" i="1"/>
  <c r="AT1066" i="1"/>
  <c r="BP1065" i="1"/>
  <c r="AT1065" i="1"/>
  <c r="AL1065" i="1"/>
  <c r="AM1065" i="1" s="1"/>
  <c r="BP1088" i="1"/>
  <c r="AV1088" i="1"/>
  <c r="AU1088" i="1" s="1"/>
  <c r="AT1088" i="1"/>
  <c r="AQ1088" i="1"/>
  <c r="AL1088" i="1"/>
  <c r="AM1088" i="1" s="1"/>
  <c r="BP1077" i="1"/>
  <c r="AT1077" i="1"/>
  <c r="AV1077" i="1" s="1"/>
  <c r="AU1077" i="1" s="1"/>
  <c r="AL1077" i="1"/>
  <c r="AM1077" i="1" s="1"/>
  <c r="BP1076" i="1"/>
  <c r="BP1075" i="1"/>
  <c r="AT1075" i="1"/>
  <c r="AV1075" i="1" s="1"/>
  <c r="AU1075" i="1" s="1"/>
  <c r="AL1075" i="1"/>
  <c r="AM1075" i="1" s="1"/>
  <c r="BP1074" i="1"/>
  <c r="AV1074" i="1"/>
  <c r="AU1074" i="1" s="1"/>
  <c r="AT1074" i="1"/>
  <c r="AQ1074" i="1"/>
  <c r="AL1074" i="1"/>
  <c r="AM1074" i="1" s="1"/>
  <c r="Z1064" i="1"/>
  <c r="AL1064" i="1" s="1"/>
  <c r="AM1064" i="1" s="1"/>
  <c r="Y1064" i="1"/>
  <c r="Z1063" i="1"/>
  <c r="AL1063" i="1" s="1"/>
  <c r="AM1063" i="1" s="1"/>
  <c r="Y1063" i="1"/>
  <c r="Y1062" i="1"/>
  <c r="Z1062" i="1"/>
  <c r="AL1062" i="1" s="1"/>
  <c r="Y1061" i="1"/>
  <c r="Z1061" i="1"/>
  <c r="AL1061" i="1" s="1"/>
  <c r="AM1061" i="1" s="1"/>
  <c r="AM1242" i="1"/>
  <c r="Z1060" i="1"/>
  <c r="AL1060" i="1" s="1"/>
  <c r="AM1060" i="1" s="1"/>
  <c r="Y1060" i="1"/>
  <c r="AD1059" i="1"/>
  <c r="Z1059" i="1"/>
  <c r="AL1059" i="1" s="1"/>
  <c r="AM1059" i="1" s="1"/>
  <c r="Y1059" i="1"/>
  <c r="Z1058" i="1"/>
  <c r="AL1058" i="1" s="1"/>
  <c r="AM1058" i="1" s="1"/>
  <c r="Y1058" i="1"/>
  <c r="Z1057" i="1"/>
  <c r="AL1057" i="1" s="1"/>
  <c r="AM1057" i="1" s="1"/>
  <c r="Y1057" i="1"/>
  <c r="Z1056" i="1"/>
  <c r="AL1056" i="1" s="1"/>
  <c r="Y1056" i="1"/>
  <c r="Z1055" i="1"/>
  <c r="AL1055" i="1" s="1"/>
  <c r="AM1055" i="1" s="1"/>
  <c r="Y1055" i="1"/>
  <c r="BP1061" i="1"/>
  <c r="AT1061" i="1"/>
  <c r="AV1061" i="1" s="1"/>
  <c r="AU1061" i="1" s="1"/>
  <c r="BP1060" i="1"/>
  <c r="AT1060" i="1"/>
  <c r="BP1059" i="1"/>
  <c r="AQ1059" i="1"/>
  <c r="BP1058" i="1"/>
  <c r="AT1058" i="1"/>
  <c r="AV1058" i="1" s="1"/>
  <c r="AU1058" i="1" s="1"/>
  <c r="BP1057" i="1"/>
  <c r="AT1057" i="1"/>
  <c r="AV1057" i="1" s="1"/>
  <c r="AU1057" i="1" s="1"/>
  <c r="BP1056" i="1"/>
  <c r="AT1056" i="1"/>
  <c r="AQ1056" i="1"/>
  <c r="AM1056" i="1"/>
  <c r="BP1055" i="1"/>
  <c r="AT1055" i="1"/>
  <c r="AV1055" i="1" s="1"/>
  <c r="AU1055" i="1" s="1"/>
  <c r="BP1062" i="1"/>
  <c r="AT1062" i="1"/>
  <c r="AV1062" i="1" s="1"/>
  <c r="AU1062" i="1" s="1"/>
  <c r="AM1062" i="1"/>
  <c r="BP1054" i="1"/>
  <c r="AV1054" i="1"/>
  <c r="AU1054" i="1" s="1"/>
  <c r="AT1054" i="1"/>
  <c r="AQ1054" i="1"/>
  <c r="AL1054" i="1"/>
  <c r="AM1054" i="1" s="1"/>
  <c r="BP1053" i="1"/>
  <c r="AV1053" i="1"/>
  <c r="AU1053" i="1" s="1"/>
  <c r="AT1053" i="1"/>
  <c r="AQ1053" i="1"/>
  <c r="AL1053" i="1"/>
  <c r="AM1053" i="1" s="1"/>
  <c r="BP1052" i="1"/>
  <c r="AV1052" i="1"/>
  <c r="AU1052" i="1" s="1"/>
  <c r="AT1052" i="1"/>
  <c r="AQ1052" i="1"/>
  <c r="AL1052" i="1"/>
  <c r="AM1052" i="1" s="1"/>
  <c r="BP1051" i="1"/>
  <c r="AV1051" i="1"/>
  <c r="AU1051" i="1" s="1"/>
  <c r="AT1051" i="1"/>
  <c r="AQ1051" i="1"/>
  <c r="AL1051" i="1"/>
  <c r="AM1051" i="1" s="1"/>
  <c r="BP1050" i="1"/>
  <c r="AV1050" i="1"/>
  <c r="AU1050" i="1"/>
  <c r="AT1050" i="1"/>
  <c r="AQ1050" i="1"/>
  <c r="AL1050" i="1"/>
  <c r="AM1050" i="1" s="1"/>
  <c r="Z1049" i="1"/>
  <c r="AL1049" i="1" s="1"/>
  <c r="AM1049" i="1" s="1"/>
  <c r="Y1049" i="1"/>
  <c r="BP1048" i="1"/>
  <c r="AV1048" i="1"/>
  <c r="AU1048" i="1" s="1"/>
  <c r="AT1048" i="1"/>
  <c r="AQ1048" i="1"/>
  <c r="AL1048" i="1"/>
  <c r="AM1048" i="1" s="1"/>
  <c r="BP1047" i="1"/>
  <c r="AV1047" i="1"/>
  <c r="AU1047" i="1"/>
  <c r="AT1047" i="1"/>
  <c r="AQ1047" i="1"/>
  <c r="AL1047" i="1"/>
  <c r="AM1047" i="1" s="1"/>
  <c r="BP1046" i="1"/>
  <c r="AV1046" i="1"/>
  <c r="AU1046" i="1" s="1"/>
  <c r="AT1046" i="1"/>
  <c r="AQ1046" i="1"/>
  <c r="AL1046" i="1"/>
  <c r="AM1046" i="1" s="1"/>
  <c r="BP1045" i="1"/>
  <c r="AV1045" i="1"/>
  <c r="AU1045" i="1" s="1"/>
  <c r="AT1045" i="1"/>
  <c r="AQ1045" i="1"/>
  <c r="AL1045" i="1"/>
  <c r="AM1045" i="1" s="1"/>
  <c r="BP1044" i="1"/>
  <c r="AV1044" i="1"/>
  <c r="AU1044" i="1" s="1"/>
  <c r="AT1044" i="1"/>
  <c r="AQ1044" i="1"/>
  <c r="AL1044" i="1"/>
  <c r="AM1044" i="1" s="1"/>
  <c r="BP1043" i="1"/>
  <c r="AV1043" i="1"/>
  <c r="AU1043" i="1" s="1"/>
  <c r="AT1043" i="1"/>
  <c r="AQ1043" i="1"/>
  <c r="AL1043" i="1"/>
  <c r="AM1043" i="1" s="1"/>
  <c r="Z1042" i="1"/>
  <c r="AL1042" i="1" s="1"/>
  <c r="AM1042" i="1" s="1"/>
  <c r="Y1042" i="1"/>
  <c r="Z1041" i="1"/>
  <c r="Y1041" i="1"/>
  <c r="BP1064" i="1"/>
  <c r="AT1064" i="1"/>
  <c r="AQ1064" i="1"/>
  <c r="BP1063" i="1"/>
  <c r="AT1063" i="1"/>
  <c r="AV1063" i="1" s="1"/>
  <c r="AU1063" i="1" s="1"/>
  <c r="BP1049" i="1"/>
  <c r="AT1049" i="1"/>
  <c r="AV1049" i="1" s="1"/>
  <c r="AU1049" i="1" s="1"/>
  <c r="BP1042" i="1"/>
  <c r="AT1042" i="1"/>
  <c r="BP1041" i="1"/>
  <c r="AT1041" i="1"/>
  <c r="AV1041" i="1" s="1"/>
  <c r="AL1041" i="1"/>
  <c r="AM1041" i="1" s="1"/>
  <c r="Y1039" i="1"/>
  <c r="Z1039" i="1"/>
  <c r="Z1038" i="1"/>
  <c r="AL1038" i="1" s="1"/>
  <c r="AM1038" i="1" s="1"/>
  <c r="Y1038" i="1"/>
  <c r="Y1037" i="1"/>
  <c r="Z1037" i="1"/>
  <c r="BP1036" i="1"/>
  <c r="BP1037" i="1"/>
  <c r="BP1038" i="1"/>
  <c r="BP1039" i="1"/>
  <c r="BP1040" i="1"/>
  <c r="BP1089" i="1"/>
  <c r="BP1090" i="1"/>
  <c r="BP1091" i="1"/>
  <c r="BP1092" i="1"/>
  <c r="BP1093" i="1"/>
  <c r="BP1094" i="1"/>
  <c r="BP1095" i="1"/>
  <c r="BP1096" i="1"/>
  <c r="BP1097" i="1"/>
  <c r="BP1098" i="1"/>
  <c r="BP1099" i="1"/>
  <c r="BP1100" i="1"/>
  <c r="BP1101" i="1"/>
  <c r="BP1102" i="1"/>
  <c r="BP1103" i="1"/>
  <c r="BP1104" i="1"/>
  <c r="BP1105" i="1"/>
  <c r="BP1106" i="1"/>
  <c r="BP1107" i="1"/>
  <c r="BP1108" i="1"/>
  <c r="BP1109" i="1"/>
  <c r="BP1110" i="1"/>
  <c r="BP1111" i="1"/>
  <c r="BP1112" i="1"/>
  <c r="BP1113" i="1"/>
  <c r="BP1114" i="1"/>
  <c r="BP1115" i="1"/>
  <c r="BP1121" i="1"/>
  <c r="BP1122" i="1"/>
  <c r="BP1132" i="1"/>
  <c r="BP1133" i="1"/>
  <c r="BP1134" i="1"/>
  <c r="BP1135" i="1"/>
  <c r="BP1136" i="1"/>
  <c r="BP1137" i="1"/>
  <c r="BP1138" i="1"/>
  <c r="BP1139" i="1"/>
  <c r="BP1140" i="1"/>
  <c r="BP1141" i="1"/>
  <c r="BP1142" i="1"/>
  <c r="BP1143" i="1"/>
  <c r="BP1144" i="1"/>
  <c r="BP1145" i="1"/>
  <c r="BP1146" i="1"/>
  <c r="BP1179" i="1"/>
  <c r="BP1180" i="1"/>
  <c r="BP1035" i="1"/>
  <c r="Z1034" i="1"/>
  <c r="AL1034" i="1" s="1"/>
  <c r="AM1034" i="1" s="1"/>
  <c r="Y1034" i="1"/>
  <c r="AT1037" i="1"/>
  <c r="AV1037" i="1" s="1"/>
  <c r="AL1037" i="1"/>
  <c r="AM1037" i="1" s="1"/>
  <c r="AV1036" i="1"/>
  <c r="AU1036" i="1" s="1"/>
  <c r="AT1036" i="1"/>
  <c r="AQ1036" i="1"/>
  <c r="AL1036" i="1"/>
  <c r="AM1036" i="1" s="1"/>
  <c r="AV1035" i="1"/>
  <c r="AT1035" i="1"/>
  <c r="AQ1035" i="1"/>
  <c r="AL1035" i="1"/>
  <c r="AM1035" i="1" s="1"/>
  <c r="AT1034" i="1"/>
  <c r="BP1033" i="1"/>
  <c r="AV1033" i="1"/>
  <c r="AU1033" i="1" s="1"/>
  <c r="AT1033" i="1"/>
  <c r="AQ1033" i="1"/>
  <c r="AL1033" i="1"/>
  <c r="AM1033" i="1" s="1"/>
  <c r="BP1032" i="1"/>
  <c r="AV1032" i="1"/>
  <c r="AU1032" i="1" s="1"/>
  <c r="AT1032" i="1"/>
  <c r="AQ1032" i="1"/>
  <c r="AL1032" i="1"/>
  <c r="AM1032" i="1" s="1"/>
  <c r="BP1031" i="1"/>
  <c r="AV1031" i="1"/>
  <c r="AU1031" i="1"/>
  <c r="AT1031" i="1"/>
  <c r="AQ1031" i="1"/>
  <c r="AL1031" i="1"/>
  <c r="AM1031" i="1" s="1"/>
  <c r="Z1029" i="1"/>
  <c r="AL1029" i="1" s="1"/>
  <c r="AM1029" i="1" s="1"/>
  <c r="Y1029" i="1"/>
  <c r="Y1028" i="1"/>
  <c r="Z1028" i="1"/>
  <c r="AL1028" i="1" s="1"/>
  <c r="AM1028" i="1" s="1"/>
  <c r="Y1027" i="1"/>
  <c r="Z1027" i="1"/>
  <c r="AL1027" i="1" s="1"/>
  <c r="AM1027" i="1" s="1"/>
  <c r="AT1089" i="1"/>
  <c r="AV1089" i="1" s="1"/>
  <c r="AU1089" i="1" s="1"/>
  <c r="AL1089" i="1"/>
  <c r="AM1089" i="1" s="1"/>
  <c r="AV1040" i="1"/>
  <c r="AU1040" i="1" s="1"/>
  <c r="AT1040" i="1"/>
  <c r="AQ1040" i="1"/>
  <c r="AL1040" i="1"/>
  <c r="AM1040" i="1" s="1"/>
  <c r="AT1039" i="1"/>
  <c r="AV1039" i="1" s="1"/>
  <c r="AL1039" i="1"/>
  <c r="AM1039" i="1" s="1"/>
  <c r="AT1038" i="1"/>
  <c r="AV1038" i="1" s="1"/>
  <c r="AU1038" i="1" s="1"/>
  <c r="BP1030" i="1"/>
  <c r="AV1030" i="1"/>
  <c r="AU1030" i="1" s="1"/>
  <c r="AT1030" i="1"/>
  <c r="AQ1030" i="1"/>
  <c r="AL1030" i="1"/>
  <c r="AM1030" i="1" s="1"/>
  <c r="BP1029" i="1"/>
  <c r="AT1029" i="1"/>
  <c r="BP1028" i="1"/>
  <c r="AT1028" i="1"/>
  <c r="BP1027" i="1"/>
  <c r="AT1027" i="1"/>
  <c r="BP1026" i="1"/>
  <c r="AV1026" i="1"/>
  <c r="AU1026" i="1" s="1"/>
  <c r="AT1026" i="1"/>
  <c r="AQ1026" i="1"/>
  <c r="AL1026" i="1"/>
  <c r="AM1026" i="1" s="1"/>
  <c r="BP1025" i="1"/>
  <c r="AV1025" i="1"/>
  <c r="AU1025" i="1" s="1"/>
  <c r="AT1025" i="1"/>
  <c r="AQ1025" i="1"/>
  <c r="AL1025" i="1"/>
  <c r="AM1025" i="1" s="1"/>
  <c r="BP1024" i="1"/>
  <c r="AV1024" i="1"/>
  <c r="AU1024" i="1" s="1"/>
  <c r="AT1024" i="1"/>
  <c r="AQ1024" i="1"/>
  <c r="AL1024" i="1"/>
  <c r="AM1024" i="1" s="1"/>
  <c r="AS1000" i="1"/>
  <c r="AT1000" i="1" s="1"/>
  <c r="Z1020" i="1"/>
  <c r="Y1020" i="1"/>
  <c r="AS984" i="1"/>
  <c r="Y1015" i="1"/>
  <c r="Z1015" i="1"/>
  <c r="Z1014" i="1"/>
  <c r="Y1014" i="1"/>
  <c r="AT985" i="1"/>
  <c r="Z1012" i="1"/>
  <c r="Y1012" i="1"/>
  <c r="BP1019" i="1"/>
  <c r="AV1019" i="1"/>
  <c r="AU1019" i="1"/>
  <c r="AT1019" i="1"/>
  <c r="AQ1019" i="1"/>
  <c r="AL1019" i="1"/>
  <c r="AM1019" i="1" s="1"/>
  <c r="BP1018" i="1"/>
  <c r="AV1018" i="1"/>
  <c r="AU1018" i="1"/>
  <c r="AT1018" i="1"/>
  <c r="AQ1018" i="1"/>
  <c r="AL1018" i="1"/>
  <c r="AM1018" i="1" s="1"/>
  <c r="BP1017" i="1"/>
  <c r="AV1017" i="1"/>
  <c r="AU1017" i="1" s="1"/>
  <c r="AT1017" i="1"/>
  <c r="AQ1017" i="1"/>
  <c r="AL1017" i="1"/>
  <c r="AM1017" i="1" s="1"/>
  <c r="BP1016" i="1"/>
  <c r="AV1016" i="1"/>
  <c r="AU1016" i="1" s="1"/>
  <c r="AT1016" i="1"/>
  <c r="AQ1016" i="1"/>
  <c r="AL1016" i="1"/>
  <c r="AM1016" i="1" s="1"/>
  <c r="BP1015" i="1"/>
  <c r="AT1015" i="1"/>
  <c r="AV1015" i="1" s="1"/>
  <c r="AU1015" i="1" s="1"/>
  <c r="AL1015" i="1"/>
  <c r="AM1015" i="1" s="1"/>
  <c r="BP1014" i="1"/>
  <c r="AT1014" i="1"/>
  <c r="AV1014" i="1" s="1"/>
  <c r="AU1014" i="1" s="1"/>
  <c r="AL1014" i="1"/>
  <c r="AM1014" i="1" s="1"/>
  <c r="BP1013" i="1"/>
  <c r="AV1013" i="1"/>
  <c r="AU1013" i="1" s="1"/>
  <c r="AT1013" i="1"/>
  <c r="AQ1013" i="1"/>
  <c r="AL1013" i="1"/>
  <c r="AM1013" i="1" s="1"/>
  <c r="BP1012" i="1"/>
  <c r="AT1012" i="1"/>
  <c r="AV1012" i="1" s="1"/>
  <c r="AU1012" i="1" s="1"/>
  <c r="AL1012" i="1"/>
  <c r="AM1012" i="1" s="1"/>
  <c r="BP1023" i="1"/>
  <c r="AV1023" i="1"/>
  <c r="AU1023" i="1" s="1"/>
  <c r="AT1023" i="1"/>
  <c r="AQ1023" i="1"/>
  <c r="AL1023" i="1"/>
  <c r="AM1023" i="1" s="1"/>
  <c r="BP1022" i="1"/>
  <c r="AV1022" i="1"/>
  <c r="AU1022" i="1" s="1"/>
  <c r="AT1022" i="1"/>
  <c r="AQ1022" i="1"/>
  <c r="AL1022" i="1"/>
  <c r="AM1022" i="1" s="1"/>
  <c r="BP1021" i="1"/>
  <c r="AV1021" i="1"/>
  <c r="AU1021" i="1"/>
  <c r="AT1021" i="1"/>
  <c r="AQ1021" i="1"/>
  <c r="AL1021" i="1"/>
  <c r="AM1021" i="1" s="1"/>
  <c r="BP1020" i="1"/>
  <c r="AT1020" i="1"/>
  <c r="AL1020" i="1"/>
  <c r="AM1020" i="1" s="1"/>
  <c r="Z1011" i="1"/>
  <c r="AL1011" i="1" s="1"/>
  <c r="AM1011" i="1" s="1"/>
  <c r="Y1011" i="1"/>
  <c r="AS1008" i="1"/>
  <c r="Z1010" i="1"/>
  <c r="Y1010" i="1"/>
  <c r="Z1009" i="1"/>
  <c r="Y1009" i="1"/>
  <c r="AS1007" i="1"/>
  <c r="Z1008" i="1"/>
  <c r="Y1008" i="1"/>
  <c r="Y1007" i="1"/>
  <c r="Z1007" i="1"/>
  <c r="Z1002" i="1"/>
  <c r="Y1002" i="1"/>
  <c r="Y1001" i="1"/>
  <c r="Z1001" i="1"/>
  <c r="Y1000" i="1"/>
  <c r="Z1000" i="1"/>
  <c r="AL1000" i="1" s="1"/>
  <c r="AM1000" i="1" s="1"/>
  <c r="AL989" i="1"/>
  <c r="AM989" i="1" s="1"/>
  <c r="AL990" i="1"/>
  <c r="AM990" i="1" s="1"/>
  <c r="AL991" i="1"/>
  <c r="AM991" i="1" s="1"/>
  <c r="AL992" i="1"/>
  <c r="AM992" i="1"/>
  <c r="AL993" i="1"/>
  <c r="AM993" i="1"/>
  <c r="AL994" i="1"/>
  <c r="AM994" i="1" s="1"/>
  <c r="AL995" i="1"/>
  <c r="AM995" i="1" s="1"/>
  <c r="AL996" i="1"/>
  <c r="AM996" i="1"/>
  <c r="AL998" i="1"/>
  <c r="AM998" i="1"/>
  <c r="Y999" i="1"/>
  <c r="Z999" i="1"/>
  <c r="AD984" i="1"/>
  <c r="AS955" i="1"/>
  <c r="Y988" i="1"/>
  <c r="Z988" i="1"/>
  <c r="AL988" i="1" s="1"/>
  <c r="AM988" i="1" s="1"/>
  <c r="BP991" i="1"/>
  <c r="AV991" i="1"/>
  <c r="AU991" i="1" s="1"/>
  <c r="AT991" i="1"/>
  <c r="AQ991" i="1"/>
  <c r="BP990" i="1"/>
  <c r="AV990" i="1"/>
  <c r="AU990" i="1"/>
  <c r="AT990" i="1"/>
  <c r="AQ990" i="1"/>
  <c r="BP989" i="1"/>
  <c r="AV989" i="1"/>
  <c r="AU989" i="1" s="1"/>
  <c r="AT989" i="1"/>
  <c r="AQ989" i="1"/>
  <c r="BP988" i="1"/>
  <c r="AT988" i="1"/>
  <c r="Z987" i="1"/>
  <c r="AL987" i="1" s="1"/>
  <c r="AM987" i="1" s="1"/>
  <c r="Y987" i="1"/>
  <c r="Z984" i="1"/>
  <c r="AL984" i="1" s="1"/>
  <c r="AM984" i="1" s="1"/>
  <c r="Z985" i="1"/>
  <c r="Y985" i="1"/>
  <c r="Y984" i="1"/>
  <c r="AS953" i="1"/>
  <c r="BP987" i="1"/>
  <c r="AT987" i="1"/>
  <c r="BP986" i="1"/>
  <c r="AV986" i="1"/>
  <c r="AU986" i="1" s="1"/>
  <c r="AT986" i="1"/>
  <c r="AQ986" i="1"/>
  <c r="AL986" i="1"/>
  <c r="AM986" i="1" s="1"/>
  <c r="BP985" i="1"/>
  <c r="BP984" i="1"/>
  <c r="Y983" i="1"/>
  <c r="Z983" i="1"/>
  <c r="Z978" i="1"/>
  <c r="AL978" i="1" s="1"/>
  <c r="AM978" i="1" s="1"/>
  <c r="Y978" i="1"/>
  <c r="Y977" i="1"/>
  <c r="Z977" i="1"/>
  <c r="AL977" i="1" s="1"/>
  <c r="AM977" i="1" s="1"/>
  <c r="AS952" i="1"/>
  <c r="BP992" i="1"/>
  <c r="AV992" i="1"/>
  <c r="AU992" i="1" s="1"/>
  <c r="AT992" i="1"/>
  <c r="AQ992" i="1"/>
  <c r="BP983" i="1"/>
  <c r="AT983" i="1"/>
  <c r="AV983" i="1" s="1"/>
  <c r="AU983" i="1" s="1"/>
  <c r="AL983" i="1"/>
  <c r="AM983" i="1" s="1"/>
  <c r="BP982" i="1"/>
  <c r="AV982" i="1"/>
  <c r="AU982" i="1" s="1"/>
  <c r="AT982" i="1"/>
  <c r="AQ982" i="1"/>
  <c r="AL982" i="1"/>
  <c r="AM982" i="1" s="1"/>
  <c r="BP981" i="1"/>
  <c r="AV981" i="1"/>
  <c r="AU981" i="1" s="1"/>
  <c r="AT981" i="1"/>
  <c r="AQ981" i="1"/>
  <c r="AL981" i="1"/>
  <c r="AM981" i="1" s="1"/>
  <c r="BP980" i="1"/>
  <c r="AV980" i="1"/>
  <c r="AU980" i="1" s="1"/>
  <c r="AT980" i="1"/>
  <c r="AQ980" i="1"/>
  <c r="AL980" i="1"/>
  <c r="AM980" i="1" s="1"/>
  <c r="BP979" i="1"/>
  <c r="AV979" i="1"/>
  <c r="AU979" i="1" s="1"/>
  <c r="AT979" i="1"/>
  <c r="AQ979" i="1"/>
  <c r="AL979" i="1"/>
  <c r="AM979" i="1" s="1"/>
  <c r="BP978" i="1"/>
  <c r="AT978" i="1"/>
  <c r="AV978" i="1" s="1"/>
  <c r="AU978" i="1" s="1"/>
  <c r="AQ978" i="1"/>
  <c r="BP977" i="1"/>
  <c r="AT977" i="1"/>
  <c r="BP976" i="1"/>
  <c r="AV976" i="1"/>
  <c r="AU976" i="1" s="1"/>
  <c r="AT976" i="1"/>
  <c r="AQ976" i="1"/>
  <c r="AL976" i="1"/>
  <c r="AM976" i="1" s="1"/>
  <c r="AD952" i="1"/>
  <c r="BP975" i="1"/>
  <c r="AS975" i="1"/>
  <c r="AD975" i="1"/>
  <c r="Z975" i="1"/>
  <c r="AL975" i="1" s="1"/>
  <c r="AM975" i="1" s="1"/>
  <c r="Y975" i="1"/>
  <c r="Z974" i="1"/>
  <c r="AL974" i="1" s="1"/>
  <c r="AM974" i="1" s="1"/>
  <c r="Y974" i="1"/>
  <c r="Z973" i="1"/>
  <c r="AL973" i="1" s="1"/>
  <c r="AM973" i="1" s="1"/>
  <c r="Y973" i="1"/>
  <c r="Z972" i="1"/>
  <c r="AL972" i="1" s="1"/>
  <c r="AM972" i="1" s="1"/>
  <c r="Y972" i="1"/>
  <c r="Z971" i="1"/>
  <c r="AL971" i="1" s="1"/>
  <c r="AM971" i="1" s="1"/>
  <c r="Y971" i="1"/>
  <c r="AS964" i="1"/>
  <c r="Z970" i="1"/>
  <c r="Y970" i="1"/>
  <c r="Z969" i="1"/>
  <c r="AL969" i="1" s="1"/>
  <c r="AM969" i="1" s="1"/>
  <c r="Y969" i="1"/>
  <c r="BP973" i="1"/>
  <c r="AT973" i="1"/>
  <c r="BP972" i="1"/>
  <c r="AT972" i="1"/>
  <c r="AV972" i="1" s="1"/>
  <c r="AU972" i="1" s="1"/>
  <c r="BP971" i="1"/>
  <c r="AT971" i="1"/>
  <c r="BP970" i="1"/>
  <c r="AT970" i="1"/>
  <c r="AL970" i="1"/>
  <c r="AM970" i="1" s="1"/>
  <c r="BP969" i="1"/>
  <c r="AT969" i="1"/>
  <c r="AD955" i="1"/>
  <c r="Y966" i="1"/>
  <c r="Z966" i="1"/>
  <c r="AL966" i="1" s="1"/>
  <c r="AM966" i="1" s="1"/>
  <c r="BP974" i="1"/>
  <c r="AT974" i="1"/>
  <c r="BP968" i="1"/>
  <c r="AV968" i="1"/>
  <c r="AU968" i="1" s="1"/>
  <c r="AT968" i="1"/>
  <c r="AQ968" i="1"/>
  <c r="AL968" i="1"/>
  <c r="AM968" i="1" s="1"/>
  <c r="BP967" i="1"/>
  <c r="AV967" i="1"/>
  <c r="AU967" i="1" s="1"/>
  <c r="AT967" i="1"/>
  <c r="AQ967" i="1"/>
  <c r="AL967" i="1"/>
  <c r="AM967" i="1" s="1"/>
  <c r="BP966" i="1"/>
  <c r="AT966" i="1"/>
  <c r="Z964" i="1"/>
  <c r="AL964" i="1" s="1"/>
  <c r="AM964" i="1" s="1"/>
  <c r="Y964" i="1"/>
  <c r="AT962" i="1"/>
  <c r="Y962" i="1"/>
  <c r="Z962" i="1"/>
  <c r="AL962" i="1" s="1"/>
  <c r="AM962" i="1" s="1"/>
  <c r="AS961" i="1"/>
  <c r="AT961" i="1" s="1"/>
  <c r="Y961" i="1"/>
  <c r="Z961" i="1"/>
  <c r="AL961" i="1" s="1"/>
  <c r="AM961" i="1" s="1"/>
  <c r="BP963" i="1"/>
  <c r="AV963" i="1"/>
  <c r="AU963" i="1" s="1"/>
  <c r="AT963" i="1"/>
  <c r="AQ963" i="1"/>
  <c r="AL963" i="1"/>
  <c r="AM963" i="1" s="1"/>
  <c r="BP962" i="1"/>
  <c r="BP961" i="1"/>
  <c r="BP960" i="1"/>
  <c r="AQ960" i="1"/>
  <c r="AL960" i="1"/>
  <c r="AM960" i="1" s="1"/>
  <c r="BP959" i="1"/>
  <c r="AQ959" i="1"/>
  <c r="AL959" i="1"/>
  <c r="AM959" i="1" s="1"/>
  <c r="BP958" i="1"/>
  <c r="AQ958" i="1"/>
  <c r="AL958" i="1"/>
  <c r="AM958" i="1" s="1"/>
  <c r="AS954" i="1"/>
  <c r="AT954" i="1" s="1"/>
  <c r="Y957" i="1"/>
  <c r="Z957" i="1"/>
  <c r="Z956" i="1"/>
  <c r="AL956" i="1" s="1"/>
  <c r="AM956" i="1" s="1"/>
  <c r="Y956" i="1"/>
  <c r="AV965" i="1"/>
  <c r="AU965" i="1"/>
  <c r="AT965" i="1"/>
  <c r="AL965" i="1"/>
  <c r="AM965" i="1" s="1"/>
  <c r="AT964" i="1"/>
  <c r="AT957" i="1"/>
  <c r="AL957" i="1"/>
  <c r="AM957" i="1" s="1"/>
  <c r="AT956" i="1"/>
  <c r="Y955" i="1"/>
  <c r="Z955" i="1"/>
  <c r="AL955" i="1" s="1"/>
  <c r="AM955" i="1" s="1"/>
  <c r="AD953" i="1"/>
  <c r="Z954" i="1"/>
  <c r="AL954" i="1" s="1"/>
  <c r="AM954" i="1" s="1"/>
  <c r="Y954" i="1"/>
  <c r="Y953" i="1"/>
  <c r="Z953" i="1"/>
  <c r="Y952" i="1"/>
  <c r="Z952" i="1"/>
  <c r="AL952" i="1" s="1"/>
  <c r="AM952" i="1" s="1"/>
  <c r="Z951" i="1"/>
  <c r="AL951" i="1" s="1"/>
  <c r="AM951" i="1" s="1"/>
  <c r="Y951" i="1"/>
  <c r="AS950" i="1"/>
  <c r="AT950" i="1" s="1"/>
  <c r="AS945" i="1"/>
  <c r="Z950" i="1"/>
  <c r="AL950" i="1" s="1"/>
  <c r="AM950" i="1" s="1"/>
  <c r="Y950" i="1"/>
  <c r="AL953" i="1"/>
  <c r="AM953" i="1" s="1"/>
  <c r="AT952" i="1"/>
  <c r="AT951" i="1"/>
  <c r="AV951" i="1" s="1"/>
  <c r="AU951" i="1" s="1"/>
  <c r="AQ951" i="1"/>
  <c r="AV949" i="1"/>
  <c r="AU949" i="1" s="1"/>
  <c r="AT949" i="1"/>
  <c r="AQ949" i="1"/>
  <c r="AL949" i="1"/>
  <c r="AM949" i="1" s="1"/>
  <c r="AV948" i="1"/>
  <c r="AU948" i="1" s="1"/>
  <c r="AT948" i="1"/>
  <c r="AQ948" i="1"/>
  <c r="AL948" i="1"/>
  <c r="AM948" i="1" s="1"/>
  <c r="AT955" i="1"/>
  <c r="Y947" i="1"/>
  <c r="Z947" i="1"/>
  <c r="AL947" i="1" s="1"/>
  <c r="AM947" i="1" s="1"/>
  <c r="AS839" i="1"/>
  <c r="Z945" i="1"/>
  <c r="Y945" i="1"/>
  <c r="Z944" i="1"/>
  <c r="AL944" i="1" s="1"/>
  <c r="AM944" i="1" s="1"/>
  <c r="Y944" i="1"/>
  <c r="Y943" i="1"/>
  <c r="Z943" i="1"/>
  <c r="Z941" i="1"/>
  <c r="AL941" i="1" s="1"/>
  <c r="AM941" i="1" s="1"/>
  <c r="Y941" i="1"/>
  <c r="Z940" i="1"/>
  <c r="AL940" i="1" s="1"/>
  <c r="AM940" i="1" s="1"/>
  <c r="Y940" i="1"/>
  <c r="Y939" i="1"/>
  <c r="Z939" i="1"/>
  <c r="AL939" i="1" s="1"/>
  <c r="AM939" i="1" s="1"/>
  <c r="AT944" i="1"/>
  <c r="AT943" i="1"/>
  <c r="AL943" i="1"/>
  <c r="AM943" i="1" s="1"/>
  <c r="AQ942" i="1"/>
  <c r="AL942" i="1"/>
  <c r="AM942" i="1" s="1"/>
  <c r="AT941" i="1"/>
  <c r="AQ941" i="1"/>
  <c r="AT940" i="1"/>
  <c r="AT939" i="1"/>
  <c r="AT947" i="1"/>
  <c r="AV946" i="1"/>
  <c r="AU946" i="1"/>
  <c r="AT946" i="1"/>
  <c r="AQ946" i="1"/>
  <c r="AL946" i="1"/>
  <c r="AM946" i="1" s="1"/>
  <c r="AT945" i="1"/>
  <c r="AV945" i="1" s="1"/>
  <c r="AU945" i="1" s="1"/>
  <c r="AL945" i="1"/>
  <c r="AM945" i="1" s="1"/>
  <c r="Y932" i="1"/>
  <c r="Z932" i="1"/>
  <c r="Y933" i="1"/>
  <c r="Z933" i="1"/>
  <c r="Y931" i="1"/>
  <c r="Z931" i="1"/>
  <c r="AL931" i="1" s="1"/>
  <c r="AM931" i="1" s="1"/>
  <c r="Y929" i="1"/>
  <c r="Z929" i="1"/>
  <c r="AS927" i="1"/>
  <c r="AD927" i="1"/>
  <c r="AS877" i="1"/>
  <c r="AT877" i="1" s="1"/>
  <c r="AS921" i="1"/>
  <c r="AT921" i="1" s="1"/>
  <c r="Z927" i="1"/>
  <c r="Y927" i="1"/>
  <c r="Z925" i="1"/>
  <c r="AL925" i="1" s="1"/>
  <c r="AM925" i="1" s="1"/>
  <c r="Y925" i="1"/>
  <c r="Z923" i="1"/>
  <c r="AL923" i="1" s="1"/>
  <c r="AM923" i="1" s="1"/>
  <c r="Y923" i="1"/>
  <c r="Z922" i="1"/>
  <c r="AL922" i="1" s="1"/>
  <c r="AM922" i="1" s="1"/>
  <c r="Y922" i="1"/>
  <c r="Y921" i="1"/>
  <c r="Z921" i="1"/>
  <c r="AL921" i="1" s="1"/>
  <c r="AM921" i="1" s="1"/>
  <c r="AT931" i="1"/>
  <c r="AQ931" i="1"/>
  <c r="AV930" i="1"/>
  <c r="AU930" i="1"/>
  <c r="AT930" i="1"/>
  <c r="AQ930" i="1"/>
  <c r="AL930" i="1"/>
  <c r="AM930" i="1" s="1"/>
  <c r="AT929" i="1"/>
  <c r="AL929" i="1"/>
  <c r="AM929" i="1" s="1"/>
  <c r="AV928" i="1"/>
  <c r="AU928" i="1" s="1"/>
  <c r="AT928" i="1"/>
  <c r="AQ928" i="1"/>
  <c r="AL928" i="1"/>
  <c r="AM928" i="1" s="1"/>
  <c r="AL927" i="1"/>
  <c r="AM927" i="1" s="1"/>
  <c r="AV926" i="1"/>
  <c r="AU926" i="1" s="1"/>
  <c r="AT926" i="1"/>
  <c r="AQ926" i="1"/>
  <c r="AL926" i="1"/>
  <c r="AM926" i="1" s="1"/>
  <c r="AT925" i="1"/>
  <c r="AV924" i="1"/>
  <c r="AU924" i="1"/>
  <c r="AT924" i="1"/>
  <c r="AQ924" i="1"/>
  <c r="AL924" i="1"/>
  <c r="AM924" i="1" s="1"/>
  <c r="AT923" i="1"/>
  <c r="AT922" i="1"/>
  <c r="AV922" i="1" s="1"/>
  <c r="AU922" i="1" s="1"/>
  <c r="Z917" i="1"/>
  <c r="Y917" i="1"/>
  <c r="Y916" i="1"/>
  <c r="Z916" i="1"/>
  <c r="AL916" i="1" s="1"/>
  <c r="AM916" i="1" s="1"/>
  <c r="Z911" i="1"/>
  <c r="AL911" i="1" s="1"/>
  <c r="AM911" i="1" s="1"/>
  <c r="Y911" i="1"/>
  <c r="Z907" i="1"/>
  <c r="AL907" i="1" s="1"/>
  <c r="AM907" i="1" s="1"/>
  <c r="Y907" i="1"/>
  <c r="Z905" i="1"/>
  <c r="Y905" i="1"/>
  <c r="Y904" i="1"/>
  <c r="Z904" i="1"/>
  <c r="AL904" i="1" s="1"/>
  <c r="AM904" i="1" s="1"/>
  <c r="AL884" i="1"/>
  <c r="AM884" i="1" s="1"/>
  <c r="AL885" i="1"/>
  <c r="AM885" i="1" s="1"/>
  <c r="AL871" i="1"/>
  <c r="Y877" i="1"/>
  <c r="Z877" i="1"/>
  <c r="AQ887" i="1"/>
  <c r="AL887" i="1"/>
  <c r="AM887" i="1" s="1"/>
  <c r="AQ886" i="1"/>
  <c r="AL886" i="1"/>
  <c r="AM886" i="1" s="1"/>
  <c r="AQ885" i="1"/>
  <c r="AQ884" i="1"/>
  <c r="AQ883" i="1"/>
  <c r="AL883" i="1"/>
  <c r="AM883" i="1" s="1"/>
  <c r="AQ888" i="1"/>
  <c r="AL888" i="1"/>
  <c r="AM888" i="1" s="1"/>
  <c r="AQ889" i="1"/>
  <c r="AL889" i="1"/>
  <c r="AM889" i="1" s="1"/>
  <c r="AQ890" i="1"/>
  <c r="AL890" i="1"/>
  <c r="AM890" i="1" s="1"/>
  <c r="AQ891" i="1"/>
  <c r="AL891" i="1"/>
  <c r="AM891" i="1" s="1"/>
  <c r="AS869" i="1"/>
  <c r="AT869" i="1" s="1"/>
  <c r="AS779" i="1"/>
  <c r="AT779" i="1" s="1"/>
  <c r="AQ920" i="1"/>
  <c r="AL920" i="1"/>
  <c r="AM920" i="1" s="1"/>
  <c r="AQ919" i="1"/>
  <c r="AL919" i="1"/>
  <c r="AM919" i="1" s="1"/>
  <c r="AQ918" i="1"/>
  <c r="AL918" i="1"/>
  <c r="AM918" i="1" s="1"/>
  <c r="AT917" i="1"/>
  <c r="AV917" i="1" s="1"/>
  <c r="AU917" i="1" s="1"/>
  <c r="AL917" i="1"/>
  <c r="AM917" i="1" s="1"/>
  <c r="AT916" i="1"/>
  <c r="AV916" i="1" s="1"/>
  <c r="AU916" i="1" s="1"/>
  <c r="AQ915" i="1"/>
  <c r="AL915" i="1"/>
  <c r="AM915" i="1" s="1"/>
  <c r="AQ914" i="1"/>
  <c r="AL914" i="1"/>
  <c r="AM914" i="1" s="1"/>
  <c r="AQ913" i="1"/>
  <c r="AL913" i="1"/>
  <c r="AM913" i="1" s="1"/>
  <c r="AQ912" i="1"/>
  <c r="AL912" i="1"/>
  <c r="AM912" i="1" s="1"/>
  <c r="AT911" i="1"/>
  <c r="AQ936" i="1"/>
  <c r="AL936" i="1"/>
  <c r="AM936" i="1" s="1"/>
  <c r="AQ935" i="1"/>
  <c r="AL935" i="1"/>
  <c r="AM935" i="1" s="1"/>
  <c r="AQ934" i="1"/>
  <c r="AL934" i="1"/>
  <c r="AM934" i="1" s="1"/>
  <c r="AT933" i="1"/>
  <c r="AV933" i="1" s="1"/>
  <c r="AU933" i="1" s="1"/>
  <c r="AL933" i="1"/>
  <c r="AM933" i="1" s="1"/>
  <c r="AT932" i="1"/>
  <c r="AV932" i="1" s="1"/>
  <c r="AU932" i="1" s="1"/>
  <c r="AL932" i="1"/>
  <c r="AM932" i="1" s="1"/>
  <c r="AS842" i="1"/>
  <c r="AV1222" i="1"/>
  <c r="AU1222" i="1" s="1"/>
  <c r="AT1222" i="1"/>
  <c r="AQ1222" i="1"/>
  <c r="AL1222" i="1"/>
  <c r="AM1222" i="1" s="1"/>
  <c r="AV1221" i="1"/>
  <c r="AU1221" i="1" s="1"/>
  <c r="AT1221" i="1"/>
  <c r="AQ1221" i="1"/>
  <c r="AL1221" i="1"/>
  <c r="AM1221" i="1" s="1"/>
  <c r="AV1220" i="1"/>
  <c r="AU1220" i="1"/>
  <c r="AT1220" i="1"/>
  <c r="AQ1220" i="1"/>
  <c r="AL1220" i="1"/>
  <c r="AM1220" i="1" s="1"/>
  <c r="AV1219" i="1"/>
  <c r="AU1219" i="1"/>
  <c r="AT1219" i="1"/>
  <c r="AQ1219" i="1"/>
  <c r="AL1219" i="1"/>
  <c r="AM1219" i="1" s="1"/>
  <c r="AV1218" i="1"/>
  <c r="AU1218" i="1" s="1"/>
  <c r="AT1218" i="1"/>
  <c r="AQ1218" i="1"/>
  <c r="AL1218" i="1"/>
  <c r="AM1218" i="1" s="1"/>
  <c r="AV1217" i="1"/>
  <c r="AU1217" i="1" s="1"/>
  <c r="AT1217" i="1"/>
  <c r="AQ1217" i="1"/>
  <c r="AL1217" i="1"/>
  <c r="AM1217" i="1" s="1"/>
  <c r="AV1216" i="1"/>
  <c r="AU1216" i="1" s="1"/>
  <c r="AT1216" i="1"/>
  <c r="AQ1216" i="1"/>
  <c r="AL1216" i="1"/>
  <c r="AM1216" i="1" s="1"/>
  <c r="AV1215" i="1"/>
  <c r="AU1215" i="1" s="1"/>
  <c r="AT1215" i="1"/>
  <c r="AQ1215" i="1"/>
  <c r="AL1215" i="1"/>
  <c r="AM1215" i="1" s="1"/>
  <c r="AV1214" i="1"/>
  <c r="AU1214" i="1" s="1"/>
  <c r="AT1214" i="1"/>
  <c r="AQ1214" i="1"/>
  <c r="AL1214" i="1"/>
  <c r="AM1214" i="1" s="1"/>
  <c r="AV1213" i="1"/>
  <c r="AU1213" i="1" s="1"/>
  <c r="AT1213" i="1"/>
  <c r="AQ1213" i="1"/>
  <c r="AL1213" i="1"/>
  <c r="AM1213" i="1" s="1"/>
  <c r="AV1212" i="1"/>
  <c r="AU1212" i="1" s="1"/>
  <c r="AT1212" i="1"/>
  <c r="AQ1212" i="1"/>
  <c r="AL1212" i="1"/>
  <c r="AM1212" i="1" s="1"/>
  <c r="AV1228" i="1"/>
  <c r="AU1228" i="1" s="1"/>
  <c r="AT1228" i="1"/>
  <c r="AQ1228" i="1"/>
  <c r="AL1228" i="1"/>
  <c r="AM1228" i="1" s="1"/>
  <c r="AV1227" i="1"/>
  <c r="AU1227" i="1" s="1"/>
  <c r="AT1227" i="1"/>
  <c r="AQ1227" i="1"/>
  <c r="AL1227" i="1"/>
  <c r="AM1227" i="1" s="1"/>
  <c r="AV1226" i="1"/>
  <c r="AU1226" i="1" s="1"/>
  <c r="AT1226" i="1"/>
  <c r="AQ1226" i="1"/>
  <c r="AL1226" i="1"/>
  <c r="AM1226" i="1" s="1"/>
  <c r="AV1225" i="1"/>
  <c r="AU1225" i="1"/>
  <c r="AT1225" i="1"/>
  <c r="AQ1225" i="1"/>
  <c r="AL1225" i="1"/>
  <c r="AM1225" i="1" s="1"/>
  <c r="AV1224" i="1"/>
  <c r="AU1224" i="1" s="1"/>
  <c r="AT1224" i="1"/>
  <c r="AQ1224" i="1"/>
  <c r="AL1224" i="1"/>
  <c r="AM1224" i="1" s="1"/>
  <c r="AV1223" i="1"/>
  <c r="AU1223" i="1" s="1"/>
  <c r="AT1223" i="1"/>
  <c r="AQ1223" i="1"/>
  <c r="AL1223" i="1"/>
  <c r="AM1223" i="1" s="1"/>
  <c r="AV1231" i="1"/>
  <c r="AU1231" i="1" s="1"/>
  <c r="AT1231" i="1"/>
  <c r="AQ1231" i="1"/>
  <c r="AL1231" i="1"/>
  <c r="AM1231" i="1" s="1"/>
  <c r="AV1230" i="1"/>
  <c r="AU1230" i="1" s="1"/>
  <c r="AT1230" i="1"/>
  <c r="AQ1230" i="1"/>
  <c r="AL1230" i="1"/>
  <c r="AM1230" i="1" s="1"/>
  <c r="AV1229" i="1"/>
  <c r="AU1229" i="1" s="1"/>
  <c r="AT1229" i="1"/>
  <c r="AQ1229" i="1"/>
  <c r="AL1229" i="1"/>
  <c r="AM1229" i="1" s="1"/>
  <c r="AV1233" i="1"/>
  <c r="AU1233" i="1" s="1"/>
  <c r="AT1233" i="1"/>
  <c r="AQ1233" i="1"/>
  <c r="AL1233" i="1"/>
  <c r="AM1233" i="1" s="1"/>
  <c r="AQ1211" i="1"/>
  <c r="Z1211" i="1"/>
  <c r="AV1143" i="1"/>
  <c r="AU1143" i="1" s="1"/>
  <c r="AT1143" i="1"/>
  <c r="AQ1143" i="1"/>
  <c r="AL1143" i="1"/>
  <c r="AM1143" i="1" s="1"/>
  <c r="AV1142" i="1"/>
  <c r="AU1142" i="1" s="1"/>
  <c r="AT1142" i="1"/>
  <c r="AQ1142" i="1"/>
  <c r="AL1142" i="1"/>
  <c r="AM1142" i="1" s="1"/>
  <c r="AV1141" i="1"/>
  <c r="AU1141" i="1" s="1"/>
  <c r="AT1141" i="1"/>
  <c r="AQ1141" i="1"/>
  <c r="AL1141" i="1"/>
  <c r="AM1141" i="1" s="1"/>
  <c r="AT1140" i="1"/>
  <c r="AV1140" i="1" s="1"/>
  <c r="AU1140" i="1" s="1"/>
  <c r="AL1140" i="1"/>
  <c r="AM1140" i="1" s="1"/>
  <c r="AV1139" i="1"/>
  <c r="AU1139" i="1" s="1"/>
  <c r="AT1139" i="1"/>
  <c r="AQ1139" i="1"/>
  <c r="AL1139" i="1"/>
  <c r="AM1139" i="1" s="1"/>
  <c r="AV1138" i="1"/>
  <c r="AU1138" i="1"/>
  <c r="AT1138" i="1"/>
  <c r="AQ1138" i="1"/>
  <c r="AL1138" i="1"/>
  <c r="AM1138" i="1" s="1"/>
  <c r="AV1137" i="1"/>
  <c r="AU1137" i="1" s="1"/>
  <c r="AT1137" i="1"/>
  <c r="AQ1137" i="1"/>
  <c r="AL1137" i="1"/>
  <c r="AM1137" i="1" s="1"/>
  <c r="AV1136" i="1"/>
  <c r="AU1136" i="1" s="1"/>
  <c r="AT1136" i="1"/>
  <c r="AQ1136" i="1"/>
  <c r="AL1136" i="1"/>
  <c r="AM1136" i="1" s="1"/>
  <c r="AT1135" i="1"/>
  <c r="AV1135" i="1" s="1"/>
  <c r="AU1135" i="1" s="1"/>
  <c r="AL1135" i="1"/>
  <c r="AM1135" i="1" s="1"/>
  <c r="AV1180" i="1"/>
  <c r="AU1180" i="1" s="1"/>
  <c r="AT1180" i="1"/>
  <c r="AQ1180" i="1"/>
  <c r="AL1180" i="1"/>
  <c r="AM1180" i="1" s="1"/>
  <c r="AT1179" i="1"/>
  <c r="AV1179" i="1" s="1"/>
  <c r="AU1179" i="1" s="1"/>
  <c r="AL1179" i="1"/>
  <c r="AM1179" i="1" s="1"/>
  <c r="AT1146" i="1"/>
  <c r="AV1146" i="1" s="1"/>
  <c r="AU1146" i="1" s="1"/>
  <c r="AL1146" i="1"/>
  <c r="AM1146" i="1" s="1"/>
  <c r="AT1145" i="1"/>
  <c r="AV1145" i="1" s="1"/>
  <c r="AU1145" i="1" s="1"/>
  <c r="AM1145" i="1"/>
  <c r="AT1144" i="1"/>
  <c r="AV1144" i="1" s="1"/>
  <c r="AU1144" i="1" s="1"/>
  <c r="AL1144" i="1"/>
  <c r="AM1144" i="1" s="1"/>
  <c r="AV1210" i="1"/>
  <c r="AU1210" i="1" s="1"/>
  <c r="AT1210" i="1"/>
  <c r="AQ1210" i="1"/>
  <c r="AL1210" i="1"/>
  <c r="AM1210" i="1" s="1"/>
  <c r="AQ1134" i="1"/>
  <c r="AT1108" i="1"/>
  <c r="AV1108" i="1" s="1"/>
  <c r="AU1108" i="1" s="1"/>
  <c r="AL1108" i="1"/>
  <c r="AM1108" i="1" s="1"/>
  <c r="AV1107" i="1"/>
  <c r="AU1107" i="1" s="1"/>
  <c r="AT1107" i="1"/>
  <c r="AQ1107" i="1"/>
  <c r="AL1107" i="1"/>
  <c r="AM1107" i="1" s="1"/>
  <c r="AT1106" i="1"/>
  <c r="AV1106" i="1" s="1"/>
  <c r="AU1106" i="1" s="1"/>
  <c r="AL1106" i="1"/>
  <c r="AM1106" i="1" s="1"/>
  <c r="AT1105" i="1"/>
  <c r="AV1105" i="1" s="1"/>
  <c r="AU1105" i="1" s="1"/>
  <c r="AQ1105" i="1"/>
  <c r="AL1105" i="1"/>
  <c r="AM1105" i="1" s="1"/>
  <c r="AT1104" i="1"/>
  <c r="AV1104" i="1" s="1"/>
  <c r="AU1104" i="1" s="1"/>
  <c r="AL1104" i="1"/>
  <c r="AM1104" i="1" s="1"/>
  <c r="AT1103" i="1"/>
  <c r="AV1103" i="1" s="1"/>
  <c r="AU1103" i="1" s="1"/>
  <c r="AL1103" i="1"/>
  <c r="AM1103" i="1" s="1"/>
  <c r="AT1102" i="1"/>
  <c r="AV1102" i="1" s="1"/>
  <c r="AU1102" i="1" s="1"/>
  <c r="AL1102" i="1"/>
  <c r="AM1102" i="1" s="1"/>
  <c r="AV1101" i="1"/>
  <c r="AU1101" i="1" s="1"/>
  <c r="AT1101" i="1"/>
  <c r="AQ1101" i="1"/>
  <c r="AL1101" i="1"/>
  <c r="AM1101" i="1" s="1"/>
  <c r="AV1100" i="1"/>
  <c r="AU1100" i="1" s="1"/>
  <c r="AT1100" i="1"/>
  <c r="AQ1100" i="1"/>
  <c r="AL1100" i="1"/>
  <c r="AM1100" i="1" s="1"/>
  <c r="AV1099" i="1"/>
  <c r="AU1099" i="1" s="1"/>
  <c r="AT1099" i="1"/>
  <c r="AQ1099" i="1"/>
  <c r="AL1099" i="1"/>
  <c r="AM1099" i="1" s="1"/>
  <c r="AV1098" i="1"/>
  <c r="AU1098" i="1" s="1"/>
  <c r="AT1098" i="1"/>
  <c r="AQ1098" i="1"/>
  <c r="AL1098" i="1"/>
  <c r="AM1098" i="1" s="1"/>
  <c r="AT1097" i="1"/>
  <c r="AV1097" i="1" s="1"/>
  <c r="AU1097" i="1" s="1"/>
  <c r="AL1097" i="1"/>
  <c r="AM1097" i="1" s="1"/>
  <c r="AT1096" i="1"/>
  <c r="AV1096" i="1" s="1"/>
  <c r="AU1096" i="1" s="1"/>
  <c r="AL1096" i="1"/>
  <c r="AM1096" i="1" s="1"/>
  <c r="AT1095" i="1"/>
  <c r="AV1095" i="1" s="1"/>
  <c r="AU1095" i="1" s="1"/>
  <c r="AL1095" i="1"/>
  <c r="AM1095" i="1" s="1"/>
  <c r="AT1121" i="1"/>
  <c r="AV1121" i="1" s="1"/>
  <c r="AU1121" i="1" s="1"/>
  <c r="AL1121" i="1"/>
  <c r="AM1121" i="1" s="1"/>
  <c r="AV1115" i="1"/>
  <c r="AU1115" i="1" s="1"/>
  <c r="AT1115" i="1"/>
  <c r="AQ1115" i="1"/>
  <c r="AL1115" i="1"/>
  <c r="AM1115" i="1" s="1"/>
  <c r="AV1114" i="1"/>
  <c r="AU1114" i="1"/>
  <c r="AT1114" i="1"/>
  <c r="AQ1114" i="1"/>
  <c r="AL1114" i="1"/>
  <c r="AM1114" i="1" s="1"/>
  <c r="AV1113" i="1"/>
  <c r="AU1113" i="1" s="1"/>
  <c r="AT1113" i="1"/>
  <c r="AQ1113" i="1"/>
  <c r="AL1113" i="1"/>
  <c r="AM1113" i="1" s="1"/>
  <c r="AV1112" i="1"/>
  <c r="AU1112" i="1"/>
  <c r="AT1112" i="1"/>
  <c r="AQ1112" i="1"/>
  <c r="AL1112" i="1"/>
  <c r="AM1112" i="1" s="1"/>
  <c r="AV1111" i="1"/>
  <c r="AU1111" i="1" s="1"/>
  <c r="AT1111" i="1"/>
  <c r="AQ1111" i="1"/>
  <c r="AL1111" i="1"/>
  <c r="AM1111" i="1" s="1"/>
  <c r="AV1110" i="1"/>
  <c r="AU1110" i="1" s="1"/>
  <c r="AT1110" i="1"/>
  <c r="AQ1110" i="1"/>
  <c r="AL1110" i="1"/>
  <c r="AM1110" i="1" s="1"/>
  <c r="AT1109" i="1"/>
  <c r="AV1109" i="1" s="1"/>
  <c r="AU1109" i="1" s="1"/>
  <c r="AL1109" i="1"/>
  <c r="AM1109" i="1" s="1"/>
  <c r="AQ1094" i="1"/>
  <c r="Z1094" i="1"/>
  <c r="AV1132" i="1"/>
  <c r="AU1132" i="1" s="1"/>
  <c r="AT1132" i="1"/>
  <c r="AQ1132" i="1"/>
  <c r="AL1132" i="1"/>
  <c r="AM1132" i="1" s="1"/>
  <c r="AT1122" i="1"/>
  <c r="AV1122" i="1" s="1"/>
  <c r="AU1122" i="1" s="1"/>
  <c r="AL1122" i="1"/>
  <c r="AM1122" i="1" s="1"/>
  <c r="AV1093" i="1"/>
  <c r="AU1093" i="1" s="1"/>
  <c r="AT1093" i="1"/>
  <c r="AQ1093" i="1"/>
  <c r="AL1093" i="1"/>
  <c r="AM1093" i="1" s="1"/>
  <c r="AV1133" i="1"/>
  <c r="AU1133" i="1" s="1"/>
  <c r="AT1133" i="1"/>
  <c r="AQ1133" i="1"/>
  <c r="AL1133" i="1"/>
  <c r="AM1133" i="1" s="1"/>
  <c r="AD876" i="1"/>
  <c r="Y876" i="1"/>
  <c r="Z876" i="1"/>
  <c r="AQ878" i="1"/>
  <c r="AL878" i="1"/>
  <c r="AM878" i="1" s="1"/>
  <c r="AQ877" i="1"/>
  <c r="AL877" i="1"/>
  <c r="AM877" i="1" s="1"/>
  <c r="AT876" i="1"/>
  <c r="AV876" i="1" s="1"/>
  <c r="AU876" i="1" s="1"/>
  <c r="AQ876" i="1"/>
  <c r="AL876" i="1"/>
  <c r="AM876" i="1" s="1"/>
  <c r="AV875" i="1"/>
  <c r="AU875" i="1" s="1"/>
  <c r="AT875" i="1"/>
  <c r="AQ875" i="1"/>
  <c r="AL875" i="1"/>
  <c r="AM875" i="1" s="1"/>
  <c r="AV874" i="1"/>
  <c r="AU874" i="1" s="1"/>
  <c r="AT874" i="1"/>
  <c r="AQ874" i="1"/>
  <c r="AL874" i="1"/>
  <c r="AM874" i="1" s="1"/>
  <c r="AV873" i="1"/>
  <c r="AU873" i="1"/>
  <c r="AT873" i="1"/>
  <c r="AQ873" i="1"/>
  <c r="AL873" i="1"/>
  <c r="AM873" i="1" s="1"/>
  <c r="AV872" i="1"/>
  <c r="AU872" i="1" s="1"/>
  <c r="AT872" i="1"/>
  <c r="AQ872" i="1"/>
  <c r="AL872" i="1"/>
  <c r="AM872" i="1" s="1"/>
  <c r="AQ881" i="1"/>
  <c r="AL881" i="1"/>
  <c r="AM881" i="1" s="1"/>
  <c r="AQ880" i="1"/>
  <c r="AL880" i="1"/>
  <c r="AM880" i="1" s="1"/>
  <c r="AQ879" i="1"/>
  <c r="AL879" i="1"/>
  <c r="AM879" i="1" s="1"/>
  <c r="Y870" i="1"/>
  <c r="Z870" i="1"/>
  <c r="AL870" i="1" s="1"/>
  <c r="AM870" i="1" s="1"/>
  <c r="Y869" i="1"/>
  <c r="Z869" i="1"/>
  <c r="AL869" i="1" s="1"/>
  <c r="AM869" i="1" s="1"/>
  <c r="Z868" i="1"/>
  <c r="AL868" i="1" s="1"/>
  <c r="AM868" i="1" s="1"/>
  <c r="Y868" i="1"/>
  <c r="Y867" i="1"/>
  <c r="Z867" i="1"/>
  <c r="AL867" i="1" s="1"/>
  <c r="AM867" i="1" s="1"/>
  <c r="Z866" i="1"/>
  <c r="Y866" i="1"/>
  <c r="Y865" i="1"/>
  <c r="Z865" i="1"/>
  <c r="AL865" i="1" s="1"/>
  <c r="AM865" i="1" s="1"/>
  <c r="Y864" i="1"/>
  <c r="Z864" i="1"/>
  <c r="AL864" i="1" s="1"/>
  <c r="AM864" i="1" s="1"/>
  <c r="Z863" i="1"/>
  <c r="Y863" i="1"/>
  <c r="Z862" i="1"/>
  <c r="Y862" i="1"/>
  <c r="Z861" i="1"/>
  <c r="AL861" i="1" s="1"/>
  <c r="AM861" i="1" s="1"/>
  <c r="Y861" i="1"/>
  <c r="Z860" i="1"/>
  <c r="AL860" i="1" s="1"/>
  <c r="AM860" i="1" s="1"/>
  <c r="Y860" i="1"/>
  <c r="AT866" i="1"/>
  <c r="AV866" i="1" s="1"/>
  <c r="AU866" i="1" s="1"/>
  <c r="AQ866" i="1"/>
  <c r="AL866" i="1"/>
  <c r="AM866" i="1" s="1"/>
  <c r="AT865" i="1"/>
  <c r="AT864" i="1"/>
  <c r="AT863" i="1"/>
  <c r="AL863" i="1"/>
  <c r="AM863" i="1" s="1"/>
  <c r="AT862" i="1"/>
  <c r="AL862" i="1"/>
  <c r="AM862" i="1" s="1"/>
  <c r="AT861" i="1"/>
  <c r="AT860" i="1"/>
  <c r="AV859" i="1"/>
  <c r="AU859" i="1"/>
  <c r="AT859" i="1"/>
  <c r="AQ859" i="1"/>
  <c r="AL859" i="1"/>
  <c r="AM859" i="1" s="1"/>
  <c r="AT870" i="1"/>
  <c r="AT868" i="1"/>
  <c r="AQ868" i="1"/>
  <c r="AT867" i="1"/>
  <c r="AV867" i="1" s="1"/>
  <c r="AU867" i="1" s="1"/>
  <c r="AS849" i="1"/>
  <c r="AT849" i="1" s="1"/>
  <c r="Z858" i="1"/>
  <c r="AL858" i="1" s="1"/>
  <c r="AM858" i="1" s="1"/>
  <c r="Y858" i="1"/>
  <c r="Y857" i="1"/>
  <c r="Z857" i="1"/>
  <c r="AL857" i="1" s="1"/>
  <c r="AM857" i="1" s="1"/>
  <c r="AD856" i="1"/>
  <c r="AT856" i="1" s="1"/>
  <c r="Y856" i="1"/>
  <c r="Z856" i="1"/>
  <c r="AL856" i="1" s="1"/>
  <c r="AM856" i="1" s="1"/>
  <c r="AD842" i="1"/>
  <c r="AT858" i="1"/>
  <c r="AV858" i="1" s="1"/>
  <c r="AU858" i="1" s="1"/>
  <c r="AT857" i="1"/>
  <c r="AQ855" i="1"/>
  <c r="AL855" i="1"/>
  <c r="AM855" i="1" s="1"/>
  <c r="Z852" i="1"/>
  <c r="AL852" i="1" s="1"/>
  <c r="AM852" i="1" s="1"/>
  <c r="Y852" i="1"/>
  <c r="Y851" i="1"/>
  <c r="Z851" i="1"/>
  <c r="Y850" i="1"/>
  <c r="Z850" i="1"/>
  <c r="AL850" i="1" s="1"/>
  <c r="AM850" i="1" s="1"/>
  <c r="Y849" i="1"/>
  <c r="Z849" i="1"/>
  <c r="AL849" i="1" s="1"/>
  <c r="AM849" i="1" s="1"/>
  <c r="Z848" i="1"/>
  <c r="AL848" i="1" s="1"/>
  <c r="AM848" i="1" s="1"/>
  <c r="Y848" i="1"/>
  <c r="AT852" i="1"/>
  <c r="AT851" i="1"/>
  <c r="AL851" i="1"/>
  <c r="AM851" i="1" s="1"/>
  <c r="AT850" i="1"/>
  <c r="AQ849" i="1"/>
  <c r="AT848" i="1"/>
  <c r="AV847" i="1"/>
  <c r="AU847" i="1" s="1"/>
  <c r="AT847" i="1"/>
  <c r="AQ847" i="1"/>
  <c r="AL847" i="1"/>
  <c r="AM847" i="1" s="1"/>
  <c r="AV871" i="1"/>
  <c r="AU871" i="1" s="1"/>
  <c r="AT871" i="1"/>
  <c r="AQ871" i="1"/>
  <c r="AM871" i="1"/>
  <c r="AQ854" i="1"/>
  <c r="AL854" i="1"/>
  <c r="AM854" i="1" s="1"/>
  <c r="AQ853" i="1"/>
  <c r="AL853" i="1"/>
  <c r="AM853" i="1" s="1"/>
  <c r="Z846" i="1"/>
  <c r="AL846" i="1" s="1"/>
  <c r="AM846" i="1" s="1"/>
  <c r="Y846" i="1"/>
  <c r="AQ882" i="1"/>
  <c r="AL882" i="1"/>
  <c r="AM882" i="1" s="1"/>
  <c r="AT846" i="1"/>
  <c r="AV845" i="1"/>
  <c r="AU845" i="1" s="1"/>
  <c r="AT845" i="1"/>
  <c r="AQ845" i="1"/>
  <c r="AL845" i="1"/>
  <c r="AM845" i="1" s="1"/>
  <c r="AV844" i="1"/>
  <c r="AU844" i="1" s="1"/>
  <c r="AT844" i="1"/>
  <c r="AQ844" i="1"/>
  <c r="AL844" i="1"/>
  <c r="AM844" i="1" s="1"/>
  <c r="Y842" i="1"/>
  <c r="Z842" i="1"/>
  <c r="AL842" i="1" s="1"/>
  <c r="Z841" i="1"/>
  <c r="AL841" i="1" s="1"/>
  <c r="AM841" i="1" s="1"/>
  <c r="Y841" i="1"/>
  <c r="AL840" i="1"/>
  <c r="AM840" i="1" s="1"/>
  <c r="Y839" i="1"/>
  <c r="Z839" i="1"/>
  <c r="AL839" i="1" s="1"/>
  <c r="AM839" i="1" s="1"/>
  <c r="AV840" i="1"/>
  <c r="AU840" i="1" s="1"/>
  <c r="AT840" i="1"/>
  <c r="AQ840" i="1"/>
  <c r="AT839" i="1"/>
  <c r="AV839" i="1" s="1"/>
  <c r="AU839" i="1" s="1"/>
  <c r="AV838" i="1"/>
  <c r="AU838" i="1" s="1"/>
  <c r="AT838" i="1"/>
  <c r="AQ838" i="1"/>
  <c r="AL838" i="1"/>
  <c r="AM838" i="1" s="1"/>
  <c r="AV837" i="1"/>
  <c r="AU837" i="1"/>
  <c r="AT837" i="1"/>
  <c r="AQ837" i="1"/>
  <c r="AL837" i="1"/>
  <c r="AM837" i="1" s="1"/>
  <c r="AV843" i="1"/>
  <c r="AU843" i="1"/>
  <c r="AT843" i="1"/>
  <c r="AQ843" i="1"/>
  <c r="AL843" i="1"/>
  <c r="AM843" i="1" s="1"/>
  <c r="AM842" i="1"/>
  <c r="AT841" i="1"/>
  <c r="AV841" i="1" s="1"/>
  <c r="AU841" i="1" s="1"/>
  <c r="AQ841" i="1"/>
  <c r="Y835" i="1"/>
  <c r="Z835" i="1"/>
  <c r="AL835" i="1" s="1"/>
  <c r="AM835" i="1" s="1"/>
  <c r="Y834" i="1"/>
  <c r="Z834" i="1"/>
  <c r="AL834" i="1" s="1"/>
  <c r="Y833" i="1"/>
  <c r="Z833" i="1"/>
  <c r="AL833" i="1" s="1"/>
  <c r="AM833" i="1" s="1"/>
  <c r="AT835" i="1"/>
  <c r="AT834" i="1"/>
  <c r="AQ834" i="1"/>
  <c r="AM834" i="1"/>
  <c r="AT833" i="1"/>
  <c r="AV832" i="1"/>
  <c r="AU832" i="1" s="1"/>
  <c r="AT832" i="1"/>
  <c r="AQ832" i="1"/>
  <c r="AL832" i="1"/>
  <c r="AM832" i="1" s="1"/>
  <c r="Z830" i="1"/>
  <c r="AL830" i="1" s="1"/>
  <c r="Y830" i="1"/>
  <c r="AS800" i="1"/>
  <c r="Z829" i="1"/>
  <c r="AL829" i="1" s="1"/>
  <c r="AM829" i="1" s="1"/>
  <c r="Y829" i="1"/>
  <c r="Z828" i="1"/>
  <c r="AL828" i="1" s="1"/>
  <c r="AM828" i="1" s="1"/>
  <c r="Y828" i="1"/>
  <c r="Z827" i="1"/>
  <c r="AL827" i="1" s="1"/>
  <c r="Y827" i="1"/>
  <c r="Z826" i="1"/>
  <c r="AL826" i="1" s="1"/>
  <c r="AM826" i="1" s="1"/>
  <c r="Y826" i="1"/>
  <c r="AT830" i="1"/>
  <c r="AV830" i="1" s="1"/>
  <c r="AU830" i="1" s="1"/>
  <c r="AM830" i="1"/>
  <c r="AT829" i="1"/>
  <c r="AT828" i="1"/>
  <c r="AT827" i="1"/>
  <c r="AQ827" i="1"/>
  <c r="AM827" i="1"/>
  <c r="AT826" i="1"/>
  <c r="AV831" i="1"/>
  <c r="AU831" i="1" s="1"/>
  <c r="AT831" i="1"/>
  <c r="AQ831" i="1"/>
  <c r="AL831" i="1"/>
  <c r="AM831" i="1" s="1"/>
  <c r="AV825" i="1"/>
  <c r="AU825" i="1" s="1"/>
  <c r="AT825" i="1"/>
  <c r="AQ825" i="1"/>
  <c r="AL825" i="1"/>
  <c r="AM825" i="1" s="1"/>
  <c r="AV824" i="1"/>
  <c r="AU824" i="1" s="1"/>
  <c r="AT824" i="1"/>
  <c r="AQ824" i="1"/>
  <c r="AL824" i="1"/>
  <c r="AM824" i="1" s="1"/>
  <c r="AV823" i="1"/>
  <c r="AU823" i="1"/>
  <c r="AT823" i="1"/>
  <c r="AQ823" i="1"/>
  <c r="AL823" i="1"/>
  <c r="AM823" i="1" s="1"/>
  <c r="Z822" i="1"/>
  <c r="AL822" i="1" s="1"/>
  <c r="AM822" i="1" s="1"/>
  <c r="Y822" i="1"/>
  <c r="Z819" i="1"/>
  <c r="AL819" i="1" s="1"/>
  <c r="AM819" i="1" s="1"/>
  <c r="Y819" i="1"/>
  <c r="Y812" i="1"/>
  <c r="Z812" i="1"/>
  <c r="AL812" i="1" s="1"/>
  <c r="AM812" i="1" s="1"/>
  <c r="Y813" i="1"/>
  <c r="Z813" i="1"/>
  <c r="Y814" i="1"/>
  <c r="Z814" i="1"/>
  <c r="AL815" i="1"/>
  <c r="Y816" i="1"/>
  <c r="Z816" i="1"/>
  <c r="AL816" i="1" s="1"/>
  <c r="AM816" i="1" s="1"/>
  <c r="Y818" i="1"/>
  <c r="Z818" i="1"/>
  <c r="AL818" i="1" s="1"/>
  <c r="AM818" i="1" s="1"/>
  <c r="AV820" i="1"/>
  <c r="AU820" i="1" s="1"/>
  <c r="AT820" i="1"/>
  <c r="AQ820" i="1"/>
  <c r="AL820" i="1"/>
  <c r="AM820" i="1" s="1"/>
  <c r="AT819" i="1"/>
  <c r="AV819" i="1" s="1"/>
  <c r="AU819" i="1" s="1"/>
  <c r="AQ819" i="1"/>
  <c r="AT818" i="1"/>
  <c r="AV817" i="1"/>
  <c r="AU817" i="1" s="1"/>
  <c r="AT817" i="1"/>
  <c r="AQ817" i="1"/>
  <c r="AL817" i="1"/>
  <c r="AM817" i="1" s="1"/>
  <c r="AT816" i="1"/>
  <c r="Y811" i="1"/>
  <c r="Z811" i="1"/>
  <c r="AL811" i="1" s="1"/>
  <c r="AM811" i="1" s="1"/>
  <c r="AV821" i="1"/>
  <c r="AU821" i="1" s="1"/>
  <c r="AT821" i="1"/>
  <c r="AQ821" i="1"/>
  <c r="AL821" i="1"/>
  <c r="AM821" i="1" s="1"/>
  <c r="AT815" i="1"/>
  <c r="AV815" i="1" s="1"/>
  <c r="AU815" i="1" s="1"/>
  <c r="AQ815" i="1"/>
  <c r="AM815" i="1"/>
  <c r="AT813" i="1"/>
  <c r="AQ813" i="1"/>
  <c r="AL813" i="1"/>
  <c r="AM813" i="1" s="1"/>
  <c r="AT812" i="1"/>
  <c r="AV812" i="1" s="1"/>
  <c r="AU812" i="1" s="1"/>
  <c r="AT811" i="1"/>
  <c r="Y808" i="1"/>
  <c r="Z808" i="1"/>
  <c r="AL808" i="1" s="1"/>
  <c r="AM808" i="1" s="1"/>
  <c r="AT822" i="1"/>
  <c r="AV810" i="1"/>
  <c r="AU810" i="1" s="1"/>
  <c r="AT810" i="1"/>
  <c r="AQ810" i="1"/>
  <c r="AL810" i="1"/>
  <c r="AM810" i="1" s="1"/>
  <c r="AV809" i="1"/>
  <c r="AU809" i="1"/>
  <c r="AT809" i="1"/>
  <c r="AQ809" i="1"/>
  <c r="AL809" i="1"/>
  <c r="AM809" i="1" s="1"/>
  <c r="AT808" i="1"/>
  <c r="AV807" i="1"/>
  <c r="AU807" i="1" s="1"/>
  <c r="AT807" i="1"/>
  <c r="AQ807" i="1"/>
  <c r="AL807" i="1"/>
  <c r="AM807" i="1" s="1"/>
  <c r="AQ892" i="1"/>
  <c r="AL892" i="1"/>
  <c r="AM892" i="1" s="1"/>
  <c r="Y805" i="1"/>
  <c r="Z805" i="1"/>
  <c r="AL804" i="1"/>
  <c r="AM804" i="1" s="1"/>
  <c r="AV806" i="1"/>
  <c r="AU806" i="1" s="1"/>
  <c r="AT806" i="1"/>
  <c r="AQ806" i="1"/>
  <c r="AL806" i="1"/>
  <c r="AM806" i="1" s="1"/>
  <c r="AT805" i="1"/>
  <c r="AL805" i="1"/>
  <c r="AM805" i="1" s="1"/>
  <c r="AV804" i="1"/>
  <c r="AU804" i="1" s="1"/>
  <c r="AT804" i="1"/>
  <c r="AQ804" i="1"/>
  <c r="Z803" i="1"/>
  <c r="AL803" i="1" s="1"/>
  <c r="Y803" i="1"/>
  <c r="Z802" i="1"/>
  <c r="AL802" i="1" s="1"/>
  <c r="AM802" i="1" s="1"/>
  <c r="Y802" i="1"/>
  <c r="Z801" i="1"/>
  <c r="AL801" i="1" s="1"/>
  <c r="AM801" i="1" s="1"/>
  <c r="Y801" i="1"/>
  <c r="Z800" i="1"/>
  <c r="AL800" i="1" s="1"/>
  <c r="AM800" i="1" s="1"/>
  <c r="Y800" i="1"/>
  <c r="AS783" i="1"/>
  <c r="Y797" i="1"/>
  <c r="Z797" i="1"/>
  <c r="AL797" i="1" s="1"/>
  <c r="AM797" i="1" s="1"/>
  <c r="AT801" i="1"/>
  <c r="AT800" i="1"/>
  <c r="AV800" i="1" s="1"/>
  <c r="AU800" i="1" s="1"/>
  <c r="AV799" i="1"/>
  <c r="AU799" i="1" s="1"/>
  <c r="AT799" i="1"/>
  <c r="AQ799" i="1"/>
  <c r="AL799" i="1"/>
  <c r="AM799" i="1" s="1"/>
  <c r="AV798" i="1"/>
  <c r="AU798" i="1"/>
  <c r="AT798" i="1"/>
  <c r="AQ798" i="1"/>
  <c r="AL798" i="1"/>
  <c r="AM798" i="1" s="1"/>
  <c r="AT797" i="1"/>
  <c r="Z796" i="1"/>
  <c r="AL796" i="1" s="1"/>
  <c r="AM796" i="1" s="1"/>
  <c r="Y796" i="1"/>
  <c r="AT802" i="1"/>
  <c r="AT796" i="1"/>
  <c r="AQ795" i="1"/>
  <c r="AL795" i="1"/>
  <c r="AM795" i="1" s="1"/>
  <c r="AQ794" i="1"/>
  <c r="AL794" i="1"/>
  <c r="AM794" i="1" s="1"/>
  <c r="Z793" i="1"/>
  <c r="AL793" i="1" s="1"/>
  <c r="AM793" i="1" s="1"/>
  <c r="Y793" i="1"/>
  <c r="Z791" i="1"/>
  <c r="AL791" i="1" s="1"/>
  <c r="AM791" i="1" s="1"/>
  <c r="Y791" i="1"/>
  <c r="Z790" i="1"/>
  <c r="AL790" i="1" s="1"/>
  <c r="AM790" i="1" s="1"/>
  <c r="Y790" i="1"/>
  <c r="Z789" i="1"/>
  <c r="AL789" i="1" s="1"/>
  <c r="AM789" i="1" s="1"/>
  <c r="Y789" i="1"/>
  <c r="AD778" i="1"/>
  <c r="AT778" i="1" s="1"/>
  <c r="AT789" i="1"/>
  <c r="AQ788" i="1"/>
  <c r="AL788" i="1"/>
  <c r="AM788" i="1" s="1"/>
  <c r="AQ787" i="1"/>
  <c r="AL787" i="1"/>
  <c r="AM787" i="1" s="1"/>
  <c r="AQ786" i="1"/>
  <c r="AL786" i="1"/>
  <c r="AM786" i="1" s="1"/>
  <c r="AQ785" i="1"/>
  <c r="AL785" i="1"/>
  <c r="AM785" i="1" s="1"/>
  <c r="AQ784" i="1"/>
  <c r="AL784" i="1"/>
  <c r="AM784" i="1" s="1"/>
  <c r="AT793" i="1"/>
  <c r="AV793" i="1" s="1"/>
  <c r="AU793" i="1" s="1"/>
  <c r="AQ792" i="1"/>
  <c r="AL792" i="1"/>
  <c r="AM792" i="1" s="1"/>
  <c r="AT791" i="1"/>
  <c r="AT790" i="1"/>
  <c r="Z783" i="1"/>
  <c r="AL783" i="1" s="1"/>
  <c r="AM783" i="1" s="1"/>
  <c r="Y783" i="1"/>
  <c r="Z782" i="1"/>
  <c r="AL782" i="1" s="1"/>
  <c r="AM782" i="1" s="1"/>
  <c r="Y782" i="1"/>
  <c r="Z779" i="1"/>
  <c r="AL779" i="1" s="1"/>
  <c r="Y779" i="1"/>
  <c r="AS776" i="1"/>
  <c r="Y778" i="1"/>
  <c r="Z778" i="1"/>
  <c r="AL778" i="1" s="1"/>
  <c r="AM778" i="1" s="1"/>
  <c r="Z776" i="1"/>
  <c r="AL776" i="1" s="1"/>
  <c r="AM776" i="1" s="1"/>
  <c r="Y776" i="1"/>
  <c r="Y775" i="1"/>
  <c r="Z775" i="1"/>
  <c r="Z772" i="1"/>
  <c r="Y772" i="1"/>
  <c r="AS636" i="1"/>
  <c r="AS730" i="1"/>
  <c r="AQ777" i="1"/>
  <c r="AL777" i="1"/>
  <c r="AM777" i="1" s="1"/>
  <c r="AT776" i="1"/>
  <c r="AT775" i="1"/>
  <c r="AV775" i="1" s="1"/>
  <c r="AU775" i="1" s="1"/>
  <c r="AL775" i="1"/>
  <c r="AM775" i="1" s="1"/>
  <c r="AQ774" i="1"/>
  <c r="AL774" i="1"/>
  <c r="AM774" i="1" s="1"/>
  <c r="AQ773" i="1"/>
  <c r="AL773" i="1"/>
  <c r="AM773" i="1" s="1"/>
  <c r="AT772" i="1"/>
  <c r="AV772" i="1" s="1"/>
  <c r="AU772" i="1" s="1"/>
  <c r="AL772" i="1"/>
  <c r="AM772" i="1" s="1"/>
  <c r="AQ771" i="1"/>
  <c r="AL771" i="1"/>
  <c r="AM771" i="1" s="1"/>
  <c r="AT782" i="1"/>
  <c r="AQ781" i="1"/>
  <c r="AL781" i="1"/>
  <c r="AM781" i="1" s="1"/>
  <c r="AQ780" i="1"/>
  <c r="AL780" i="1"/>
  <c r="AM780" i="1" s="1"/>
  <c r="AM779" i="1"/>
  <c r="Z763" i="1"/>
  <c r="AL763" i="1" s="1"/>
  <c r="AM763" i="1" s="1"/>
  <c r="Y763" i="1"/>
  <c r="AD730" i="1"/>
  <c r="Y756" i="1"/>
  <c r="Z756" i="1"/>
  <c r="AL756" i="1" s="1"/>
  <c r="AM756" i="1" s="1"/>
  <c r="Z731" i="1"/>
  <c r="Y731" i="1"/>
  <c r="Y730" i="1"/>
  <c r="Z730" i="1"/>
  <c r="AL730" i="1" s="1"/>
  <c r="Z729" i="1"/>
  <c r="AL729" i="1" s="1"/>
  <c r="AM729" i="1" s="1"/>
  <c r="Y729" i="1"/>
  <c r="Z728" i="1"/>
  <c r="AL728" i="1" s="1"/>
  <c r="AM728" i="1" s="1"/>
  <c r="Y728" i="1"/>
  <c r="AM730" i="1"/>
  <c r="AT729" i="1"/>
  <c r="AT728" i="1"/>
  <c r="AQ728" i="1"/>
  <c r="AQ727" i="1"/>
  <c r="AL727" i="1"/>
  <c r="AM727" i="1" s="1"/>
  <c r="Z725" i="1"/>
  <c r="AL725" i="1" s="1"/>
  <c r="AM725" i="1" s="1"/>
  <c r="Y725" i="1"/>
  <c r="AQ764" i="1"/>
  <c r="AL764" i="1"/>
  <c r="AM764" i="1" s="1"/>
  <c r="AT763" i="1"/>
  <c r="AV763" i="1" s="1"/>
  <c r="AU763" i="1" s="1"/>
  <c r="AQ762" i="1"/>
  <c r="AL762" i="1"/>
  <c r="AM762" i="1" s="1"/>
  <c r="AQ761" i="1"/>
  <c r="AL761" i="1"/>
  <c r="AM761" i="1" s="1"/>
  <c r="AQ760" i="1"/>
  <c r="AL760" i="1"/>
  <c r="AM760" i="1" s="1"/>
  <c r="AQ759" i="1"/>
  <c r="AL759" i="1"/>
  <c r="AM759" i="1" s="1"/>
  <c r="AQ758" i="1"/>
  <c r="AL758" i="1"/>
  <c r="AM758" i="1" s="1"/>
  <c r="AQ757" i="1"/>
  <c r="AL757" i="1"/>
  <c r="AM757" i="1" s="1"/>
  <c r="AT756" i="1"/>
  <c r="AV756" i="1" s="1"/>
  <c r="AU756" i="1" s="1"/>
  <c r="AQ755" i="1"/>
  <c r="AL755" i="1"/>
  <c r="AM755" i="1" s="1"/>
  <c r="AQ769" i="1"/>
  <c r="AL769" i="1"/>
  <c r="AM769" i="1" s="1"/>
  <c r="AQ768" i="1"/>
  <c r="AL768" i="1"/>
  <c r="AM768" i="1" s="1"/>
  <c r="AQ767" i="1"/>
  <c r="AL767" i="1"/>
  <c r="AM767" i="1" s="1"/>
  <c r="AQ766" i="1"/>
  <c r="AL766" i="1"/>
  <c r="AM766" i="1" s="1"/>
  <c r="AQ765" i="1"/>
  <c r="AL765" i="1"/>
  <c r="AM765" i="1" s="1"/>
  <c r="Z724" i="1"/>
  <c r="AL724" i="1" s="1"/>
  <c r="AM724" i="1" s="1"/>
  <c r="Y724" i="1"/>
  <c r="AQ726" i="1"/>
  <c r="AL726" i="1"/>
  <c r="AM726" i="1" s="1"/>
  <c r="AT725" i="1"/>
  <c r="AT724" i="1"/>
  <c r="AV724" i="1" s="1"/>
  <c r="AU724" i="1" s="1"/>
  <c r="AQ733" i="1"/>
  <c r="AL733" i="1"/>
  <c r="AM733" i="1" s="1"/>
  <c r="AQ732" i="1"/>
  <c r="AL732" i="1"/>
  <c r="AM732" i="1" s="1"/>
  <c r="AT731" i="1"/>
  <c r="AV731" i="1" s="1"/>
  <c r="AU731" i="1" s="1"/>
  <c r="AL731" i="1"/>
  <c r="AM731" i="1" s="1"/>
  <c r="AQ723" i="1"/>
  <c r="AQ722" i="1"/>
  <c r="AL722" i="1"/>
  <c r="AM722" i="1" s="1"/>
  <c r="AQ721" i="1"/>
  <c r="AL721" i="1"/>
  <c r="AM721" i="1" s="1"/>
  <c r="AQ720" i="1"/>
  <c r="AL720" i="1"/>
  <c r="AM720" i="1" s="1"/>
  <c r="AS705" i="1"/>
  <c r="Z719" i="1"/>
  <c r="AL719" i="1" s="1"/>
  <c r="AM719" i="1" s="1"/>
  <c r="Y719" i="1"/>
  <c r="Y718" i="1"/>
  <c r="Z718" i="1"/>
  <c r="AL718" i="1" s="1"/>
  <c r="AM718" i="1" s="1"/>
  <c r="AS678" i="1"/>
  <c r="AT678" i="1" s="1"/>
  <c r="Z716" i="1"/>
  <c r="AL716" i="1" s="1"/>
  <c r="AM716" i="1" s="1"/>
  <c r="Y716" i="1"/>
  <c r="Z715" i="1"/>
  <c r="AL715" i="1" s="1"/>
  <c r="AM715" i="1" s="1"/>
  <c r="Y715" i="1"/>
  <c r="Z714" i="1"/>
  <c r="AL714" i="1" s="1"/>
  <c r="AM714" i="1" s="1"/>
  <c r="Y714" i="1"/>
  <c r="Z713" i="1"/>
  <c r="AL713" i="1" s="1"/>
  <c r="AM713" i="1" s="1"/>
  <c r="Y713" i="1"/>
  <c r="AS682" i="1"/>
  <c r="Z711" i="1"/>
  <c r="AL711" i="1" s="1"/>
  <c r="AM711" i="1" s="1"/>
  <c r="Y711" i="1"/>
  <c r="AT716" i="1"/>
  <c r="AV716" i="1" s="1"/>
  <c r="AU716" i="1" s="1"/>
  <c r="AT715" i="1"/>
  <c r="AT714" i="1"/>
  <c r="AV714" i="1" s="1"/>
  <c r="AU714" i="1" s="1"/>
  <c r="AT713" i="1"/>
  <c r="AQ712" i="1"/>
  <c r="AL712" i="1"/>
  <c r="AM712" i="1" s="1"/>
  <c r="AT711" i="1"/>
  <c r="AQ711" i="1"/>
  <c r="AT719" i="1"/>
  <c r="AT718" i="1"/>
  <c r="AQ717" i="1"/>
  <c r="AL717" i="1"/>
  <c r="AM717" i="1" s="1"/>
  <c r="Y710" i="1"/>
  <c r="Z710" i="1"/>
  <c r="AL710" i="1" s="1"/>
  <c r="AM710" i="1" s="1"/>
  <c r="AD705" i="1"/>
  <c r="AQ708" i="1"/>
  <c r="AL708" i="1"/>
  <c r="AM708" i="1" s="1"/>
  <c r="AQ707" i="1"/>
  <c r="AL707" i="1"/>
  <c r="AM707" i="1" s="1"/>
  <c r="Z705" i="1"/>
  <c r="AL705" i="1" s="1"/>
  <c r="AM705" i="1" s="1"/>
  <c r="Y705" i="1"/>
  <c r="AS572" i="1"/>
  <c r="AQ701" i="1"/>
  <c r="AL701" i="1"/>
  <c r="AM701" i="1" s="1"/>
  <c r="AQ700" i="1"/>
  <c r="AL700" i="1"/>
  <c r="AM700" i="1" s="1"/>
  <c r="AQ699" i="1"/>
  <c r="AL699" i="1"/>
  <c r="AM699" i="1" s="1"/>
  <c r="AQ698" i="1"/>
  <c r="AL698" i="1"/>
  <c r="AM698" i="1" s="1"/>
  <c r="AQ697" i="1"/>
  <c r="AL697" i="1"/>
  <c r="AM697" i="1" s="1"/>
  <c r="AQ696" i="1"/>
  <c r="AL696" i="1"/>
  <c r="AM696" i="1" s="1"/>
  <c r="AQ695" i="1"/>
  <c r="AL695" i="1"/>
  <c r="AM695" i="1" s="1"/>
  <c r="AQ694" i="1"/>
  <c r="AL694" i="1"/>
  <c r="AM694" i="1" s="1"/>
  <c r="AQ693" i="1"/>
  <c r="AL693" i="1"/>
  <c r="AM693" i="1" s="1"/>
  <c r="AQ692" i="1"/>
  <c r="AL692" i="1"/>
  <c r="AM692" i="1" s="1"/>
  <c r="AQ706" i="1"/>
  <c r="AL706" i="1"/>
  <c r="AM706" i="1" s="1"/>
  <c r="AT705" i="1"/>
  <c r="AQ704" i="1"/>
  <c r="AL704" i="1"/>
  <c r="AM704" i="1" s="1"/>
  <c r="AQ703" i="1"/>
  <c r="AL703" i="1"/>
  <c r="AM703" i="1" s="1"/>
  <c r="AQ702" i="1"/>
  <c r="AL702" i="1"/>
  <c r="AM702" i="1" s="1"/>
  <c r="AQ754" i="1"/>
  <c r="AL754" i="1"/>
  <c r="AM754" i="1" s="1"/>
  <c r="AQ753" i="1"/>
  <c r="AL753" i="1"/>
  <c r="AM753" i="1" s="1"/>
  <c r="AQ752" i="1"/>
  <c r="AL752" i="1"/>
  <c r="AM752" i="1" s="1"/>
  <c r="AQ751" i="1"/>
  <c r="AL751" i="1"/>
  <c r="AM751" i="1" s="1"/>
  <c r="AQ750" i="1"/>
  <c r="AL750" i="1"/>
  <c r="AM750" i="1" s="1"/>
  <c r="AV1006" i="1"/>
  <c r="AU1006" i="1" s="1"/>
  <c r="AT1006" i="1"/>
  <c r="AQ1006" i="1"/>
  <c r="AL1006" i="1"/>
  <c r="AM1006" i="1" s="1"/>
  <c r="AV1005" i="1"/>
  <c r="AU1005" i="1" s="1"/>
  <c r="AT1005" i="1"/>
  <c r="AQ1005" i="1"/>
  <c r="AL1005" i="1"/>
  <c r="AM1005" i="1" s="1"/>
  <c r="AV1004" i="1"/>
  <c r="AU1004" i="1" s="1"/>
  <c r="AT1004" i="1"/>
  <c r="AQ1004" i="1"/>
  <c r="AL1004" i="1"/>
  <c r="AM1004" i="1" s="1"/>
  <c r="AV1003" i="1"/>
  <c r="AU1003" i="1" s="1"/>
  <c r="AT1003" i="1"/>
  <c r="AQ1003" i="1"/>
  <c r="AL1003" i="1"/>
  <c r="AM1003" i="1" s="1"/>
  <c r="AT1002" i="1"/>
  <c r="AQ1002" i="1"/>
  <c r="AL1002" i="1"/>
  <c r="AM1002" i="1" s="1"/>
  <c r="AT1001" i="1"/>
  <c r="AL1001" i="1"/>
  <c r="AM1001" i="1" s="1"/>
  <c r="AT999" i="1"/>
  <c r="AV999" i="1" s="1"/>
  <c r="AU999" i="1" s="1"/>
  <c r="AL999" i="1"/>
  <c r="AM999" i="1" s="1"/>
  <c r="AV998" i="1"/>
  <c r="AU998" i="1" s="1"/>
  <c r="AT998" i="1"/>
  <c r="AQ998" i="1"/>
  <c r="AT1011" i="1"/>
  <c r="AT1010" i="1"/>
  <c r="AV1010" i="1" s="1"/>
  <c r="AU1010" i="1" s="1"/>
  <c r="AL1010" i="1"/>
  <c r="AM1010" i="1" s="1"/>
  <c r="AT1009" i="1"/>
  <c r="AV1009" i="1" s="1"/>
  <c r="AU1009" i="1" s="1"/>
  <c r="AL1009" i="1"/>
  <c r="AM1009" i="1" s="1"/>
  <c r="AT1008" i="1"/>
  <c r="AV1008" i="1" s="1"/>
  <c r="AU1008" i="1" s="1"/>
  <c r="AL1008" i="1"/>
  <c r="AM1008" i="1" s="1"/>
  <c r="AT1007" i="1"/>
  <c r="AV1007" i="1" s="1"/>
  <c r="AU1007" i="1" s="1"/>
  <c r="AL1007" i="1"/>
  <c r="AM1007" i="1" s="1"/>
  <c r="AV906" i="1"/>
  <c r="AU906" i="1" s="1"/>
  <c r="AT906" i="1"/>
  <c r="AL906" i="1"/>
  <c r="AM906" i="1" s="1"/>
  <c r="AT905" i="1"/>
  <c r="AV905" i="1" s="1"/>
  <c r="AU905" i="1" s="1"/>
  <c r="AL905" i="1"/>
  <c r="AM905" i="1" s="1"/>
  <c r="AT904" i="1"/>
  <c r="AQ903" i="1"/>
  <c r="AL903" i="1"/>
  <c r="AM903" i="1" s="1"/>
  <c r="AQ902" i="1"/>
  <c r="AL902" i="1"/>
  <c r="AM902" i="1" s="1"/>
  <c r="AQ901" i="1"/>
  <c r="AL901" i="1"/>
  <c r="AM901" i="1" s="1"/>
  <c r="AQ900" i="1"/>
  <c r="AL900" i="1"/>
  <c r="AM900" i="1" s="1"/>
  <c r="AQ899" i="1"/>
  <c r="AL899" i="1"/>
  <c r="AM899" i="1" s="1"/>
  <c r="AQ898" i="1"/>
  <c r="AL898" i="1"/>
  <c r="AM898" i="1" s="1"/>
  <c r="AQ897" i="1"/>
  <c r="AL897" i="1"/>
  <c r="AM897" i="1" s="1"/>
  <c r="AQ937" i="1"/>
  <c r="AL937" i="1"/>
  <c r="AM937" i="1" s="1"/>
  <c r="AQ910" i="1"/>
  <c r="AL910" i="1"/>
  <c r="AM910" i="1" s="1"/>
  <c r="AQ909" i="1"/>
  <c r="AL909" i="1"/>
  <c r="AM909" i="1" s="1"/>
  <c r="AL908" i="1"/>
  <c r="AM908" i="1" s="1"/>
  <c r="AT907" i="1"/>
  <c r="AV907" i="1" s="1"/>
  <c r="AU907" i="1" s="1"/>
  <c r="AR907" i="1"/>
  <c r="AV1092" i="1"/>
  <c r="AU1092" i="1" s="1"/>
  <c r="AT1092" i="1"/>
  <c r="AQ1092" i="1"/>
  <c r="AL1092" i="1"/>
  <c r="AM1092" i="1" s="1"/>
  <c r="AV1091" i="1"/>
  <c r="AU1091" i="1"/>
  <c r="AT1091" i="1"/>
  <c r="AQ1091" i="1"/>
  <c r="AL1091" i="1"/>
  <c r="AM1091" i="1" s="1"/>
  <c r="AQ997" i="1"/>
  <c r="AV995" i="1"/>
  <c r="AU995" i="1" s="1"/>
  <c r="AT995" i="1"/>
  <c r="AQ995" i="1"/>
  <c r="AV994" i="1"/>
  <c r="AU994" i="1" s="1"/>
  <c r="AT994" i="1"/>
  <c r="AQ994" i="1"/>
  <c r="AV993" i="1"/>
  <c r="AU993" i="1" s="1"/>
  <c r="AT993" i="1"/>
  <c r="AQ993" i="1"/>
  <c r="AQ938" i="1"/>
  <c r="AL938" i="1"/>
  <c r="AM938" i="1" s="1"/>
  <c r="AQ896" i="1"/>
  <c r="AV836" i="1"/>
  <c r="AU836" i="1"/>
  <c r="AT836" i="1"/>
  <c r="AL836" i="1"/>
  <c r="AM836" i="1" s="1"/>
  <c r="AT803" i="1"/>
  <c r="AV803" i="1" s="1"/>
  <c r="AU803" i="1" s="1"/>
  <c r="AM803" i="1"/>
  <c r="AT783" i="1"/>
  <c r="AV783" i="1" s="1"/>
  <c r="AU783" i="1" s="1"/>
  <c r="AQ770" i="1"/>
  <c r="AL770" i="1"/>
  <c r="AM770" i="1" s="1"/>
  <c r="AQ749" i="1"/>
  <c r="AL749" i="1"/>
  <c r="AM749" i="1" s="1"/>
  <c r="AQ748" i="1"/>
  <c r="AL748" i="1"/>
  <c r="AM748" i="1" s="1"/>
  <c r="AQ747" i="1"/>
  <c r="AL747" i="1"/>
  <c r="AM747" i="1" s="1"/>
  <c r="AQ893" i="1"/>
  <c r="AL893" i="1"/>
  <c r="AM893" i="1" s="1"/>
  <c r="AQ746" i="1"/>
  <c r="AL746" i="1"/>
  <c r="AM746" i="1" s="1"/>
  <c r="AQ745" i="1"/>
  <c r="AL745" i="1"/>
  <c r="AM745" i="1" s="1"/>
  <c r="AQ744" i="1"/>
  <c r="AL744" i="1"/>
  <c r="AM744" i="1" s="1"/>
  <c r="AQ743" i="1"/>
  <c r="AL743" i="1"/>
  <c r="AM743" i="1" s="1"/>
  <c r="AQ742" i="1"/>
  <c r="AL742" i="1"/>
  <c r="AM742" i="1" s="1"/>
  <c r="AQ741" i="1"/>
  <c r="AL741" i="1"/>
  <c r="AM741" i="1" s="1"/>
  <c r="AQ895" i="1"/>
  <c r="AL895" i="1"/>
  <c r="AM895" i="1" s="1"/>
  <c r="AQ894" i="1"/>
  <c r="AL894" i="1"/>
  <c r="AM894" i="1" s="1"/>
  <c r="AQ740" i="1"/>
  <c r="AL740" i="1"/>
  <c r="AM740" i="1" s="1"/>
  <c r="AY736" i="1"/>
  <c r="AS657" i="1"/>
  <c r="Z682" i="1"/>
  <c r="AL682" i="1" s="1"/>
  <c r="AM682" i="1" s="1"/>
  <c r="Y682" i="1"/>
  <c r="AS675" i="1"/>
  <c r="Z681" i="1"/>
  <c r="AL681" i="1" s="1"/>
  <c r="AM681" i="1" s="1"/>
  <c r="Y681" i="1"/>
  <c r="AQ689" i="1"/>
  <c r="AL689" i="1"/>
  <c r="AM689" i="1" s="1"/>
  <c r="AQ688" i="1"/>
  <c r="AL688" i="1"/>
  <c r="AM688" i="1" s="1"/>
  <c r="AQ687" i="1"/>
  <c r="AL687" i="1"/>
  <c r="AM687" i="1" s="1"/>
  <c r="AQ686" i="1"/>
  <c r="AL686" i="1"/>
  <c r="AM686" i="1" s="1"/>
  <c r="AQ685" i="1"/>
  <c r="AL685" i="1"/>
  <c r="AM685" i="1" s="1"/>
  <c r="AQ684" i="1"/>
  <c r="AL684" i="1"/>
  <c r="AM684" i="1" s="1"/>
  <c r="AQ683" i="1"/>
  <c r="AL683" i="1"/>
  <c r="AM683" i="1" s="1"/>
  <c r="AQ709" i="1"/>
  <c r="AL709" i="1"/>
  <c r="AM709" i="1" s="1"/>
  <c r="AQ691" i="1"/>
  <c r="AL691" i="1"/>
  <c r="AM691" i="1" s="1"/>
  <c r="AQ690" i="1"/>
  <c r="AL690" i="1"/>
  <c r="AM690" i="1" s="1"/>
  <c r="AD673" i="1"/>
  <c r="Z679" i="1"/>
  <c r="Y679" i="1"/>
  <c r="AS648" i="1"/>
  <c r="AT648" i="1" s="1"/>
  <c r="AT682" i="1"/>
  <c r="AT681" i="1"/>
  <c r="AQ680" i="1"/>
  <c r="AL680" i="1"/>
  <c r="AM680" i="1" s="1"/>
  <c r="AT679" i="1"/>
  <c r="AV679" i="1" s="1"/>
  <c r="AU679" i="1" s="1"/>
  <c r="AL679" i="1"/>
  <c r="AM679" i="1" s="1"/>
  <c r="Y678" i="1"/>
  <c r="Z678" i="1"/>
  <c r="AL678" i="1" s="1"/>
  <c r="AM678" i="1" s="1"/>
  <c r="AS655" i="1"/>
  <c r="AT655" i="1" s="1"/>
  <c r="AS576" i="1"/>
  <c r="AD675" i="1"/>
  <c r="Y675" i="1"/>
  <c r="Z675" i="1"/>
  <c r="AL675" i="1" s="1"/>
  <c r="AM675" i="1" s="1"/>
  <c r="AQ677" i="1"/>
  <c r="AL677" i="1"/>
  <c r="AM677" i="1" s="1"/>
  <c r="AQ676" i="1"/>
  <c r="AL676" i="1"/>
  <c r="AM676" i="1" s="1"/>
  <c r="AQ734" i="1"/>
  <c r="AL734" i="1"/>
  <c r="AM734" i="1" s="1"/>
  <c r="AT710" i="1"/>
  <c r="AV710" i="1" s="1"/>
  <c r="AU710" i="1" s="1"/>
  <c r="Z674" i="1"/>
  <c r="Y674" i="1"/>
  <c r="Z673" i="1"/>
  <c r="AL673" i="1" s="1"/>
  <c r="AM673" i="1" s="1"/>
  <c r="Y673" i="1"/>
  <c r="AS670" i="1"/>
  <c r="Z670" i="1"/>
  <c r="Y670" i="1"/>
  <c r="Z668" i="1"/>
  <c r="Y668" i="1"/>
  <c r="Z667" i="1"/>
  <c r="AL667" i="1" s="1"/>
  <c r="AM667" i="1" s="1"/>
  <c r="Y667" i="1"/>
  <c r="AD636" i="1"/>
  <c r="AL661" i="1"/>
  <c r="AM661" i="1" s="1"/>
  <c r="Z660" i="1"/>
  <c r="Y660" i="1"/>
  <c r="AT650" i="1"/>
  <c r="AT653" i="1"/>
  <c r="AQ739" i="1"/>
  <c r="Z739" i="1"/>
  <c r="Z658" i="1"/>
  <c r="AL658" i="1" s="1"/>
  <c r="AM658" i="1" s="1"/>
  <c r="Y658" i="1"/>
  <c r="AT658" i="1"/>
  <c r="AD657" i="1"/>
  <c r="Y657" i="1"/>
  <c r="Z657" i="1"/>
  <c r="AL657" i="1" s="1"/>
  <c r="AM657" i="1" s="1"/>
  <c r="Z655" i="1"/>
  <c r="Y655" i="1"/>
  <c r="Y653" i="1"/>
  <c r="Z653" i="1"/>
  <c r="AV653" i="1" s="1"/>
  <c r="AU653" i="1" s="1"/>
  <c r="AQ669" i="1"/>
  <c r="AL669" i="1"/>
  <c r="AM669" i="1" s="1"/>
  <c r="AT668" i="1"/>
  <c r="AV668" i="1" s="1"/>
  <c r="AU668" i="1" s="1"/>
  <c r="AL668" i="1"/>
  <c r="AM668" i="1" s="1"/>
  <c r="AT667" i="1"/>
  <c r="AV667" i="1" s="1"/>
  <c r="AU667" i="1" s="1"/>
  <c r="AQ666" i="1"/>
  <c r="AL666" i="1"/>
  <c r="AM666" i="1" s="1"/>
  <c r="AQ665" i="1"/>
  <c r="AL665" i="1"/>
  <c r="AM665" i="1" s="1"/>
  <c r="AQ664" i="1"/>
  <c r="AL664" i="1"/>
  <c r="AM664" i="1" s="1"/>
  <c r="AQ663" i="1"/>
  <c r="AL663" i="1"/>
  <c r="AM663" i="1" s="1"/>
  <c r="AQ662" i="1"/>
  <c r="AL662" i="1"/>
  <c r="AM662" i="1" s="1"/>
  <c r="AQ661" i="1"/>
  <c r="AT660" i="1"/>
  <c r="AV660" i="1" s="1"/>
  <c r="AU660" i="1" s="1"/>
  <c r="AL660" i="1"/>
  <c r="AM660" i="1" s="1"/>
  <c r="AQ659" i="1"/>
  <c r="AL659" i="1"/>
  <c r="AM659" i="1" s="1"/>
  <c r="AT657" i="1"/>
  <c r="AQ656" i="1"/>
  <c r="AL656" i="1"/>
  <c r="AM656" i="1" s="1"/>
  <c r="AQ736" i="1"/>
  <c r="AL736" i="1"/>
  <c r="AM736" i="1" s="1"/>
  <c r="AQ735" i="1"/>
  <c r="AL735" i="1"/>
  <c r="AM735" i="1" s="1"/>
  <c r="AT674" i="1"/>
  <c r="AV674" i="1" s="1"/>
  <c r="AU674" i="1" s="1"/>
  <c r="AL674" i="1"/>
  <c r="AM674" i="1" s="1"/>
  <c r="AT673" i="1"/>
  <c r="AQ672" i="1"/>
  <c r="AL672" i="1"/>
  <c r="AM672" i="1" s="1"/>
  <c r="AQ671" i="1"/>
  <c r="AL671" i="1"/>
  <c r="AM671" i="1" s="1"/>
  <c r="AT670" i="1"/>
  <c r="AV670" i="1" s="1"/>
  <c r="AU670" i="1" s="1"/>
  <c r="AQ670" i="1"/>
  <c r="AL670" i="1"/>
  <c r="AM670" i="1" s="1"/>
  <c r="AQ738" i="1"/>
  <c r="AL738" i="1"/>
  <c r="AM738" i="1" s="1"/>
  <c r="AQ737" i="1"/>
  <c r="AL737" i="1"/>
  <c r="AM737" i="1" s="1"/>
  <c r="AL655" i="1"/>
  <c r="AM655" i="1" s="1"/>
  <c r="AQ654" i="1"/>
  <c r="AL654" i="1"/>
  <c r="AM654" i="1" s="1"/>
  <c r="Z650" i="1"/>
  <c r="Y650" i="1"/>
  <c r="AL653" i="1"/>
  <c r="AM653" i="1" s="1"/>
  <c r="AQ652" i="1"/>
  <c r="AL652" i="1"/>
  <c r="AM652" i="1" s="1"/>
  <c r="AQ651" i="1"/>
  <c r="AL651" i="1"/>
  <c r="AM651" i="1" s="1"/>
  <c r="AT639" i="1"/>
  <c r="AT640" i="1"/>
  <c r="AT641" i="1"/>
  <c r="AT642" i="1"/>
  <c r="AT643" i="1"/>
  <c r="AT644" i="1"/>
  <c r="AT647" i="1"/>
  <c r="AT649" i="1"/>
  <c r="AT996" i="1"/>
  <c r="AV996" i="1"/>
  <c r="AU996" i="1" s="1"/>
  <c r="AT1090" i="1"/>
  <c r="AV1090" i="1"/>
  <c r="AU1090" i="1" s="1"/>
  <c r="AT1232" i="1"/>
  <c r="AV1232" i="1"/>
  <c r="AU1232" i="1" s="1"/>
  <c r="Z649" i="1"/>
  <c r="AV649" i="1" s="1"/>
  <c r="AU649" i="1" s="1"/>
  <c r="Y649" i="1"/>
  <c r="Z648" i="1"/>
  <c r="AL648" i="1" s="1"/>
  <c r="AM648" i="1" s="1"/>
  <c r="Y648" i="1"/>
  <c r="AL650" i="1"/>
  <c r="AM650" i="1" s="1"/>
  <c r="Y647" i="1"/>
  <c r="Z647" i="1"/>
  <c r="AV647" i="1" s="1"/>
  <c r="AU647" i="1" s="1"/>
  <c r="Z644" i="1"/>
  <c r="Y644" i="1"/>
  <c r="Z643" i="1"/>
  <c r="Y643" i="1"/>
  <c r="Z642" i="1"/>
  <c r="Y642" i="1"/>
  <c r="Z641" i="1"/>
  <c r="Y641" i="1"/>
  <c r="Z640" i="1"/>
  <c r="Y640" i="1"/>
  <c r="Y639" i="1"/>
  <c r="Z639" i="1"/>
  <c r="Y636" i="1"/>
  <c r="Z636" i="1"/>
  <c r="AT634" i="1"/>
  <c r="AT635" i="1"/>
  <c r="AQ638" i="1"/>
  <c r="AL638" i="1"/>
  <c r="AM638" i="1" s="1"/>
  <c r="AQ637" i="1"/>
  <c r="AL637" i="1"/>
  <c r="AM637" i="1" s="1"/>
  <c r="AL647" i="1"/>
  <c r="AM647" i="1" s="1"/>
  <c r="AQ646" i="1"/>
  <c r="AL646" i="1"/>
  <c r="AM646" i="1" s="1"/>
  <c r="AQ645" i="1"/>
  <c r="AL645" i="1"/>
  <c r="AM645" i="1" s="1"/>
  <c r="AL644" i="1"/>
  <c r="AM644" i="1" s="1"/>
  <c r="Y635" i="1"/>
  <c r="Z635" i="1"/>
  <c r="Z634" i="1"/>
  <c r="Y634" i="1"/>
  <c r="Z633" i="1"/>
  <c r="Y633" i="1"/>
  <c r="AD572" i="1"/>
  <c r="AT626" i="1"/>
  <c r="AT627" i="1"/>
  <c r="AT629" i="1"/>
  <c r="AT630" i="1"/>
  <c r="AT631" i="1"/>
  <c r="AT632" i="1"/>
  <c r="AT633" i="1"/>
  <c r="AV633" i="1" s="1"/>
  <c r="AU633" i="1" s="1"/>
  <c r="Z632" i="1"/>
  <c r="AV632" i="1" s="1"/>
  <c r="AU632" i="1" s="1"/>
  <c r="Y632" i="1"/>
  <c r="Z631" i="1"/>
  <c r="AL631" i="1" s="1"/>
  <c r="AM631" i="1" s="1"/>
  <c r="Y631" i="1"/>
  <c r="Z630" i="1"/>
  <c r="Y630" i="1"/>
  <c r="Y629" i="1"/>
  <c r="Z629" i="1"/>
  <c r="AV629" i="1" s="1"/>
  <c r="AU629" i="1" s="1"/>
  <c r="AL633" i="1"/>
  <c r="AM633" i="1" s="1"/>
  <c r="AQ631" i="1"/>
  <c r="AL629" i="1"/>
  <c r="AM629" i="1" s="1"/>
  <c r="AQ996" i="1"/>
  <c r="AQ635" i="1"/>
  <c r="AL634" i="1"/>
  <c r="AM634" i="1" s="1"/>
  <c r="AS579" i="1"/>
  <c r="AS570" i="1"/>
  <c r="Z627" i="1"/>
  <c r="AV627" i="1" s="1"/>
  <c r="AU627" i="1" s="1"/>
  <c r="Y627" i="1"/>
  <c r="AL607" i="1"/>
  <c r="AM607" i="1" s="1"/>
  <c r="AL608" i="1"/>
  <c r="AM608" i="1"/>
  <c r="AL609" i="1"/>
  <c r="AM609" i="1" s="1"/>
  <c r="AL610" i="1"/>
  <c r="AM610" i="1" s="1"/>
  <c r="AL611" i="1"/>
  <c r="AM611" i="1" s="1"/>
  <c r="AL612" i="1"/>
  <c r="AM612" i="1"/>
  <c r="AL613" i="1"/>
  <c r="AM613" i="1" s="1"/>
  <c r="Z626" i="1"/>
  <c r="AV626" i="1" s="1"/>
  <c r="AU626" i="1" s="1"/>
  <c r="Y626" i="1"/>
  <c r="Y619" i="1"/>
  <c r="Z619" i="1"/>
  <c r="AS578" i="1"/>
  <c r="Y624" i="1"/>
  <c r="Z624" i="1"/>
  <c r="AT619" i="1"/>
  <c r="AV619" i="1"/>
  <c r="AU619" i="1" s="1"/>
  <c r="AT620" i="1"/>
  <c r="AT621" i="1"/>
  <c r="AT624" i="1"/>
  <c r="AV624" i="1" s="1"/>
  <c r="AU624" i="1" s="1"/>
  <c r="AL627" i="1"/>
  <c r="AM627" i="1" s="1"/>
  <c r="AQ625" i="1"/>
  <c r="AL625" i="1"/>
  <c r="AM625" i="1" s="1"/>
  <c r="AL624" i="1"/>
  <c r="AM624" i="1" s="1"/>
  <c r="Z621" i="1"/>
  <c r="AL621" i="1" s="1"/>
  <c r="AM621" i="1" s="1"/>
  <c r="Y621" i="1"/>
  <c r="Z620" i="1"/>
  <c r="Y620" i="1"/>
  <c r="AT618" i="1"/>
  <c r="Z618" i="1"/>
  <c r="AV618" i="1" s="1"/>
  <c r="AU618" i="1" s="1"/>
  <c r="Y618" i="1"/>
  <c r="AT617" i="1"/>
  <c r="Z617" i="1"/>
  <c r="Y617" i="1"/>
  <c r="AS614" i="1"/>
  <c r="AT614" i="1" s="1"/>
  <c r="Z614" i="1"/>
  <c r="AL614" i="1" s="1"/>
  <c r="AM614" i="1" s="1"/>
  <c r="Y614" i="1"/>
  <c r="AS605" i="1"/>
  <c r="AT605" i="1" s="1"/>
  <c r="AQ616" i="1"/>
  <c r="AL616" i="1"/>
  <c r="AM616" i="1" s="1"/>
  <c r="AQ615" i="1"/>
  <c r="AL615" i="1"/>
  <c r="AM615" i="1" s="1"/>
  <c r="AQ613" i="1"/>
  <c r="AQ612" i="1"/>
  <c r="AQ611" i="1"/>
  <c r="AQ610" i="1"/>
  <c r="AQ609" i="1"/>
  <c r="AQ608" i="1"/>
  <c r="AQ622" i="1"/>
  <c r="AL622" i="1"/>
  <c r="AM622" i="1" s="1"/>
  <c r="AL620" i="1"/>
  <c r="AM620" i="1" s="1"/>
  <c r="AL619" i="1"/>
  <c r="AM619" i="1" s="1"/>
  <c r="AT600" i="1"/>
  <c r="AT601" i="1"/>
  <c r="AT602" i="1"/>
  <c r="AT606" i="1"/>
  <c r="Z606" i="1"/>
  <c r="Y606" i="1"/>
  <c r="AS573" i="1"/>
  <c r="Y605" i="1"/>
  <c r="Z605" i="1"/>
  <c r="Z602" i="1"/>
  <c r="Y602" i="1"/>
  <c r="Z601" i="1"/>
  <c r="Y601" i="1"/>
  <c r="Z600" i="1"/>
  <c r="Y600" i="1"/>
  <c r="AL599" i="1"/>
  <c r="AM599" i="1" s="1"/>
  <c r="AT596" i="1"/>
  <c r="AT598" i="1"/>
  <c r="Z598" i="1"/>
  <c r="Y598" i="1"/>
  <c r="Y596" i="1"/>
  <c r="Z596" i="1"/>
  <c r="AS590" i="1"/>
  <c r="AL601" i="1"/>
  <c r="AM601" i="1" s="1"/>
  <c r="AL600" i="1"/>
  <c r="AM600" i="1" s="1"/>
  <c r="AQ597" i="1"/>
  <c r="AL597" i="1"/>
  <c r="AM597" i="1" s="1"/>
  <c r="AQ595" i="1"/>
  <c r="AL595" i="1"/>
  <c r="AM595" i="1" s="1"/>
  <c r="Z592" i="1"/>
  <c r="AL592" i="1" s="1"/>
  <c r="AM592" i="1" s="1"/>
  <c r="Y592" i="1"/>
  <c r="AT590" i="1"/>
  <c r="AT591" i="1"/>
  <c r="AT592" i="1"/>
  <c r="AV592" i="1" s="1"/>
  <c r="AU592" i="1" s="1"/>
  <c r="AQ604" i="1"/>
  <c r="AL604" i="1"/>
  <c r="AM604" i="1" s="1"/>
  <c r="AQ603" i="1"/>
  <c r="AL603" i="1"/>
  <c r="AM603" i="1" s="1"/>
  <c r="AQ594" i="1"/>
  <c r="AL594" i="1"/>
  <c r="AM594" i="1" s="1"/>
  <c r="AQ593" i="1"/>
  <c r="AL593" i="1"/>
  <c r="AM593" i="1" s="1"/>
  <c r="AQ592" i="1"/>
  <c r="AQ623" i="1"/>
  <c r="AL623" i="1"/>
  <c r="AM623" i="1" s="1"/>
  <c r="AQ607" i="1"/>
  <c r="Z591" i="1"/>
  <c r="AV591" i="1" s="1"/>
  <c r="AU591" i="1" s="1"/>
  <c r="Y591" i="1"/>
  <c r="Z590" i="1"/>
  <c r="AL590" i="1" s="1"/>
  <c r="AM590" i="1" s="1"/>
  <c r="Y590" i="1"/>
  <c r="AD576" i="1"/>
  <c r="AD573" i="1"/>
  <c r="AT587" i="1"/>
  <c r="Z587" i="1"/>
  <c r="AL587" i="1" s="1"/>
  <c r="AM587" i="1" s="1"/>
  <c r="Y587" i="1"/>
  <c r="AT585" i="1"/>
  <c r="Z585" i="1"/>
  <c r="Y585" i="1"/>
  <c r="AD579" i="1"/>
  <c r="AT582" i="1"/>
  <c r="AT581" i="1"/>
  <c r="AQ584" i="1"/>
  <c r="AL584" i="1"/>
  <c r="AM584" i="1" s="1"/>
  <c r="AQ589" i="1"/>
  <c r="AL589" i="1"/>
  <c r="AM589" i="1" s="1"/>
  <c r="AQ588" i="1"/>
  <c r="AL588" i="1"/>
  <c r="AM588" i="1" s="1"/>
  <c r="AQ586" i="1"/>
  <c r="AL586" i="1"/>
  <c r="AM586" i="1" s="1"/>
  <c r="AQ628" i="1"/>
  <c r="AL628" i="1"/>
  <c r="AM628" i="1" s="1"/>
  <c r="Z582" i="1"/>
  <c r="Y582" i="1"/>
  <c r="Z581" i="1"/>
  <c r="Y581" i="1"/>
  <c r="AD578" i="1"/>
  <c r="AT580" i="1"/>
  <c r="AT573" i="1"/>
  <c r="AT576" i="1"/>
  <c r="Y580" i="1"/>
  <c r="Z580" i="1"/>
  <c r="Z579" i="1"/>
  <c r="Y579" i="1"/>
  <c r="AQ583" i="1"/>
  <c r="AL583" i="1"/>
  <c r="AM583" i="1" s="1"/>
  <c r="AL581" i="1"/>
  <c r="AM581" i="1" s="1"/>
  <c r="AL580" i="1"/>
  <c r="AM580" i="1" s="1"/>
  <c r="Y578" i="1"/>
  <c r="Z578" i="1"/>
  <c r="AL578" i="1" s="1"/>
  <c r="AM578" i="1" s="1"/>
  <c r="AD570" i="1"/>
  <c r="AQ577" i="1"/>
  <c r="AL577" i="1"/>
  <c r="AM577" i="1" s="1"/>
  <c r="Z576" i="1"/>
  <c r="Y576" i="1"/>
  <c r="AT572" i="1"/>
  <c r="Y573" i="1"/>
  <c r="Z573" i="1"/>
  <c r="Z572" i="1"/>
  <c r="Y572" i="1"/>
  <c r="AS519" i="1"/>
  <c r="AS515" i="1"/>
  <c r="AS516" i="1"/>
  <c r="AT516" i="1" s="1"/>
  <c r="Z570" i="1"/>
  <c r="AL570" i="1" s="1"/>
  <c r="AM570" i="1" s="1"/>
  <c r="Y570" i="1"/>
  <c r="AT569" i="1"/>
  <c r="Z569" i="1"/>
  <c r="AV569" i="1" s="1"/>
  <c r="AU569" i="1" s="1"/>
  <c r="Y569" i="1"/>
  <c r="AS560" i="1"/>
  <c r="AT560" i="1" s="1"/>
  <c r="AT566" i="1"/>
  <c r="Z566" i="1"/>
  <c r="AV566" i="1" s="1"/>
  <c r="AU566" i="1" s="1"/>
  <c r="Y566" i="1"/>
  <c r="AQ571" i="1"/>
  <c r="AL571" i="1"/>
  <c r="AM571" i="1" s="1"/>
  <c r="AL569" i="1"/>
  <c r="AM569" i="1" s="1"/>
  <c r="AQ568" i="1"/>
  <c r="AL568" i="1"/>
  <c r="AM568" i="1" s="1"/>
  <c r="AQ565" i="1"/>
  <c r="AL565" i="1"/>
  <c r="AM565" i="1" s="1"/>
  <c r="AQ564" i="1"/>
  <c r="AL564" i="1"/>
  <c r="AM564" i="1" s="1"/>
  <c r="AQ575" i="1"/>
  <c r="AL575" i="1"/>
  <c r="AM575" i="1" s="1"/>
  <c r="AQ574" i="1"/>
  <c r="AL574" i="1"/>
  <c r="AM574" i="1" s="1"/>
  <c r="AL576" i="1"/>
  <c r="AM576" i="1" s="1"/>
  <c r="AS563" i="1"/>
  <c r="AT563" i="1" s="1"/>
  <c r="AT561" i="1"/>
  <c r="AT562" i="1"/>
  <c r="Z563" i="1"/>
  <c r="Y563" i="1"/>
  <c r="Z562" i="1"/>
  <c r="AV562" i="1" s="1"/>
  <c r="AU562" i="1" s="1"/>
  <c r="Y562" i="1"/>
  <c r="Z561" i="1"/>
  <c r="Y561" i="1"/>
  <c r="AT555" i="1"/>
  <c r="AT559" i="1"/>
  <c r="Z560" i="1"/>
  <c r="AL560" i="1" s="1"/>
  <c r="AM560" i="1" s="1"/>
  <c r="Y560" i="1"/>
  <c r="Z559" i="1"/>
  <c r="AL559" i="1" s="1"/>
  <c r="AM559" i="1" s="1"/>
  <c r="Y559" i="1"/>
  <c r="AQ558" i="1"/>
  <c r="AL558" i="1"/>
  <c r="AM558" i="1" s="1"/>
  <c r="AQ557" i="1"/>
  <c r="AL557" i="1"/>
  <c r="AM557" i="1" s="1"/>
  <c r="AQ556" i="1"/>
  <c r="AL556" i="1"/>
  <c r="AM556" i="1" s="1"/>
  <c r="Y555" i="1"/>
  <c r="Z555" i="1"/>
  <c r="AV555" i="1" s="1"/>
  <c r="AU555" i="1" s="1"/>
  <c r="AT553" i="1"/>
  <c r="Z553" i="1"/>
  <c r="AL553" i="1" s="1"/>
  <c r="AM553" i="1" s="1"/>
  <c r="Y553" i="1"/>
  <c r="AD515" i="1"/>
  <c r="AT515" i="1" s="1"/>
  <c r="AQ554" i="1"/>
  <c r="AL554" i="1"/>
  <c r="AM554" i="1" s="1"/>
  <c r="AQ552" i="1"/>
  <c r="AL552" i="1"/>
  <c r="AM552" i="1" s="1"/>
  <c r="AQ551" i="1"/>
  <c r="AL551" i="1"/>
  <c r="AM551" i="1" s="1"/>
  <c r="AQ550" i="1"/>
  <c r="AL550" i="1"/>
  <c r="AM550" i="1" s="1"/>
  <c r="AL555" i="1"/>
  <c r="AM555" i="1" s="1"/>
  <c r="AS529" i="1"/>
  <c r="Z538" i="1"/>
  <c r="AL538" i="1" s="1"/>
  <c r="AM538" i="1" s="1"/>
  <c r="Y538" i="1"/>
  <c r="AT537" i="1"/>
  <c r="AT538" i="1"/>
  <c r="AS508" i="1"/>
  <c r="AT508" i="1" s="1"/>
  <c r="Y537" i="1"/>
  <c r="Z537" i="1"/>
  <c r="AD529" i="1"/>
  <c r="AQ540" i="1"/>
  <c r="AL540" i="1"/>
  <c r="AM540" i="1" s="1"/>
  <c r="AQ539" i="1"/>
  <c r="AL539" i="1"/>
  <c r="AM539" i="1" s="1"/>
  <c r="AT536" i="1"/>
  <c r="Z536" i="1"/>
  <c r="Y536" i="1"/>
  <c r="AS507" i="1"/>
  <c r="AD519" i="1"/>
  <c r="AT519" i="1" s="1"/>
  <c r="AD534" i="1"/>
  <c r="AT534" i="1" s="1"/>
  <c r="Z534" i="1"/>
  <c r="Y534" i="1"/>
  <c r="AT527" i="1"/>
  <c r="AT528" i="1"/>
  <c r="AT531" i="1"/>
  <c r="AQ535" i="1"/>
  <c r="AL535" i="1"/>
  <c r="AM535" i="1" s="1"/>
  <c r="AL534" i="1"/>
  <c r="AM534" i="1" s="1"/>
  <c r="AQ533" i="1"/>
  <c r="AL533" i="1"/>
  <c r="AM533" i="1" s="1"/>
  <c r="Z531" i="1"/>
  <c r="AL531" i="1" s="1"/>
  <c r="AM531" i="1" s="1"/>
  <c r="Y531" i="1"/>
  <c r="AQ532" i="1"/>
  <c r="AL532" i="1"/>
  <c r="AM532" i="1" s="1"/>
  <c r="Z529" i="1"/>
  <c r="Y529" i="1"/>
  <c r="Z528" i="1"/>
  <c r="Y528" i="1"/>
  <c r="Z527" i="1"/>
  <c r="AL527" i="1" s="1"/>
  <c r="AM527" i="1" s="1"/>
  <c r="Y527" i="1"/>
  <c r="AQ525" i="1"/>
  <c r="AL525" i="1"/>
  <c r="AM525" i="1" s="1"/>
  <c r="AQ524" i="1"/>
  <c r="AL524" i="1"/>
  <c r="AM524" i="1" s="1"/>
  <c r="AQ523" i="1"/>
  <c r="AL523" i="1"/>
  <c r="AM523" i="1" s="1"/>
  <c r="AL528" i="1"/>
  <c r="AM528" i="1" s="1"/>
  <c r="AQ526" i="1"/>
  <c r="AL526" i="1"/>
  <c r="AM526" i="1" s="1"/>
  <c r="AS520" i="1"/>
  <c r="AT520" i="1" s="1"/>
  <c r="AS514" i="1"/>
  <c r="AT514" i="1" s="1"/>
  <c r="AT521" i="1"/>
  <c r="Z521" i="1"/>
  <c r="Y521" i="1"/>
  <c r="Z520" i="1"/>
  <c r="AL520" i="1" s="1"/>
  <c r="AM520" i="1" s="1"/>
  <c r="Y520" i="1"/>
  <c r="Z519" i="1"/>
  <c r="Y519" i="1"/>
  <c r="AT518" i="1"/>
  <c r="Z518" i="1"/>
  <c r="Y518" i="1"/>
  <c r="Y516" i="1"/>
  <c r="Z516" i="1"/>
  <c r="Z515" i="1"/>
  <c r="AL515" i="1" s="1"/>
  <c r="AM515" i="1" s="1"/>
  <c r="Y515" i="1"/>
  <c r="AQ517" i="1"/>
  <c r="AL517" i="1"/>
  <c r="AM517" i="1" s="1"/>
  <c r="AQ522" i="1"/>
  <c r="AL522" i="1"/>
  <c r="AM522" i="1" s="1"/>
  <c r="AL521" i="1"/>
  <c r="AM521" i="1" s="1"/>
  <c r="AT512" i="1"/>
  <c r="AT513" i="1"/>
  <c r="Z514" i="1"/>
  <c r="AL514" i="1" s="1"/>
  <c r="AM514" i="1" s="1"/>
  <c r="Y514" i="1"/>
  <c r="Z513" i="1"/>
  <c r="Y513" i="1"/>
  <c r="Z512" i="1"/>
  <c r="Y512" i="1"/>
  <c r="AD507" i="1"/>
  <c r="AT511" i="1"/>
  <c r="Z511" i="1"/>
  <c r="Y511" i="1"/>
  <c r="AT510" i="1"/>
  <c r="AQ513" i="1"/>
  <c r="AQ511" i="1"/>
  <c r="AQ530" i="1"/>
  <c r="AL530" i="1"/>
  <c r="AM530" i="1" s="1"/>
  <c r="AL529" i="1"/>
  <c r="AM529" i="1" s="1"/>
  <c r="Z510" i="1"/>
  <c r="AV510" i="1" s="1"/>
  <c r="AU510" i="1" s="1"/>
  <c r="Y510" i="1"/>
  <c r="Z508" i="1"/>
  <c r="Y508" i="1"/>
  <c r="Z507" i="1"/>
  <c r="AL507" i="1" s="1"/>
  <c r="AM507" i="1" s="1"/>
  <c r="Y507" i="1"/>
  <c r="Z501" i="1"/>
  <c r="AL501" i="1" s="1"/>
  <c r="AM501" i="1" s="1"/>
  <c r="Y501" i="1"/>
  <c r="Z500" i="1"/>
  <c r="Y500" i="1"/>
  <c r="Z499" i="1"/>
  <c r="Y499" i="1"/>
  <c r="Z497" i="1"/>
  <c r="Y497" i="1"/>
  <c r="Z496" i="1"/>
  <c r="Y496" i="1"/>
  <c r="AL495" i="1"/>
  <c r="AQ502" i="1"/>
  <c r="AL502" i="1"/>
  <c r="AM502" i="1" s="1"/>
  <c r="AT501" i="1"/>
  <c r="AT500" i="1"/>
  <c r="AV500" i="1" s="1"/>
  <c r="AU500" i="1" s="1"/>
  <c r="AL500" i="1"/>
  <c r="AM500" i="1" s="1"/>
  <c r="AT499" i="1"/>
  <c r="AV499" i="1" s="1"/>
  <c r="AU499" i="1" s="1"/>
  <c r="AL499" i="1"/>
  <c r="AM499" i="1" s="1"/>
  <c r="AQ498" i="1"/>
  <c r="AL498" i="1"/>
  <c r="AM498" i="1" s="1"/>
  <c r="AT497" i="1"/>
  <c r="AL497" i="1"/>
  <c r="AM497" i="1" s="1"/>
  <c r="AT496" i="1"/>
  <c r="AL496" i="1"/>
  <c r="AM496" i="1" s="1"/>
  <c r="AQ495" i="1"/>
  <c r="AM495" i="1"/>
  <c r="AQ506" i="1"/>
  <c r="AL506" i="1"/>
  <c r="AM506" i="1" s="1"/>
  <c r="AQ505" i="1"/>
  <c r="AL505" i="1"/>
  <c r="AM505" i="1" s="1"/>
  <c r="AQ504" i="1"/>
  <c r="AL504" i="1"/>
  <c r="AM504" i="1" s="1"/>
  <c r="AQ503" i="1"/>
  <c r="AL503" i="1"/>
  <c r="AM503" i="1" s="1"/>
  <c r="AQ509" i="1"/>
  <c r="AL509" i="1"/>
  <c r="AM509" i="1" s="1"/>
  <c r="AL508" i="1"/>
  <c r="AM508" i="1" s="1"/>
  <c r="Z494" i="1"/>
  <c r="AL494" i="1" s="1"/>
  <c r="AM494" i="1" s="1"/>
  <c r="Y494" i="1"/>
  <c r="Z493" i="1"/>
  <c r="AL493" i="1" s="1"/>
  <c r="Y493" i="1"/>
  <c r="Z492" i="1"/>
  <c r="AL492" i="1" s="1"/>
  <c r="AM492" i="1" s="1"/>
  <c r="Y492" i="1"/>
  <c r="Z491" i="1"/>
  <c r="AL491" i="1" s="1"/>
  <c r="AM491" i="1" s="1"/>
  <c r="Y491" i="1"/>
  <c r="Z490" i="1"/>
  <c r="AL490" i="1" s="1"/>
  <c r="AM490" i="1" s="1"/>
  <c r="Y490" i="1"/>
  <c r="Z489" i="1"/>
  <c r="Y489" i="1"/>
  <c r="AT488" i="1"/>
  <c r="Z488" i="1"/>
  <c r="AL488" i="1" s="1"/>
  <c r="AM488" i="1" s="1"/>
  <c r="Y488" i="1"/>
  <c r="Z487" i="1"/>
  <c r="AL487" i="1" s="1"/>
  <c r="AM487" i="1" s="1"/>
  <c r="Y487" i="1"/>
  <c r="Z486" i="1"/>
  <c r="AL486" i="1" s="1"/>
  <c r="AM486" i="1" s="1"/>
  <c r="Y486" i="1"/>
  <c r="Z485" i="1"/>
  <c r="Y485" i="1"/>
  <c r="Z484" i="1"/>
  <c r="AL484" i="1" s="1"/>
  <c r="AM484" i="1" s="1"/>
  <c r="Y484" i="1"/>
  <c r="AT483" i="1"/>
  <c r="AT484" i="1"/>
  <c r="AV484" i="1" s="1"/>
  <c r="AU484" i="1" s="1"/>
  <c r="AT485" i="1"/>
  <c r="AV485" i="1" s="1"/>
  <c r="AU485" i="1" s="1"/>
  <c r="AT486" i="1"/>
  <c r="AT487" i="1"/>
  <c r="AT489" i="1"/>
  <c r="AV489" i="1" s="1"/>
  <c r="AU489" i="1" s="1"/>
  <c r="AT490" i="1"/>
  <c r="AV490" i="1"/>
  <c r="AU490" i="1" s="1"/>
  <c r="AT491" i="1"/>
  <c r="AV491" i="1" s="1"/>
  <c r="AU491" i="1" s="1"/>
  <c r="AT492" i="1"/>
  <c r="AT493" i="1"/>
  <c r="AV493" i="1" s="1"/>
  <c r="AU493" i="1" s="1"/>
  <c r="AT494" i="1"/>
  <c r="Z483" i="1"/>
  <c r="Y483" i="1"/>
  <c r="AL489" i="1"/>
  <c r="AM489" i="1" s="1"/>
  <c r="AL485" i="1"/>
  <c r="AM485" i="1" s="1"/>
  <c r="AQ482" i="1"/>
  <c r="AL482" i="1"/>
  <c r="AM482" i="1" s="1"/>
  <c r="AM493" i="1"/>
  <c r="AT474" i="1"/>
  <c r="AT475" i="1"/>
  <c r="AQ479" i="1"/>
  <c r="AL479" i="1"/>
  <c r="AM479" i="1" s="1"/>
  <c r="AQ478" i="1"/>
  <c r="AL478" i="1"/>
  <c r="AM478" i="1" s="1"/>
  <c r="AQ477" i="1"/>
  <c r="AL477" i="1"/>
  <c r="AM477" i="1" s="1"/>
  <c r="AQ476" i="1"/>
  <c r="AL476" i="1"/>
  <c r="AM476" i="1" s="1"/>
  <c r="AQ481" i="1"/>
  <c r="AL481" i="1"/>
  <c r="AM481" i="1" s="1"/>
  <c r="AQ480" i="1"/>
  <c r="AL480" i="1"/>
  <c r="AM480" i="1" s="1"/>
  <c r="Z475" i="1"/>
  <c r="AL475" i="1" s="1"/>
  <c r="AM475" i="1" s="1"/>
  <c r="Y475" i="1"/>
  <c r="AQ549" i="1"/>
  <c r="AL549" i="1"/>
  <c r="AM549" i="1" s="1"/>
  <c r="AQ548" i="1"/>
  <c r="AL548" i="1"/>
  <c r="AM548" i="1" s="1"/>
  <c r="AQ547" i="1"/>
  <c r="AL547" i="1"/>
  <c r="AM547" i="1" s="1"/>
  <c r="Z474" i="1"/>
  <c r="Y474" i="1"/>
  <c r="AS453" i="1"/>
  <c r="AS436" i="1"/>
  <c r="AT469" i="1"/>
  <c r="AT471" i="1"/>
  <c r="Z471" i="1"/>
  <c r="AV471" i="1" s="1"/>
  <c r="AU471" i="1" s="1"/>
  <c r="Y471" i="1"/>
  <c r="AT466" i="1"/>
  <c r="AT467" i="1"/>
  <c r="Z469" i="1"/>
  <c r="AV469" i="1" s="1"/>
  <c r="AU469" i="1" s="1"/>
  <c r="Y469" i="1"/>
  <c r="AT465" i="1"/>
  <c r="Y465" i="1"/>
  <c r="Z465" i="1"/>
  <c r="Z467" i="1"/>
  <c r="AV467" i="1" s="1"/>
  <c r="AU467" i="1" s="1"/>
  <c r="Y467" i="1"/>
  <c r="Z466" i="1"/>
  <c r="Y466" i="1"/>
  <c r="AQ470" i="1"/>
  <c r="AL470" i="1"/>
  <c r="AM470" i="1" s="1"/>
  <c r="AQ468" i="1"/>
  <c r="AL468" i="1"/>
  <c r="AM468" i="1" s="1"/>
  <c r="AL466" i="1"/>
  <c r="AM466" i="1" s="1"/>
  <c r="AT464" i="1"/>
  <c r="Z464" i="1"/>
  <c r="Y464" i="1"/>
  <c r="AL464" i="1"/>
  <c r="AM464" i="1" s="1"/>
  <c r="AQ463" i="1"/>
  <c r="AL463" i="1"/>
  <c r="AM463" i="1" s="1"/>
  <c r="AQ462" i="1"/>
  <c r="AL462" i="1"/>
  <c r="AM462" i="1" s="1"/>
  <c r="AQ461" i="1"/>
  <c r="AL461" i="1"/>
  <c r="AM461" i="1" s="1"/>
  <c r="AQ460" i="1"/>
  <c r="AL460" i="1"/>
  <c r="AM460" i="1" s="1"/>
  <c r="AQ473" i="1"/>
  <c r="AL473" i="1"/>
  <c r="AM473" i="1" s="1"/>
  <c r="AQ472" i="1"/>
  <c r="AL472" i="1"/>
  <c r="AM472" i="1" s="1"/>
  <c r="AD453" i="1"/>
  <c r="AT453" i="1" s="1"/>
  <c r="AT451" i="1"/>
  <c r="AT456" i="1"/>
  <c r="AT457" i="1"/>
  <c r="Z457" i="1"/>
  <c r="AL457" i="1" s="1"/>
  <c r="AM457" i="1" s="1"/>
  <c r="Y457" i="1"/>
  <c r="Z456" i="1"/>
  <c r="Y456" i="1"/>
  <c r="AT452" i="1"/>
  <c r="Z453" i="1"/>
  <c r="Y453" i="1"/>
  <c r="Z452" i="1"/>
  <c r="AV452" i="1" s="1"/>
  <c r="AU452" i="1" s="1"/>
  <c r="Y452" i="1"/>
  <c r="AS435" i="1"/>
  <c r="AT435" i="1" s="1"/>
  <c r="AQ455" i="1"/>
  <c r="AL455" i="1"/>
  <c r="AM455" i="1" s="1"/>
  <c r="AQ454" i="1"/>
  <c r="AL454" i="1"/>
  <c r="AM454" i="1" s="1"/>
  <c r="AL452" i="1"/>
  <c r="AM452" i="1" s="1"/>
  <c r="AQ459" i="1"/>
  <c r="AL459" i="1"/>
  <c r="AM459" i="1" s="1"/>
  <c r="AQ458" i="1"/>
  <c r="AL458" i="1"/>
  <c r="AM458" i="1" s="1"/>
  <c r="Z451" i="1"/>
  <c r="Y451" i="1"/>
  <c r="AT449" i="1"/>
  <c r="Z449" i="1"/>
  <c r="Y449" i="1"/>
  <c r="AT447" i="1"/>
  <c r="Z447" i="1"/>
  <c r="AV447" i="1" s="1"/>
  <c r="AU447" i="1" s="1"/>
  <c r="Y447" i="1"/>
  <c r="AT446" i="1"/>
  <c r="Z446" i="1"/>
  <c r="AL446" i="1" s="1"/>
  <c r="AM446" i="1" s="1"/>
  <c r="Y446" i="1"/>
  <c r="AD436" i="1"/>
  <c r="AT441" i="1"/>
  <c r="AQ448" i="1"/>
  <c r="AL448" i="1"/>
  <c r="AM448" i="1" s="1"/>
  <c r="AQ445" i="1"/>
  <c r="AL445" i="1"/>
  <c r="AM445" i="1" s="1"/>
  <c r="AQ450" i="1"/>
  <c r="AL450" i="1"/>
  <c r="AM450" i="1" s="1"/>
  <c r="AL451" i="1"/>
  <c r="AM451" i="1" s="1"/>
  <c r="AT440" i="1"/>
  <c r="Z441" i="1"/>
  <c r="Y441" i="1"/>
  <c r="Z440" i="1"/>
  <c r="Y440" i="1"/>
  <c r="AL441" i="1"/>
  <c r="AM441" i="1" s="1"/>
  <c r="AL440" i="1"/>
  <c r="AM440" i="1" s="1"/>
  <c r="AQ439" i="1"/>
  <c r="AL439" i="1"/>
  <c r="AM439" i="1" s="1"/>
  <c r="AQ438" i="1"/>
  <c r="AL438" i="1"/>
  <c r="AM438" i="1" s="1"/>
  <c r="AT434" i="1"/>
  <c r="AV434" i="1" s="1"/>
  <c r="AU434" i="1" s="1"/>
  <c r="AT437" i="1"/>
  <c r="Z437" i="1"/>
  <c r="AV437" i="1" s="1"/>
  <c r="AU437" i="1" s="1"/>
  <c r="Y437" i="1"/>
  <c r="Z436" i="1"/>
  <c r="AL436" i="1" s="1"/>
  <c r="AM436" i="1" s="1"/>
  <c r="Y436" i="1"/>
  <c r="AT433" i="1"/>
  <c r="AQ442" i="1"/>
  <c r="AL442" i="1"/>
  <c r="AM442" i="1" s="1"/>
  <c r="Z435" i="1"/>
  <c r="AL435" i="1" s="1"/>
  <c r="AM435" i="1" s="1"/>
  <c r="Y435" i="1"/>
  <c r="AQ443" i="1"/>
  <c r="AL443" i="1"/>
  <c r="AM443" i="1" s="1"/>
  <c r="AQ435" i="1"/>
  <c r="AL434" i="1"/>
  <c r="AM434" i="1" s="1"/>
  <c r="Z433" i="1"/>
  <c r="AV433" i="1" s="1"/>
  <c r="AU433" i="1" s="1"/>
  <c r="Y433" i="1"/>
  <c r="AT431" i="1"/>
  <c r="Z431" i="1"/>
  <c r="Y431" i="1"/>
  <c r="AT430" i="1"/>
  <c r="AT428" i="1"/>
  <c r="AT429" i="1"/>
  <c r="Z430" i="1"/>
  <c r="AL430" i="1" s="1"/>
  <c r="AM430" i="1" s="1"/>
  <c r="Y430" i="1"/>
  <c r="AQ432" i="1"/>
  <c r="AL432" i="1"/>
  <c r="AM432" i="1" s="1"/>
  <c r="AL431" i="1"/>
  <c r="AM431" i="1" s="1"/>
  <c r="Y429" i="1"/>
  <c r="Z429" i="1"/>
  <c r="AV429" i="1" s="1"/>
  <c r="AU429" i="1" s="1"/>
  <c r="Z428" i="1"/>
  <c r="AV428" i="1" s="1"/>
  <c r="AU428" i="1" s="1"/>
  <c r="Y428" i="1"/>
  <c r="AT427" i="1"/>
  <c r="Z427" i="1"/>
  <c r="Y427" i="1"/>
  <c r="AT426" i="1"/>
  <c r="AS425" i="1"/>
  <c r="Z426" i="1"/>
  <c r="AL426" i="1" s="1"/>
  <c r="AM426" i="1" s="1"/>
  <c r="Y426" i="1"/>
  <c r="AL427" i="1"/>
  <c r="AM427" i="1" s="1"/>
  <c r="Z425" i="1"/>
  <c r="AL425" i="1" s="1"/>
  <c r="AM425" i="1" s="1"/>
  <c r="Y425" i="1"/>
  <c r="AT424" i="1"/>
  <c r="Z424" i="1"/>
  <c r="AV424" i="1" s="1"/>
  <c r="AU424" i="1" s="1"/>
  <c r="Y424" i="1"/>
  <c r="AS341" i="1"/>
  <c r="AT341" i="1" s="1"/>
  <c r="AT421" i="1"/>
  <c r="AT423" i="1"/>
  <c r="Z423" i="1"/>
  <c r="AV423" i="1" s="1"/>
  <c r="AU423" i="1" s="1"/>
  <c r="Y423" i="1"/>
  <c r="Z421" i="1"/>
  <c r="AV421" i="1" s="1"/>
  <c r="AU421" i="1" s="1"/>
  <c r="Y421" i="1"/>
  <c r="Z400" i="1"/>
  <c r="AL400" i="1" s="1"/>
  <c r="AM400" i="1" s="1"/>
  <c r="Y400" i="1"/>
  <c r="Z399" i="1"/>
  <c r="Y399" i="1"/>
  <c r="Z387" i="1"/>
  <c r="Y387" i="1"/>
  <c r="AQ422" i="1"/>
  <c r="AL422" i="1"/>
  <c r="AM422" i="1" s="1"/>
  <c r="AL421" i="1"/>
  <c r="AM421" i="1" s="1"/>
  <c r="AQ420" i="1"/>
  <c r="AL420" i="1"/>
  <c r="AM420" i="1" s="1"/>
  <c r="AQ419" i="1"/>
  <c r="AL419" i="1"/>
  <c r="AM419" i="1" s="1"/>
  <c r="AQ418" i="1"/>
  <c r="AL418" i="1"/>
  <c r="AM418" i="1" s="1"/>
  <c r="AS409" i="1"/>
  <c r="AS372" i="1"/>
  <c r="AT411" i="1"/>
  <c r="AT412" i="1"/>
  <c r="AT413" i="1"/>
  <c r="AT414" i="1"/>
  <c r="Z414" i="1"/>
  <c r="AV414" i="1" s="1"/>
  <c r="AU414" i="1" s="1"/>
  <c r="Y414" i="1"/>
  <c r="Z413" i="1"/>
  <c r="AL413" i="1" s="1"/>
  <c r="AM413" i="1" s="1"/>
  <c r="Y413" i="1"/>
  <c r="Z412" i="1"/>
  <c r="AV412" i="1" s="1"/>
  <c r="AU412" i="1" s="1"/>
  <c r="Y412" i="1"/>
  <c r="Z411" i="1"/>
  <c r="AV411" i="1" s="1"/>
  <c r="AU411" i="1" s="1"/>
  <c r="Y411" i="1"/>
  <c r="AQ416" i="1"/>
  <c r="AL416" i="1"/>
  <c r="AM416" i="1" s="1"/>
  <c r="AQ415" i="1"/>
  <c r="AL415" i="1"/>
  <c r="AM415" i="1" s="1"/>
  <c r="AT406" i="1"/>
  <c r="AT408" i="1"/>
  <c r="AT409" i="1"/>
  <c r="Z409" i="1"/>
  <c r="AV409" i="1" s="1"/>
  <c r="AU409" i="1" s="1"/>
  <c r="Y409" i="1"/>
  <c r="Z408" i="1"/>
  <c r="AL408" i="1" s="1"/>
  <c r="AM408" i="1" s="1"/>
  <c r="Y408" i="1"/>
  <c r="Z406" i="1"/>
  <c r="AL406" i="1" s="1"/>
  <c r="AM406" i="1" s="1"/>
  <c r="Y406" i="1"/>
  <c r="AQ417" i="1"/>
  <c r="AL417" i="1"/>
  <c r="AM417" i="1" s="1"/>
  <c r="AQ407" i="1"/>
  <c r="AL407" i="1"/>
  <c r="AM407" i="1" s="1"/>
  <c r="AT405" i="1"/>
  <c r="Z405" i="1"/>
  <c r="AV405" i="1" s="1"/>
  <c r="AU405" i="1" s="1"/>
  <c r="Y405" i="1"/>
  <c r="AT404" i="1"/>
  <c r="Z404" i="1"/>
  <c r="AL404" i="1" s="1"/>
  <c r="AM404" i="1" s="1"/>
  <c r="Y404" i="1"/>
  <c r="AT403" i="1"/>
  <c r="Z403" i="1"/>
  <c r="AL403" i="1" s="1"/>
  <c r="AM403" i="1" s="1"/>
  <c r="Y403" i="1"/>
  <c r="AT402" i="1"/>
  <c r="Z402" i="1"/>
  <c r="Y402" i="1"/>
  <c r="AT401" i="1"/>
  <c r="Z401" i="1"/>
  <c r="Y401" i="1"/>
  <c r="AT400" i="1"/>
  <c r="AT399" i="1"/>
  <c r="AV399" i="1" s="1"/>
  <c r="AU399" i="1" s="1"/>
  <c r="AL405" i="1"/>
  <c r="AM405" i="1" s="1"/>
  <c r="AL402" i="1"/>
  <c r="AM402" i="1" s="1"/>
  <c r="AL401" i="1"/>
  <c r="AM401" i="1" s="1"/>
  <c r="AT392" i="1"/>
  <c r="AV392" i="1"/>
  <c r="AU392" i="1" s="1"/>
  <c r="AT393" i="1"/>
  <c r="AT394" i="1"/>
  <c r="AT395" i="1"/>
  <c r="Z395" i="1"/>
  <c r="Y395" i="1"/>
  <c r="AQ397" i="1"/>
  <c r="AL397" i="1"/>
  <c r="AM397" i="1" s="1"/>
  <c r="AQ396" i="1"/>
  <c r="AL396" i="1"/>
  <c r="AM396" i="1" s="1"/>
  <c r="AL395" i="1"/>
  <c r="AM395" i="1" s="1"/>
  <c r="Z394" i="1"/>
  <c r="AV394" i="1" s="1"/>
  <c r="AU394" i="1" s="1"/>
  <c r="Y394" i="1"/>
  <c r="Z393" i="1"/>
  <c r="AV393" i="1" s="1"/>
  <c r="AU393" i="1" s="1"/>
  <c r="Y393" i="1"/>
  <c r="AT390" i="1"/>
  <c r="AT391" i="1"/>
  <c r="Z391" i="1"/>
  <c r="AL391" i="1" s="1"/>
  <c r="AM391" i="1" s="1"/>
  <c r="Y391" i="1"/>
  <c r="AL399" i="1"/>
  <c r="AM399" i="1" s="1"/>
  <c r="AQ398" i="1"/>
  <c r="AL398" i="1"/>
  <c r="AM398" i="1" s="1"/>
  <c r="AQ392" i="1"/>
  <c r="AL392" i="1"/>
  <c r="AM392" i="1" s="1"/>
  <c r="AS364" i="1"/>
  <c r="Z390" i="1"/>
  <c r="Y390" i="1"/>
  <c r="AT387" i="1"/>
  <c r="AT389" i="1"/>
  <c r="Z389" i="1"/>
  <c r="AV389" i="1" s="1"/>
  <c r="AU389" i="1" s="1"/>
  <c r="Y389" i="1"/>
  <c r="AQ388" i="1"/>
  <c r="AL388" i="1"/>
  <c r="AM388" i="1" s="1"/>
  <c r="AT386" i="1"/>
  <c r="Z386" i="1"/>
  <c r="AV386" i="1" s="1"/>
  <c r="AU386" i="1" s="1"/>
  <c r="Y386" i="1"/>
  <c r="AS373" i="1"/>
  <c r="AT373" i="1" s="1"/>
  <c r="AT382" i="1"/>
  <c r="AT383" i="1"/>
  <c r="Y383" i="1"/>
  <c r="Z383" i="1"/>
  <c r="AL383" i="1" s="1"/>
  <c r="AM383" i="1" s="1"/>
  <c r="Z382" i="1"/>
  <c r="AV382" i="1" s="1"/>
  <c r="AU382" i="1" s="1"/>
  <c r="Y382" i="1"/>
  <c r="AQ385" i="1"/>
  <c r="AL385" i="1"/>
  <c r="AM385" i="1" s="1"/>
  <c r="AQ384" i="1"/>
  <c r="AL384" i="1"/>
  <c r="AM384" i="1" s="1"/>
  <c r="AS380" i="1"/>
  <c r="AL386" i="1"/>
  <c r="AM386" i="1" s="1"/>
  <c r="AT381" i="1"/>
  <c r="AD372" i="1"/>
  <c r="Z381" i="1"/>
  <c r="AL381" i="1" s="1"/>
  <c r="AM381" i="1" s="1"/>
  <c r="Y381" i="1"/>
  <c r="AD380" i="1"/>
  <c r="AT380" i="1" s="1"/>
  <c r="Z380" i="1"/>
  <c r="Y380" i="1"/>
  <c r="AT372" i="1"/>
  <c r="AT374" i="1"/>
  <c r="AT377" i="1"/>
  <c r="AT378" i="1"/>
  <c r="AT379" i="1"/>
  <c r="Z379" i="1"/>
  <c r="AV379" i="1" s="1"/>
  <c r="AU379" i="1" s="1"/>
  <c r="Y379" i="1"/>
  <c r="Z378" i="1"/>
  <c r="AL378" i="1" s="1"/>
  <c r="AM378" i="1" s="1"/>
  <c r="Y378" i="1"/>
  <c r="Z377" i="1"/>
  <c r="AL377" i="1" s="1"/>
  <c r="AM377" i="1" s="1"/>
  <c r="Y377" i="1"/>
  <c r="AQ377" i="1"/>
  <c r="AQ376" i="1"/>
  <c r="AL376" i="1"/>
  <c r="AM376" i="1" s="1"/>
  <c r="AQ375" i="1"/>
  <c r="AL375" i="1"/>
  <c r="AM375" i="1" s="1"/>
  <c r="AL380" i="1"/>
  <c r="AM380" i="1" s="1"/>
  <c r="Z374" i="1"/>
  <c r="AV374" i="1" s="1"/>
  <c r="AU374" i="1" s="1"/>
  <c r="Y374" i="1"/>
  <c r="Z373" i="1"/>
  <c r="Y373" i="1"/>
  <c r="AT364" i="1"/>
  <c r="AL373" i="1"/>
  <c r="AM373" i="1" s="1"/>
  <c r="Z372" i="1"/>
  <c r="Y372" i="1"/>
  <c r="AT369" i="1"/>
  <c r="Z369" i="1"/>
  <c r="AL369" i="1" s="1"/>
  <c r="AM369" i="1" s="1"/>
  <c r="Y369" i="1"/>
  <c r="AQ371" i="1"/>
  <c r="AL371" i="1"/>
  <c r="AM371" i="1" s="1"/>
  <c r="AQ370" i="1"/>
  <c r="AL370" i="1"/>
  <c r="AM370" i="1" s="1"/>
  <c r="AS367" i="1"/>
  <c r="AD367" i="1"/>
  <c r="AT368" i="1"/>
  <c r="AS340" i="1"/>
  <c r="Z368" i="1"/>
  <c r="AV368" i="1" s="1"/>
  <c r="AU368" i="1" s="1"/>
  <c r="Y368" i="1"/>
  <c r="Z367" i="1"/>
  <c r="Y367" i="1"/>
  <c r="AT366" i="1"/>
  <c r="Z366" i="1"/>
  <c r="AV366" i="1" s="1"/>
  <c r="AU366" i="1" s="1"/>
  <c r="Y366" i="1"/>
  <c r="AT365" i="1"/>
  <c r="Z365" i="1"/>
  <c r="AV365" i="1" s="1"/>
  <c r="AU365" i="1" s="1"/>
  <c r="Y365" i="1"/>
  <c r="AL368" i="1"/>
  <c r="AM368" i="1" s="1"/>
  <c r="AL367" i="1"/>
  <c r="AM367" i="1" s="1"/>
  <c r="Z364" i="1"/>
  <c r="Y364" i="1"/>
  <c r="AT358" i="1"/>
  <c r="AS361" i="1"/>
  <c r="Z361" i="1"/>
  <c r="Y361" i="1"/>
  <c r="AL364" i="1"/>
  <c r="AM364" i="1" s="1"/>
  <c r="AQ363" i="1"/>
  <c r="AL363" i="1"/>
  <c r="AM363" i="1" s="1"/>
  <c r="AQ362" i="1"/>
  <c r="AL362" i="1"/>
  <c r="AM362" i="1" s="1"/>
  <c r="AL361" i="1"/>
  <c r="AM361" i="1" s="1"/>
  <c r="AQ444" i="1"/>
  <c r="AL444" i="1"/>
  <c r="AM444" i="1" s="1"/>
  <c r="AQ541" i="1"/>
  <c r="AL541" i="1"/>
  <c r="AM541" i="1" s="1"/>
  <c r="AL563" i="1"/>
  <c r="AM563" i="1" s="1"/>
  <c r="AQ546" i="1"/>
  <c r="AL546" i="1"/>
  <c r="AM546" i="1" s="1"/>
  <c r="AQ545" i="1"/>
  <c r="AL545" i="1"/>
  <c r="AM545" i="1" s="1"/>
  <c r="AQ1090" i="1"/>
  <c r="AL1090" i="1"/>
  <c r="AM1090" i="1" s="1"/>
  <c r="AQ544" i="1"/>
  <c r="Z544" i="1"/>
  <c r="Z358" i="1"/>
  <c r="AL358" i="1" s="1"/>
  <c r="AM358" i="1" s="1"/>
  <c r="Y358" i="1"/>
  <c r="AT357" i="1"/>
  <c r="Z357" i="1"/>
  <c r="Y357" i="1"/>
  <c r="AQ359" i="1"/>
  <c r="AL359" i="1"/>
  <c r="AM359" i="1" s="1"/>
  <c r="AL357" i="1"/>
  <c r="AM357" i="1" s="1"/>
  <c r="AQ356" i="1"/>
  <c r="AL356" i="1"/>
  <c r="AM356" i="1" s="1"/>
  <c r="AQ542" i="1"/>
  <c r="AL542" i="1"/>
  <c r="AM542" i="1" s="1"/>
  <c r="AQ360" i="1"/>
  <c r="AL360" i="1"/>
  <c r="AM360" i="1" s="1"/>
  <c r="AQ355" i="1"/>
  <c r="AL355" i="1"/>
  <c r="AM355" i="1" s="1"/>
  <c r="AT347" i="1"/>
  <c r="AL348" i="1"/>
  <c r="AM348" i="1" s="1"/>
  <c r="AL343" i="1"/>
  <c r="AM343" i="1" s="1"/>
  <c r="AL344" i="1"/>
  <c r="AM344" i="1" s="1"/>
  <c r="AL345" i="1"/>
  <c r="AM345" i="1"/>
  <c r="AL346" i="1"/>
  <c r="AM346" i="1" s="1"/>
  <c r="AL349" i="1"/>
  <c r="AM349" i="1" s="1"/>
  <c r="AL350" i="1"/>
  <c r="AM350" i="1" s="1"/>
  <c r="AL351" i="1"/>
  <c r="AM351" i="1"/>
  <c r="AL352" i="1"/>
  <c r="AM352" i="1" s="1"/>
  <c r="Z347" i="1"/>
  <c r="Y347" i="1"/>
  <c r="AS337" i="1"/>
  <c r="AT342" i="1"/>
  <c r="AD340" i="1"/>
  <c r="AT340" i="1" s="1"/>
  <c r="AL330" i="1"/>
  <c r="AQ345" i="1"/>
  <c r="AQ344" i="1"/>
  <c r="AQ343" i="1"/>
  <c r="Z342" i="1"/>
  <c r="Y342" i="1"/>
  <c r="AQ346" i="1"/>
  <c r="Z341" i="1"/>
  <c r="AL341" i="1" s="1"/>
  <c r="Y341" i="1"/>
  <c r="Z340" i="1"/>
  <c r="AL340" i="1" s="1"/>
  <c r="AM340" i="1" s="1"/>
  <c r="Y340" i="1"/>
  <c r="AT338" i="1"/>
  <c r="AT339" i="1"/>
  <c r="Z339" i="1"/>
  <c r="AV339" i="1" s="1"/>
  <c r="AU339" i="1" s="1"/>
  <c r="Y339" i="1"/>
  <c r="Z338" i="1"/>
  <c r="AL338" i="1" s="1"/>
  <c r="AM338" i="1" s="1"/>
  <c r="Y338" i="1"/>
  <c r="AD337" i="1"/>
  <c r="AS335" i="1"/>
  <c r="AT335" i="1" s="1"/>
  <c r="Z337" i="1"/>
  <c r="AL337" i="1" s="1"/>
  <c r="AM337" i="1" s="1"/>
  <c r="Y337" i="1"/>
  <c r="AQ339" i="1"/>
  <c r="AT329" i="1"/>
  <c r="AV329" i="1"/>
  <c r="AU329" i="1" s="1"/>
  <c r="AT330" i="1"/>
  <c r="AV330" i="1"/>
  <c r="AU330" i="1" s="1"/>
  <c r="AT334" i="1"/>
  <c r="AV334" i="1"/>
  <c r="AU334" i="1" s="1"/>
  <c r="AT336" i="1"/>
  <c r="Z336" i="1"/>
  <c r="AV336" i="1" s="1"/>
  <c r="AU336" i="1" s="1"/>
  <c r="Y336" i="1"/>
  <c r="Z335" i="1"/>
  <c r="AL335" i="1" s="1"/>
  <c r="AM335" i="1" s="1"/>
  <c r="Y335" i="1"/>
  <c r="AQ334" i="1"/>
  <c r="AQ333" i="1"/>
  <c r="AL333" i="1"/>
  <c r="AM333" i="1" s="1"/>
  <c r="AQ332" i="1"/>
  <c r="AL332" i="1"/>
  <c r="AM332" i="1" s="1"/>
  <c r="AL329" i="1"/>
  <c r="AL327" i="1"/>
  <c r="AM327" i="1" s="1"/>
  <c r="AQ328" i="1"/>
  <c r="AL328" i="1"/>
  <c r="AM328" i="1" s="1"/>
  <c r="AQ327" i="1"/>
  <c r="AQ326" i="1"/>
  <c r="AL326" i="1"/>
  <c r="AM326" i="1" s="1"/>
  <c r="AQ325" i="1"/>
  <c r="AL325" i="1"/>
  <c r="AM325" i="1" s="1"/>
  <c r="Y323" i="1"/>
  <c r="Z323" i="1"/>
  <c r="AL323" i="1" s="1"/>
  <c r="AM323" i="1" s="1"/>
  <c r="AT323" i="1"/>
  <c r="AV323" i="1" s="1"/>
  <c r="AU323" i="1" s="1"/>
  <c r="Y324" i="1"/>
  <c r="Z324" i="1"/>
  <c r="AL324" i="1" s="1"/>
  <c r="AM324" i="1" s="1"/>
  <c r="AT324" i="1"/>
  <c r="AV324" i="1" s="1"/>
  <c r="AU324" i="1" s="1"/>
  <c r="AT320" i="1"/>
  <c r="AV320" i="1"/>
  <c r="AU320" i="1" s="1"/>
  <c r="AT321" i="1"/>
  <c r="Y321" i="1"/>
  <c r="Z321" i="1"/>
  <c r="AT319" i="1"/>
  <c r="Z319" i="1"/>
  <c r="AL319" i="1" s="1"/>
  <c r="AM319" i="1" s="1"/>
  <c r="Y319" i="1"/>
  <c r="AS298" i="1"/>
  <c r="AQ320" i="1"/>
  <c r="AL320" i="1"/>
  <c r="AM320" i="1" s="1"/>
  <c r="AQ318" i="1"/>
  <c r="AL318" i="1"/>
  <c r="AM318" i="1" s="1"/>
  <c r="AQ317" i="1"/>
  <c r="AL317" i="1"/>
  <c r="AM317" i="1" s="1"/>
  <c r="AT316" i="1"/>
  <c r="AT315" i="1"/>
  <c r="Z316" i="1"/>
  <c r="AV316" i="1" s="1"/>
  <c r="AU316" i="1" s="1"/>
  <c r="Y316" i="1"/>
  <c r="Z315" i="1"/>
  <c r="Y315" i="1"/>
  <c r="AT313" i="1"/>
  <c r="AL316" i="1"/>
  <c r="AM316" i="1" s="1"/>
  <c r="Y313" i="1"/>
  <c r="Z313" i="1"/>
  <c r="AV313" i="1" s="1"/>
  <c r="AU313" i="1" s="1"/>
  <c r="AQ329" i="1"/>
  <c r="AM329" i="1"/>
  <c r="AQ314" i="1"/>
  <c r="AL314" i="1"/>
  <c r="AM314" i="1" s="1"/>
  <c r="AT312" i="1"/>
  <c r="Z312" i="1"/>
  <c r="Y312" i="1"/>
  <c r="AT311" i="1"/>
  <c r="Y311" i="1"/>
  <c r="Z311" i="1"/>
  <c r="AL311" i="1" s="1"/>
  <c r="AM311" i="1" s="1"/>
  <c r="AT304" i="1"/>
  <c r="Z304" i="1"/>
  <c r="AV304" i="1" s="1"/>
  <c r="AU304" i="1" s="1"/>
  <c r="Y304" i="1"/>
  <c r="AQ309" i="1"/>
  <c r="AL309" i="1"/>
  <c r="AM309" i="1" s="1"/>
  <c r="AQ308" i="1"/>
  <c r="AL308" i="1"/>
  <c r="AM308" i="1" s="1"/>
  <c r="AQ307" i="1"/>
  <c r="AL307" i="1"/>
  <c r="AM307" i="1" s="1"/>
  <c r="AQ306" i="1"/>
  <c r="AL306" i="1"/>
  <c r="AM306" i="1" s="1"/>
  <c r="AQ305" i="1"/>
  <c r="AL305" i="1"/>
  <c r="AM305" i="1" s="1"/>
  <c r="AT300" i="1"/>
  <c r="AT303" i="1"/>
  <c r="Z303" i="1"/>
  <c r="Y303" i="1"/>
  <c r="Z300" i="1"/>
  <c r="Y300" i="1"/>
  <c r="AZ289" i="1"/>
  <c r="AD298" i="1"/>
  <c r="Z298" i="1"/>
  <c r="AL298" i="1" s="1"/>
  <c r="AM298" i="1" s="1"/>
  <c r="Y298" i="1"/>
  <c r="AQ294" i="1"/>
  <c r="AL294" i="1"/>
  <c r="AM294" i="1" s="1"/>
  <c r="AT293" i="1"/>
  <c r="Z293" i="1"/>
  <c r="AL293" i="1" s="1"/>
  <c r="AM293" i="1" s="1"/>
  <c r="Y293" i="1"/>
  <c r="AQ301" i="1"/>
  <c r="AL301" i="1"/>
  <c r="AM301" i="1" s="1"/>
  <c r="AQ299" i="1"/>
  <c r="AL299" i="1"/>
  <c r="AM299" i="1" s="1"/>
  <c r="AQ297" i="1"/>
  <c r="AL297" i="1"/>
  <c r="AM297" i="1" s="1"/>
  <c r="AQ296" i="1"/>
  <c r="AL296" i="1"/>
  <c r="AM296" i="1" s="1"/>
  <c r="AQ295" i="1"/>
  <c r="AL295" i="1"/>
  <c r="AM295" i="1" s="1"/>
  <c r="AT292" i="1"/>
  <c r="AL290" i="1"/>
  <c r="AM290" i="1" s="1"/>
  <c r="AQ291" i="1"/>
  <c r="AL291" i="1"/>
  <c r="AM291" i="1" s="1"/>
  <c r="AQ302" i="1"/>
  <c r="AL302" i="1"/>
  <c r="AM302" i="1" s="1"/>
  <c r="AL287" i="1"/>
  <c r="AM287" i="1" s="1"/>
  <c r="AL288" i="1"/>
  <c r="AM288" i="1" s="1"/>
  <c r="AL310" i="1"/>
  <c r="AM310" i="1" s="1"/>
  <c r="AL312" i="1"/>
  <c r="AM312" i="1" s="1"/>
  <c r="AM330" i="1"/>
  <c r="Z292" i="1"/>
  <c r="Y292" i="1"/>
  <c r="Y290" i="1"/>
  <c r="AD289" i="1"/>
  <c r="AT289" i="1" s="1"/>
  <c r="Y289" i="1"/>
  <c r="Z289" i="1"/>
  <c r="AL289" i="1" s="1"/>
  <c r="AM289" i="1" s="1"/>
  <c r="AT286" i="1"/>
  <c r="AS275" i="1"/>
  <c r="AT285" i="1"/>
  <c r="AT274" i="1"/>
  <c r="AV274" i="1"/>
  <c r="AU274" i="1" s="1"/>
  <c r="AS284" i="1"/>
  <c r="Z286" i="1"/>
  <c r="Y286" i="1"/>
  <c r="Z285" i="1"/>
  <c r="AL285" i="1" s="1"/>
  <c r="AM285" i="1" s="1"/>
  <c r="Y285" i="1"/>
  <c r="AQ290" i="1"/>
  <c r="AQ288" i="1"/>
  <c r="AQ287" i="1"/>
  <c r="AD284" i="1"/>
  <c r="AT284" i="1" s="1"/>
  <c r="Z284" i="1"/>
  <c r="Y284" i="1"/>
  <c r="AQ310" i="1"/>
  <c r="AQ283" i="1"/>
  <c r="AL283" i="1"/>
  <c r="AM283" i="1" s="1"/>
  <c r="AT279" i="1"/>
  <c r="Z279" i="1"/>
  <c r="Y279" i="1"/>
  <c r="AQ282" i="1"/>
  <c r="AL282" i="1"/>
  <c r="AM282" i="1" s="1"/>
  <c r="AQ281" i="1"/>
  <c r="AL281" i="1"/>
  <c r="AM281" i="1" s="1"/>
  <c r="AQ280" i="1"/>
  <c r="AL280" i="1"/>
  <c r="AM280" i="1" s="1"/>
  <c r="AQ278" i="1"/>
  <c r="AL278" i="1"/>
  <c r="AM278" i="1" s="1"/>
  <c r="AT273" i="1"/>
  <c r="AT272" i="1"/>
  <c r="AD275" i="1"/>
  <c r="Z275" i="1"/>
  <c r="Y275" i="1"/>
  <c r="Z273" i="1"/>
  <c r="AV273" i="1" s="1"/>
  <c r="AU273" i="1" s="1"/>
  <c r="Y273" i="1"/>
  <c r="Z272" i="1"/>
  <c r="AV272" i="1" s="1"/>
  <c r="AU272" i="1" s="1"/>
  <c r="Y272" i="1"/>
  <c r="AQ277" i="1"/>
  <c r="AL277" i="1"/>
  <c r="AM277" i="1" s="1"/>
  <c r="AQ276" i="1"/>
  <c r="AL276" i="1"/>
  <c r="AM276" i="1" s="1"/>
  <c r="AL275" i="1"/>
  <c r="AM275" i="1" s="1"/>
  <c r="AQ274" i="1"/>
  <c r="AL274" i="1"/>
  <c r="AM274" i="1" s="1"/>
  <c r="AQ330" i="1"/>
  <c r="AL271" i="1"/>
  <c r="AM271" i="1" s="1"/>
  <c r="Y270" i="1"/>
  <c r="Z270" i="1"/>
  <c r="AL270" i="1" s="1"/>
  <c r="AM270" i="1" s="1"/>
  <c r="AT270" i="1"/>
  <c r="AV270" i="1" s="1"/>
  <c r="AU270" i="1" s="1"/>
  <c r="AT269" i="1"/>
  <c r="Z269" i="1"/>
  <c r="AL269" i="1" s="1"/>
  <c r="AM269" i="1" s="1"/>
  <c r="Y269" i="1"/>
  <c r="AQ268" i="1"/>
  <c r="AL268" i="1"/>
  <c r="AM268" i="1" s="1"/>
  <c r="AQ353" i="1"/>
  <c r="Z353" i="1"/>
  <c r="AL354" i="1"/>
  <c r="AM354" i="1" s="1"/>
  <c r="AQ354" i="1"/>
  <c r="AQ352" i="1"/>
  <c r="AQ351" i="1"/>
  <c r="AQ350" i="1"/>
  <c r="AQ254" i="1"/>
  <c r="AL254" i="1"/>
  <c r="AM254" i="1" s="1"/>
  <c r="AS212" i="1"/>
  <c r="AQ265" i="1"/>
  <c r="AL265" i="1"/>
  <c r="AM265" i="1" s="1"/>
  <c r="AQ264" i="1"/>
  <c r="AL264" i="1"/>
  <c r="AM264" i="1" s="1"/>
  <c r="AQ263" i="1"/>
  <c r="AL263" i="1"/>
  <c r="AM263" i="1" s="1"/>
  <c r="AQ262" i="1"/>
  <c r="AL262" i="1"/>
  <c r="AM262" i="1" s="1"/>
  <c r="AQ261" i="1"/>
  <c r="AL261" i="1"/>
  <c r="AM261" i="1" s="1"/>
  <c r="AQ267" i="1"/>
  <c r="AL267" i="1"/>
  <c r="AM267" i="1" s="1"/>
  <c r="AQ266" i="1"/>
  <c r="AL266" i="1"/>
  <c r="AM266" i="1" s="1"/>
  <c r="AQ543" i="1"/>
  <c r="AL543" i="1"/>
  <c r="AM543" i="1" s="1"/>
  <c r="AQ260" i="1"/>
  <c r="Z260" i="1"/>
  <c r="AT251" i="1"/>
  <c r="AT252" i="1"/>
  <c r="Z252" i="1"/>
  <c r="Y252" i="1"/>
  <c r="Z251" i="1"/>
  <c r="AV251" i="1" s="1"/>
  <c r="AU251" i="1" s="1"/>
  <c r="Y251" i="1"/>
  <c r="AT249" i="1"/>
  <c r="Z249" i="1"/>
  <c r="AV249" i="1" s="1"/>
  <c r="AU249" i="1" s="1"/>
  <c r="Y249" i="1"/>
  <c r="AL228" i="1"/>
  <c r="AM228" i="1" s="1"/>
  <c r="AL229" i="1"/>
  <c r="AM229" i="1" s="1"/>
  <c r="AL230" i="1"/>
  <c r="AM230" i="1" s="1"/>
  <c r="AQ248" i="1"/>
  <c r="AL248" i="1"/>
  <c r="AM248" i="1" s="1"/>
  <c r="AQ247" i="1"/>
  <c r="AL247" i="1"/>
  <c r="AM247" i="1" s="1"/>
  <c r="AQ246" i="1"/>
  <c r="AL246" i="1"/>
  <c r="AM246" i="1" s="1"/>
  <c r="AQ245" i="1"/>
  <c r="AL245" i="1"/>
  <c r="AM245" i="1" s="1"/>
  <c r="AQ244" i="1"/>
  <c r="AL244" i="1"/>
  <c r="AM244" i="1" s="1"/>
  <c r="AQ228" i="1"/>
  <c r="AQ229" i="1"/>
  <c r="AQ230" i="1"/>
  <c r="AQ250" i="1"/>
  <c r="AL250" i="1"/>
  <c r="AM250" i="1" s="1"/>
  <c r="AQ243" i="1"/>
  <c r="AL243" i="1"/>
  <c r="AM243" i="1" s="1"/>
  <c r="AQ242" i="1"/>
  <c r="AL242" i="1"/>
  <c r="AM242" i="1" s="1"/>
  <c r="AQ241" i="1"/>
  <c r="AL241" i="1"/>
  <c r="AM241" i="1" s="1"/>
  <c r="AQ240" i="1"/>
  <c r="AL240" i="1"/>
  <c r="AM240" i="1" s="1"/>
  <c r="AQ239" i="1"/>
  <c r="AL239" i="1"/>
  <c r="AM239" i="1" s="1"/>
  <c r="AZ236" i="1"/>
  <c r="AT237" i="1"/>
  <c r="Z237" i="1"/>
  <c r="AV237" i="1" s="1"/>
  <c r="AU237" i="1" s="1"/>
  <c r="Y237" i="1"/>
  <c r="AT233" i="1"/>
  <c r="AT234" i="1"/>
  <c r="AT235" i="1"/>
  <c r="AT236" i="1"/>
  <c r="Z236" i="1"/>
  <c r="AV236" i="1" s="1"/>
  <c r="AU236" i="1" s="1"/>
  <c r="Y236" i="1"/>
  <c r="Z235" i="1"/>
  <c r="AV235" i="1" s="1"/>
  <c r="AU235" i="1" s="1"/>
  <c r="Y235" i="1"/>
  <c r="AL237" i="1"/>
  <c r="AM237" i="1" s="1"/>
  <c r="Z234" i="1"/>
  <c r="Y234" i="1"/>
  <c r="Z233" i="1"/>
  <c r="Y233" i="1"/>
  <c r="AT232" i="1"/>
  <c r="Z232" i="1"/>
  <c r="AV232" i="1" s="1"/>
  <c r="AU232" i="1" s="1"/>
  <c r="Y232" i="1"/>
  <c r="AT227" i="1"/>
  <c r="Z227" i="1"/>
  <c r="Y227" i="1"/>
  <c r="AT221" i="1"/>
  <c r="AT222" i="1"/>
  <c r="Z222" i="1"/>
  <c r="Y222" i="1"/>
  <c r="Z221" i="1"/>
  <c r="AL221" i="1" s="1"/>
  <c r="AM221" i="1" s="1"/>
  <c r="Y221" i="1"/>
  <c r="AT220" i="1"/>
  <c r="Z220" i="1"/>
  <c r="AL220" i="1" s="1"/>
  <c r="AM220" i="1" s="1"/>
  <c r="Y220" i="1"/>
  <c r="AT217" i="1"/>
  <c r="Z217" i="1"/>
  <c r="Y217" i="1"/>
  <c r="AQ225" i="1"/>
  <c r="AL225" i="1"/>
  <c r="AM225" i="1" s="1"/>
  <c r="AQ224" i="1"/>
  <c r="AL224" i="1"/>
  <c r="AM224" i="1" s="1"/>
  <c r="AQ223" i="1"/>
  <c r="AL223" i="1"/>
  <c r="AM223" i="1" s="1"/>
  <c r="AQ219" i="1"/>
  <c r="AL219" i="1"/>
  <c r="AM219" i="1" s="1"/>
  <c r="AQ218" i="1"/>
  <c r="AL218" i="1"/>
  <c r="AM218" i="1" s="1"/>
  <c r="AL217" i="1"/>
  <c r="AM217" i="1" s="1"/>
  <c r="AL233" i="1"/>
  <c r="AM233" i="1" s="1"/>
  <c r="AL232" i="1"/>
  <c r="AM232" i="1" s="1"/>
  <c r="AQ231" i="1"/>
  <c r="AL231" i="1"/>
  <c r="AM231" i="1" s="1"/>
  <c r="AQ226" i="1"/>
  <c r="AL226" i="1"/>
  <c r="AM226" i="1" s="1"/>
  <c r="BZ4" i="1"/>
  <c r="BZ5" i="1"/>
  <c r="BZ6" i="1"/>
  <c r="BZ7" i="1"/>
  <c r="BZ8" i="1"/>
  <c r="BZ9" i="1"/>
  <c r="BZ10" i="1"/>
  <c r="BZ11" i="1"/>
  <c r="BZ12" i="1"/>
  <c r="BZ13" i="1"/>
  <c r="BZ14" i="1"/>
  <c r="BZ15" i="1"/>
  <c r="BZ16" i="1"/>
  <c r="BZ17" i="1"/>
  <c r="BZ18" i="1"/>
  <c r="BZ19" i="1"/>
  <c r="BZ20" i="1"/>
  <c r="BZ21" i="1"/>
  <c r="BZ3" i="1"/>
  <c r="BX4" i="1"/>
  <c r="BX5" i="1"/>
  <c r="BX6" i="1"/>
  <c r="BX7" i="1"/>
  <c r="BX3" i="1"/>
  <c r="AS213" i="1"/>
  <c r="AT214" i="1"/>
  <c r="Z214" i="1"/>
  <c r="AL214" i="1" s="1"/>
  <c r="AM214" i="1" s="1"/>
  <c r="Y214" i="1"/>
  <c r="AT213" i="1"/>
  <c r="Z213" i="1"/>
  <c r="AL213" i="1" s="1"/>
  <c r="AM213" i="1" s="1"/>
  <c r="Y213" i="1"/>
  <c r="AD212" i="1"/>
  <c r="AT212" i="1" s="1"/>
  <c r="Z212" i="1"/>
  <c r="Y212" i="1"/>
  <c r="AT211" i="1"/>
  <c r="Z211" i="1"/>
  <c r="Y211" i="1"/>
  <c r="AT210" i="1"/>
  <c r="Z210" i="1"/>
  <c r="AL210" i="1" s="1"/>
  <c r="AM210" i="1" s="1"/>
  <c r="Y210" i="1"/>
  <c r="Z208" i="1"/>
  <c r="AL208" i="1" s="1"/>
  <c r="AM208" i="1" s="1"/>
  <c r="Y208" i="1"/>
  <c r="AT208" i="1"/>
  <c r="AT209" i="1"/>
  <c r="Z209" i="1"/>
  <c r="Y209" i="1"/>
  <c r="AT204" i="1"/>
  <c r="AQ207" i="1"/>
  <c r="AL207" i="1"/>
  <c r="AM207" i="1" s="1"/>
  <c r="Y204" i="1"/>
  <c r="Z204" i="1"/>
  <c r="AL204" i="1" s="1"/>
  <c r="AM204" i="1" s="1"/>
  <c r="AQ199" i="1"/>
  <c r="AQ206" i="1"/>
  <c r="AL206" i="1"/>
  <c r="AM206" i="1" s="1"/>
  <c r="AQ205" i="1"/>
  <c r="AL205" i="1"/>
  <c r="AM205" i="1" s="1"/>
  <c r="AQ203" i="1"/>
  <c r="AL203" i="1"/>
  <c r="AM203" i="1" s="1"/>
  <c r="AQ202" i="1"/>
  <c r="AL202" i="1"/>
  <c r="AM202" i="1" s="1"/>
  <c r="AQ201" i="1"/>
  <c r="AL201" i="1"/>
  <c r="AM201" i="1" s="1"/>
  <c r="AS195" i="1"/>
  <c r="AD195" i="1"/>
  <c r="Z195" i="1"/>
  <c r="AL195" i="1" s="1"/>
  <c r="AM195" i="1" s="1"/>
  <c r="Y195" i="1"/>
  <c r="AT194" i="1"/>
  <c r="Z194" i="1"/>
  <c r="Y194" i="1"/>
  <c r="AT186" i="1"/>
  <c r="AT193" i="1"/>
  <c r="Z193" i="1"/>
  <c r="Y193" i="1"/>
  <c r="AS166" i="1"/>
  <c r="AQ192" i="1"/>
  <c r="AL192" i="1"/>
  <c r="AM192" i="1" s="1"/>
  <c r="AQ191" i="1"/>
  <c r="AL191" i="1"/>
  <c r="AM191" i="1" s="1"/>
  <c r="AQ190" i="1"/>
  <c r="AL190" i="1"/>
  <c r="AM190" i="1" s="1"/>
  <c r="AQ189" i="1"/>
  <c r="AL189" i="1"/>
  <c r="AM189" i="1" s="1"/>
  <c r="AQ188" i="1"/>
  <c r="AL188" i="1"/>
  <c r="AM188" i="1" s="1"/>
  <c r="AQ215" i="1"/>
  <c r="AL215" i="1"/>
  <c r="AM215" i="1" s="1"/>
  <c r="AQ200" i="1"/>
  <c r="AL200" i="1"/>
  <c r="AM200" i="1" s="1"/>
  <c r="AQ198" i="1"/>
  <c r="AL198" i="1"/>
  <c r="AM198" i="1" s="1"/>
  <c r="AQ197" i="1"/>
  <c r="AL197" i="1"/>
  <c r="AM197" i="1" s="1"/>
  <c r="AQ196" i="1"/>
  <c r="AL196" i="1"/>
  <c r="AM196" i="1" s="1"/>
  <c r="AQ238" i="1"/>
  <c r="AL238" i="1"/>
  <c r="AM238" i="1" s="1"/>
  <c r="AQ216" i="1"/>
  <c r="AL216" i="1"/>
  <c r="AM216" i="1" s="1"/>
  <c r="AL187" i="1"/>
  <c r="AM187" i="1" s="1"/>
  <c r="Z186" i="1"/>
  <c r="Y186" i="1"/>
  <c r="AT185" i="1"/>
  <c r="AT183" i="1"/>
  <c r="AT184" i="1"/>
  <c r="Z185" i="1"/>
  <c r="AL185" i="1" s="1"/>
  <c r="AM185" i="1" s="1"/>
  <c r="Y185" i="1"/>
  <c r="Z184" i="1"/>
  <c r="AL184" i="1" s="1"/>
  <c r="AM184" i="1" s="1"/>
  <c r="Y184" i="1"/>
  <c r="Z183" i="1"/>
  <c r="Y183" i="1"/>
  <c r="AD166" i="1"/>
  <c r="AT180" i="1"/>
  <c r="AD181" i="1"/>
  <c r="AT181" i="1" s="1"/>
  <c r="Z181" i="1"/>
  <c r="AL181" i="1" s="1"/>
  <c r="AM181" i="1" s="1"/>
  <c r="Y181" i="1"/>
  <c r="Z180" i="1"/>
  <c r="Y180" i="1"/>
  <c r="BW4" i="1"/>
  <c r="BW5" i="1"/>
  <c r="BW6" i="1"/>
  <c r="BW7" i="1"/>
  <c r="BW8" i="1"/>
  <c r="BW9" i="1"/>
  <c r="BW10" i="1"/>
  <c r="BW11" i="1"/>
  <c r="BW12" i="1"/>
  <c r="BW13" i="1"/>
  <c r="BW14" i="1"/>
  <c r="BW15" i="1"/>
  <c r="BW16" i="1"/>
  <c r="BW17" i="1"/>
  <c r="BW18" i="1"/>
  <c r="BW19" i="1"/>
  <c r="BW20" i="1"/>
  <c r="BW21" i="1"/>
  <c r="BW22" i="1"/>
  <c r="BW23" i="1"/>
  <c r="BW24" i="1"/>
  <c r="BW25" i="1"/>
  <c r="BW26" i="1"/>
  <c r="BW27" i="1"/>
  <c r="BW28" i="1"/>
  <c r="BW3" i="1"/>
  <c r="BV4" i="1"/>
  <c r="BV5" i="1"/>
  <c r="BV6" i="1"/>
  <c r="BV7" i="1"/>
  <c r="BV8" i="1"/>
  <c r="BV9" i="1"/>
  <c r="BV10" i="1"/>
  <c r="BV11" i="1"/>
  <c r="BV12" i="1"/>
  <c r="BV13" i="1"/>
  <c r="BV14" i="1"/>
  <c r="BV15" i="1"/>
  <c r="BV16" i="1"/>
  <c r="BV17" i="1"/>
  <c r="BV18" i="1"/>
  <c r="BV19" i="1"/>
  <c r="BV20" i="1"/>
  <c r="BV21" i="1"/>
  <c r="BV22" i="1"/>
  <c r="BV23" i="1"/>
  <c r="BV24" i="1"/>
  <c r="BV25" i="1"/>
  <c r="BV26" i="1"/>
  <c r="BV27" i="1"/>
  <c r="BV28" i="1"/>
  <c r="BV3" i="1"/>
  <c r="BU4" i="1"/>
  <c r="BU5" i="1"/>
  <c r="BU6" i="1"/>
  <c r="BU7" i="1"/>
  <c r="BU8" i="1"/>
  <c r="BU9" i="1"/>
  <c r="BU10" i="1"/>
  <c r="BU11" i="1"/>
  <c r="BU12" i="1"/>
  <c r="BU13" i="1"/>
  <c r="BU14" i="1"/>
  <c r="BU15" i="1"/>
  <c r="BU16" i="1"/>
  <c r="BU17" i="1"/>
  <c r="BU18" i="1"/>
  <c r="BU19" i="1"/>
  <c r="BU20" i="1"/>
  <c r="BU21" i="1"/>
  <c r="BU3" i="1"/>
  <c r="BT4" i="1"/>
  <c r="BT5" i="1"/>
  <c r="BT6" i="1"/>
  <c r="BT3" i="1"/>
  <c r="BS4" i="1"/>
  <c r="BS5" i="1"/>
  <c r="BS6" i="1"/>
  <c r="BS7" i="1"/>
  <c r="BS8" i="1"/>
  <c r="BS9" i="1"/>
  <c r="BS10" i="1"/>
  <c r="BS11" i="1"/>
  <c r="BS12" i="1"/>
  <c r="BS13" i="1"/>
  <c r="BS14" i="1"/>
  <c r="BS15" i="1"/>
  <c r="BS16" i="1"/>
  <c r="BS17" i="1"/>
  <c r="BS18" i="1"/>
  <c r="BS3" i="1"/>
  <c r="AT179" i="1"/>
  <c r="Z179" i="1"/>
  <c r="Y179" i="1"/>
  <c r="AT177" i="1"/>
  <c r="AT178" i="1"/>
  <c r="Z178" i="1"/>
  <c r="Y178" i="1"/>
  <c r="Z177" i="1"/>
  <c r="AL177" i="1" s="1"/>
  <c r="AM177" i="1" s="1"/>
  <c r="Y177" i="1"/>
  <c r="AQ182" i="1"/>
  <c r="AL182" i="1"/>
  <c r="AM182" i="1" s="1"/>
  <c r="AL252" i="1"/>
  <c r="AM252" i="1" s="1"/>
  <c r="AQ187" i="1"/>
  <c r="AT176" i="1"/>
  <c r="Z176" i="1"/>
  <c r="Y176" i="1"/>
  <c r="AT175" i="1"/>
  <c r="Z175" i="1"/>
  <c r="Y175" i="1"/>
  <c r="AT174" i="1"/>
  <c r="Z174" i="1"/>
  <c r="Y174" i="1"/>
  <c r="Y173" i="1"/>
  <c r="Z173" i="1"/>
  <c r="AS149" i="1"/>
  <c r="AQ170" i="1"/>
  <c r="AL170" i="1"/>
  <c r="AM170" i="1" s="1"/>
  <c r="AT172" i="1"/>
  <c r="Z172" i="1"/>
  <c r="Y172" i="1"/>
  <c r="AL165" i="1"/>
  <c r="AM165" i="1" s="1"/>
  <c r="AL169" i="1"/>
  <c r="AM169" i="1"/>
  <c r="AL171" i="1"/>
  <c r="AM171" i="1" s="1"/>
  <c r="AL253" i="1"/>
  <c r="AM253" i="1" s="1"/>
  <c r="AL255" i="1"/>
  <c r="AM255" i="1" s="1"/>
  <c r="AL256" i="1"/>
  <c r="AM256" i="1" s="1"/>
  <c r="AL257" i="1"/>
  <c r="AM257" i="1" s="1"/>
  <c r="AL258" i="1"/>
  <c r="AM258" i="1" s="1"/>
  <c r="AL259" i="1"/>
  <c r="AM259" i="1"/>
  <c r="AL1232" i="1"/>
  <c r="AM1232" i="1" s="1"/>
  <c r="AL1234" i="1"/>
  <c r="AM1234" i="1" s="1"/>
  <c r="AQ173" i="1"/>
  <c r="AQ171" i="1"/>
  <c r="AQ169" i="1"/>
  <c r="AT168" i="1"/>
  <c r="Z168" i="1"/>
  <c r="Y168" i="1"/>
  <c r="AT163" i="1"/>
  <c r="AT164" i="1"/>
  <c r="AQ256" i="1"/>
  <c r="AQ255" i="1"/>
  <c r="AQ253" i="1"/>
  <c r="Y166" i="1"/>
  <c r="Z166" i="1"/>
  <c r="AQ167" i="1"/>
  <c r="AL167" i="1"/>
  <c r="AM167" i="1" s="1"/>
  <c r="AQ165" i="1"/>
  <c r="Z164" i="1"/>
  <c r="Y164" i="1"/>
  <c r="Y163" i="1"/>
  <c r="Z163" i="1"/>
  <c r="AL163" i="1" s="1"/>
  <c r="AM163" i="1" s="1"/>
  <c r="AT161" i="1"/>
  <c r="AT162" i="1"/>
  <c r="Z162" i="1"/>
  <c r="AL162" i="1" s="1"/>
  <c r="AM162" i="1" s="1"/>
  <c r="Y162" i="1"/>
  <c r="Z161" i="1"/>
  <c r="AL161" i="1" s="1"/>
  <c r="AM161" i="1" s="1"/>
  <c r="Y161" i="1"/>
  <c r="AQ258" i="1"/>
  <c r="AQ257" i="1"/>
  <c r="Z160" i="1"/>
  <c r="AL160" i="1" s="1"/>
  <c r="AM160" i="1" s="1"/>
  <c r="Y160" i="1"/>
  <c r="AT159" i="1"/>
  <c r="AT160" i="1"/>
  <c r="Z159" i="1"/>
  <c r="Y159" i="1"/>
  <c r="AS155" i="1"/>
  <c r="AS154" i="1"/>
  <c r="Z155" i="1"/>
  <c r="AL155" i="1" s="1"/>
  <c r="AM155" i="1" s="1"/>
  <c r="Y155" i="1"/>
  <c r="Z154" i="1"/>
  <c r="AL154" i="1" s="1"/>
  <c r="AM154" i="1" s="1"/>
  <c r="Y154" i="1"/>
  <c r="AT150" i="1"/>
  <c r="Z150" i="1"/>
  <c r="AL150" i="1" s="1"/>
  <c r="AM150" i="1" s="1"/>
  <c r="Y150" i="1"/>
  <c r="Z149" i="1"/>
  <c r="AL149" i="1" s="1"/>
  <c r="AM149" i="1" s="1"/>
  <c r="Y149" i="1"/>
  <c r="AT147" i="1"/>
  <c r="AQ153" i="1"/>
  <c r="AL153" i="1"/>
  <c r="AM153" i="1" s="1"/>
  <c r="AQ152" i="1"/>
  <c r="AL152" i="1"/>
  <c r="AM152" i="1" s="1"/>
  <c r="AQ151" i="1"/>
  <c r="AL151" i="1"/>
  <c r="AM151" i="1" s="1"/>
  <c r="AQ158" i="1"/>
  <c r="AL158" i="1"/>
  <c r="AM158" i="1" s="1"/>
  <c r="AQ157" i="1"/>
  <c r="AL157" i="1"/>
  <c r="AM157" i="1" s="1"/>
  <c r="AQ156" i="1"/>
  <c r="AL156" i="1"/>
  <c r="AM156" i="1" s="1"/>
  <c r="AT144" i="1"/>
  <c r="AT146" i="1"/>
  <c r="AD148" i="1"/>
  <c r="AT148" i="1" s="1"/>
  <c r="Z148" i="1"/>
  <c r="AL148" i="1" s="1"/>
  <c r="AM148" i="1" s="1"/>
  <c r="Y148" i="1"/>
  <c r="Z147" i="1"/>
  <c r="AV147" i="1" s="1"/>
  <c r="AU147" i="1" s="1"/>
  <c r="Y147" i="1"/>
  <c r="Z146" i="1"/>
  <c r="Y146" i="1"/>
  <c r="Z144" i="1"/>
  <c r="Y144" i="1"/>
  <c r="AQ145" i="1"/>
  <c r="AL145" i="1"/>
  <c r="AM145" i="1" s="1"/>
  <c r="AQ143" i="1"/>
  <c r="AL143" i="1"/>
  <c r="AM143" i="1" s="1"/>
  <c r="AQ259" i="1"/>
  <c r="AQ146" i="1"/>
  <c r="AQ130" i="1"/>
  <c r="AL130" i="1"/>
  <c r="AM130" i="1" s="1"/>
  <c r="AT142" i="1"/>
  <c r="Z142" i="1"/>
  <c r="AL142" i="1" s="1"/>
  <c r="AM142" i="1" s="1"/>
  <c r="Y142" i="1"/>
  <c r="AT128" i="1"/>
  <c r="Y128" i="1"/>
  <c r="Z128" i="1"/>
  <c r="AL129" i="1"/>
  <c r="AM129" i="1" s="1"/>
  <c r="AT127" i="1"/>
  <c r="Z127" i="1"/>
  <c r="Y127" i="1"/>
  <c r="AT126" i="1"/>
  <c r="Z126" i="1"/>
  <c r="AL126" i="1" s="1"/>
  <c r="AM126" i="1" s="1"/>
  <c r="Y126" i="1"/>
  <c r="Z9" i="1"/>
  <c r="Z4" i="1"/>
  <c r="AL4" i="1" s="1"/>
  <c r="AM4" i="1" s="1"/>
  <c r="AQ129" i="1"/>
  <c r="AQ125" i="1"/>
  <c r="AL125" i="1"/>
  <c r="AM125" i="1" s="1"/>
  <c r="AT120" i="1"/>
  <c r="AV120" i="1"/>
  <c r="AU120" i="1" s="1"/>
  <c r="AT123" i="1"/>
  <c r="AS104" i="1"/>
  <c r="Z123" i="1"/>
  <c r="AV123" i="1" s="1"/>
  <c r="AU123" i="1" s="1"/>
  <c r="Y123" i="1"/>
  <c r="Y121" i="1"/>
  <c r="Z121" i="1"/>
  <c r="AD119" i="1"/>
  <c r="AT119" i="1" s="1"/>
  <c r="Z119" i="1"/>
  <c r="AL119" i="1" s="1"/>
  <c r="AM119" i="1" s="1"/>
  <c r="Y119" i="1"/>
  <c r="AT117" i="1"/>
  <c r="AT118" i="1"/>
  <c r="Z118" i="1"/>
  <c r="Y118" i="1"/>
  <c r="Z117" i="1"/>
  <c r="AL117" i="1" s="1"/>
  <c r="AM117" i="1" s="1"/>
  <c r="Y117" i="1"/>
  <c r="AT116" i="1"/>
  <c r="Z116" i="1"/>
  <c r="AL116" i="1" s="1"/>
  <c r="AM116" i="1" s="1"/>
  <c r="Y116" i="1"/>
  <c r="AS115" i="1"/>
  <c r="AD115" i="1"/>
  <c r="Y112" i="1"/>
  <c r="Z112" i="1"/>
  <c r="Y113" i="1"/>
  <c r="Z113" i="1"/>
  <c r="Y114" i="1"/>
  <c r="Z114" i="1"/>
  <c r="Y115" i="1"/>
  <c r="Z115" i="1"/>
  <c r="AL115" i="1" s="1"/>
  <c r="AM115" i="1" s="1"/>
  <c r="AD104" i="1"/>
  <c r="AQ120" i="1"/>
  <c r="AL120" i="1"/>
  <c r="AM120" i="1" s="1"/>
  <c r="AQ122" i="1"/>
  <c r="AL122" i="1"/>
  <c r="AM122" i="1" s="1"/>
  <c r="AQ121" i="1"/>
  <c r="AQ124" i="1"/>
  <c r="AL124" i="1"/>
  <c r="AM124" i="1" s="1"/>
  <c r="AS109" i="1"/>
  <c r="AT109" i="1"/>
  <c r="Z109" i="1"/>
  <c r="AL109" i="1" s="1"/>
  <c r="AM109" i="1" s="1"/>
  <c r="Y109" i="1"/>
  <c r="AT108" i="1"/>
  <c r="Z108" i="1"/>
  <c r="AL108" i="1" s="1"/>
  <c r="AM108" i="1" s="1"/>
  <c r="Y108" i="1"/>
  <c r="AS9" i="1"/>
  <c r="Z104" i="1"/>
  <c r="Y104" i="1"/>
  <c r="AQ107" i="1"/>
  <c r="AL107" i="1"/>
  <c r="AM107" i="1" s="1"/>
  <c r="AQ106" i="1"/>
  <c r="AL106" i="1"/>
  <c r="AM106" i="1" s="1"/>
  <c r="AQ105" i="1"/>
  <c r="AL105" i="1"/>
  <c r="AM105" i="1" s="1"/>
  <c r="AQ111" i="1"/>
  <c r="AL111" i="1"/>
  <c r="AM111" i="1" s="1"/>
  <c r="AQ110" i="1"/>
  <c r="AL110" i="1"/>
  <c r="AM110" i="1" s="1"/>
  <c r="AQ113" i="1"/>
  <c r="AQ112" i="1"/>
  <c r="AQ114" i="1"/>
  <c r="AT100" i="1"/>
  <c r="AT98" i="1"/>
  <c r="AT93" i="1"/>
  <c r="AT101" i="1"/>
  <c r="Z101" i="1"/>
  <c r="Y101" i="1"/>
  <c r="Z100" i="1"/>
  <c r="Y100" i="1"/>
  <c r="AT96" i="1"/>
  <c r="Z98" i="1"/>
  <c r="AL98" i="1" s="1"/>
  <c r="AM98" i="1" s="1"/>
  <c r="Y98" i="1"/>
  <c r="AQ94" i="1"/>
  <c r="AL94" i="1"/>
  <c r="AM94" i="1" s="1"/>
  <c r="AQ95" i="1"/>
  <c r="AL95" i="1"/>
  <c r="AM95" i="1" s="1"/>
  <c r="Z96" i="1"/>
  <c r="AL96" i="1" s="1"/>
  <c r="AM96" i="1" s="1"/>
  <c r="Y96" i="1"/>
  <c r="AS92" i="1"/>
  <c r="AT92" i="1" s="1"/>
  <c r="AT87" i="1"/>
  <c r="AV87" i="1"/>
  <c r="AU87" i="1" s="1"/>
  <c r="AT88" i="1"/>
  <c r="AV88" i="1"/>
  <c r="AU88" i="1" s="1"/>
  <c r="AT89" i="1"/>
  <c r="AV89" i="1"/>
  <c r="AU89" i="1" s="1"/>
  <c r="AT90" i="1"/>
  <c r="AV90" i="1"/>
  <c r="AU90" i="1" s="1"/>
  <c r="AT91" i="1"/>
  <c r="AV91" i="1"/>
  <c r="AU91" i="1" s="1"/>
  <c r="AT86" i="1"/>
  <c r="Z93" i="1"/>
  <c r="AL93" i="1" s="1"/>
  <c r="AM93" i="1" s="1"/>
  <c r="Y93" i="1"/>
  <c r="BQ4" i="1"/>
  <c r="BQ5" i="1"/>
  <c r="BQ6" i="1"/>
  <c r="BQ7" i="1"/>
  <c r="BQ8" i="1"/>
  <c r="BQ9" i="1"/>
  <c r="BQ10" i="1"/>
  <c r="BQ11" i="1"/>
  <c r="BQ12" i="1"/>
  <c r="BQ13" i="1"/>
  <c r="BQ14" i="1"/>
  <c r="BQ15" i="1"/>
  <c r="BQ16" i="1"/>
  <c r="BQ17" i="1"/>
  <c r="BQ18" i="1"/>
  <c r="BQ19" i="1"/>
  <c r="BQ20" i="1"/>
  <c r="BQ21" i="1"/>
  <c r="BQ3" i="1"/>
  <c r="Z92" i="1"/>
  <c r="Y92" i="1"/>
  <c r="Z86" i="1"/>
  <c r="Y86" i="1"/>
  <c r="AT79" i="1"/>
  <c r="AT84" i="1"/>
  <c r="Z84" i="1"/>
  <c r="Y84" i="1"/>
  <c r="AL82" i="1"/>
  <c r="AM82" i="1" s="1"/>
  <c r="AQ82" i="1"/>
  <c r="AL83" i="1"/>
  <c r="AM83" i="1" s="1"/>
  <c r="AQ83" i="1"/>
  <c r="AL85" i="1"/>
  <c r="AM85" i="1" s="1"/>
  <c r="AQ85" i="1"/>
  <c r="AL87" i="1"/>
  <c r="AM87" i="1"/>
  <c r="AQ87" i="1"/>
  <c r="AL88" i="1"/>
  <c r="AM88" i="1" s="1"/>
  <c r="AQ88" i="1"/>
  <c r="AL89" i="1"/>
  <c r="AM89" i="1" s="1"/>
  <c r="AQ89" i="1"/>
  <c r="AL90" i="1"/>
  <c r="AM90" i="1" s="1"/>
  <c r="AQ90" i="1"/>
  <c r="AL91" i="1"/>
  <c r="AM91" i="1" s="1"/>
  <c r="AQ91" i="1"/>
  <c r="AL97" i="1"/>
  <c r="AM97" i="1" s="1"/>
  <c r="AQ97" i="1"/>
  <c r="AL99" i="1"/>
  <c r="AM99" i="1" s="1"/>
  <c r="AQ99" i="1"/>
  <c r="AL81" i="1"/>
  <c r="AM81" i="1" s="1"/>
  <c r="Z79" i="1"/>
  <c r="Y79" i="1"/>
  <c r="AQ81" i="1"/>
  <c r="AQ80" i="1"/>
  <c r="AL80" i="1"/>
  <c r="AM80" i="1" s="1"/>
  <c r="AS78" i="1"/>
  <c r="Z78" i="1"/>
  <c r="AL78" i="1" s="1"/>
  <c r="AM78" i="1" s="1"/>
  <c r="Y78" i="1"/>
  <c r="AS49" i="1"/>
  <c r="AT74" i="1"/>
  <c r="AT75" i="1"/>
  <c r="AT71" i="1"/>
  <c r="AV71" i="1"/>
  <c r="AU71" i="1" s="1"/>
  <c r="AT73" i="1"/>
  <c r="AT76" i="1"/>
  <c r="Z76" i="1"/>
  <c r="AL76" i="1" s="1"/>
  <c r="AM76" i="1" s="1"/>
  <c r="Y76" i="1"/>
  <c r="Z75" i="1"/>
  <c r="AL75" i="1" s="1"/>
  <c r="AM75" i="1" s="1"/>
  <c r="Y75" i="1"/>
  <c r="Z74" i="1"/>
  <c r="Y74" i="1"/>
  <c r="AM72" i="1"/>
  <c r="Y72" i="1"/>
  <c r="Z72" i="1"/>
  <c r="Y73" i="1"/>
  <c r="Z73" i="1"/>
  <c r="AQ77" i="1"/>
  <c r="AL77" i="1"/>
  <c r="AM77" i="1" s="1"/>
  <c r="AQ72" i="1"/>
  <c r="AT70" i="1"/>
  <c r="AQ103" i="1"/>
  <c r="AL103" i="1"/>
  <c r="AM103" i="1" s="1"/>
  <c r="AQ102" i="1"/>
  <c r="AL102" i="1"/>
  <c r="AM102" i="1" s="1"/>
  <c r="BI3" i="1"/>
  <c r="BI4" i="1"/>
  <c r="BI5" i="1"/>
  <c r="BI6" i="1"/>
  <c r="BI7" i="1"/>
  <c r="AL71" i="1"/>
  <c r="AM71" i="1" s="1"/>
  <c r="AQ69" i="1"/>
  <c r="Z70" i="1"/>
  <c r="Y70" i="1"/>
  <c r="AT68" i="1"/>
  <c r="AT66" i="1"/>
  <c r="AT67" i="1"/>
  <c r="AQ133" i="1"/>
  <c r="AL133" i="1"/>
  <c r="AM133" i="1" s="1"/>
  <c r="AQ132" i="1"/>
  <c r="AL132" i="1"/>
  <c r="AM132" i="1" s="1"/>
  <c r="AQ131" i="1"/>
  <c r="AL131" i="1"/>
  <c r="AM131" i="1" s="1"/>
  <c r="AQ71" i="1"/>
  <c r="AQ135" i="1"/>
  <c r="AL135" i="1"/>
  <c r="AM135" i="1" s="1"/>
  <c r="AQ134" i="1"/>
  <c r="AL134" i="1"/>
  <c r="AM134" i="1" s="1"/>
  <c r="AQ140" i="1"/>
  <c r="Z140" i="1"/>
  <c r="AQ141" i="1"/>
  <c r="AL141" i="1"/>
  <c r="AM141" i="1" s="1"/>
  <c r="AL136" i="1"/>
  <c r="AM136" i="1" s="1"/>
  <c r="AL137" i="1"/>
  <c r="AM137" i="1" s="1"/>
  <c r="AL138" i="1"/>
  <c r="AM138" i="1" s="1"/>
  <c r="AL139" i="1"/>
  <c r="AM139" i="1" s="1"/>
  <c r="BL4" i="1"/>
  <c r="BL5" i="1"/>
  <c r="BL6" i="1"/>
  <c r="BL7" i="1"/>
  <c r="BL3" i="1"/>
  <c r="Z68" i="1"/>
  <c r="Y68" i="1"/>
  <c r="Z67" i="1"/>
  <c r="Y67" i="1"/>
  <c r="Z66" i="1"/>
  <c r="Y66" i="1"/>
  <c r="AT65" i="1"/>
  <c r="Z65" i="1"/>
  <c r="Y65" i="1"/>
  <c r="AT64" i="1"/>
  <c r="AT61" i="1"/>
  <c r="Z64" i="1"/>
  <c r="Y64" i="1"/>
  <c r="AS53" i="1"/>
  <c r="AT53" i="1" s="1"/>
  <c r="AL57" i="1"/>
  <c r="AM57" i="1" s="1"/>
  <c r="AT56" i="1"/>
  <c r="AT60" i="1"/>
  <c r="Z61" i="1"/>
  <c r="Y61" i="1"/>
  <c r="Y58" i="1"/>
  <c r="Z58" i="1"/>
  <c r="Y59" i="1"/>
  <c r="Z59" i="1"/>
  <c r="Y60" i="1"/>
  <c r="Z60" i="1"/>
  <c r="AQ63" i="1"/>
  <c r="AQ62" i="1"/>
  <c r="AQ59" i="1"/>
  <c r="AQ58" i="1"/>
  <c r="AQ137" i="1"/>
  <c r="AQ136" i="1"/>
  <c r="Z56" i="1"/>
  <c r="Y56" i="1"/>
  <c r="AT55" i="1"/>
  <c r="Z55" i="1"/>
  <c r="Y55" i="1"/>
  <c r="Z53" i="1"/>
  <c r="Y53" i="1"/>
  <c r="AT51" i="1"/>
  <c r="Z51" i="1"/>
  <c r="Y51" i="1"/>
  <c r="AQ3" i="1"/>
  <c r="AQ4" i="1"/>
  <c r="AQ5" i="1"/>
  <c r="AQ6" i="1"/>
  <c r="AQ7" i="1"/>
  <c r="AQ8"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41" i="1"/>
  <c r="AQ42" i="1"/>
  <c r="AQ43" i="1"/>
  <c r="AQ48" i="1"/>
  <c r="AQ50" i="1"/>
  <c r="AQ52" i="1"/>
  <c r="AQ54" i="1"/>
  <c r="AQ57" i="1"/>
  <c r="AQ138" i="1"/>
  <c r="AQ139" i="1"/>
  <c r="AQ1232" i="1"/>
  <c r="AQ1234" i="1"/>
  <c r="AS45" i="1"/>
  <c r="AT49" i="1"/>
  <c r="AS48" i="1"/>
  <c r="AL50" i="1"/>
  <c r="AM50" i="1" s="1"/>
  <c r="Z49" i="1"/>
  <c r="Y49" i="1"/>
  <c r="AD48" i="1"/>
  <c r="AT46" i="1"/>
  <c r="AT47" i="1"/>
  <c r="Z48" i="1"/>
  <c r="AL48" i="1" s="1"/>
  <c r="AM48" i="1" s="1"/>
  <c r="Y48" i="1"/>
  <c r="Z47" i="1"/>
  <c r="Y47" i="1"/>
  <c r="AT43" i="1"/>
  <c r="AS38" i="1"/>
  <c r="Z46" i="1"/>
  <c r="Y46" i="1"/>
  <c r="AD45" i="1"/>
  <c r="Z45" i="1"/>
  <c r="AL45" i="1" s="1"/>
  <c r="AM45" i="1" s="1"/>
  <c r="Y45" i="1"/>
  <c r="AD44" i="1"/>
  <c r="AT44" i="1" s="1"/>
  <c r="Z44" i="1"/>
  <c r="AL44" i="1" s="1"/>
  <c r="AM44" i="1" s="1"/>
  <c r="Y44" i="1"/>
  <c r="Z43" i="1"/>
  <c r="Y43" i="1"/>
  <c r="AT39" i="1"/>
  <c r="AT40" i="1"/>
  <c r="AT41" i="1"/>
  <c r="Z41" i="1"/>
  <c r="Y41" i="1"/>
  <c r="Z40" i="1"/>
  <c r="Y40" i="1"/>
  <c r="Z39" i="1"/>
  <c r="Y39" i="1"/>
  <c r="AD38" i="1"/>
  <c r="AL37" i="1"/>
  <c r="AM37" i="1" s="1"/>
  <c r="AS30" i="1"/>
  <c r="AT30" i="1" s="1"/>
  <c r="Z38" i="1"/>
  <c r="AL38" i="1" s="1"/>
  <c r="AM38" i="1" s="1"/>
  <c r="Y38" i="1"/>
  <c r="Z33" i="1"/>
  <c r="Y33" i="1"/>
  <c r="Z32" i="1"/>
  <c r="Y32" i="1"/>
  <c r="AT33" i="1"/>
  <c r="AT31" i="1"/>
  <c r="AT32" i="1"/>
  <c r="Z31" i="1"/>
  <c r="Y31" i="1"/>
  <c r="Z30" i="1"/>
  <c r="Y30" i="1"/>
  <c r="AT29" i="1"/>
  <c r="Z29" i="1"/>
  <c r="Y29" i="1"/>
  <c r="AT23" i="1"/>
  <c r="Z23" i="1"/>
  <c r="Y23" i="1"/>
  <c r="AT19" i="1"/>
  <c r="AD20" i="1"/>
  <c r="AT20" i="1" s="1"/>
  <c r="Z20" i="1"/>
  <c r="Y20" i="1"/>
  <c r="Z19" i="1"/>
  <c r="Y19" i="1"/>
  <c r="AT16" i="1"/>
  <c r="Z16" i="1"/>
  <c r="Y16" i="1"/>
  <c r="AS13" i="1"/>
  <c r="AT13" i="1" s="1"/>
  <c r="AS8" i="1"/>
  <c r="Z13" i="1"/>
  <c r="Y13" i="1"/>
  <c r="AD9" i="1"/>
  <c r="AT10" i="1"/>
  <c r="Z10" i="1"/>
  <c r="Y10" i="1"/>
  <c r="AD8" i="1"/>
  <c r="Y9" i="1"/>
  <c r="AL7" i="1"/>
  <c r="AM7" i="1" s="1"/>
  <c r="AL5" i="1"/>
  <c r="AM5" i="1" s="1"/>
  <c r="Z8" i="1"/>
  <c r="Y8" i="1"/>
  <c r="AS4" i="1"/>
  <c r="AD4" i="1"/>
  <c r="AT4" i="1" s="1"/>
  <c r="Y4" i="1"/>
  <c r="BJ1184" i="1" l="1"/>
  <c r="BK1184" i="1"/>
  <c r="BR1184" i="1"/>
  <c r="BS1184" i="1"/>
  <c r="BU1184" i="1"/>
  <c r="BJ1185" i="1"/>
  <c r="BK1185" i="1"/>
  <c r="BR1185" i="1"/>
  <c r="BS1185" i="1"/>
  <c r="BU1185" i="1"/>
  <c r="BJ1186" i="1"/>
  <c r="BK1186" i="1"/>
  <c r="BR1186" i="1"/>
  <c r="BS1186" i="1"/>
  <c r="BU1186" i="1"/>
  <c r="BJ1187" i="1"/>
  <c r="BK1187" i="1"/>
  <c r="BR1187" i="1"/>
  <c r="BS1187" i="1"/>
  <c r="BU1187" i="1"/>
  <c r="BJ1188" i="1"/>
  <c r="BK1188" i="1"/>
  <c r="BR1188" i="1"/>
  <c r="BS1188" i="1"/>
  <c r="BU1188" i="1"/>
  <c r="BJ1189" i="1"/>
  <c r="BK1189" i="1"/>
  <c r="BR1189" i="1"/>
  <c r="BS1189" i="1"/>
  <c r="BU1189" i="1"/>
  <c r="BJ1190" i="1"/>
  <c r="BK1190" i="1"/>
  <c r="BR1190" i="1"/>
  <c r="BS1190" i="1"/>
  <c r="BU1190" i="1"/>
  <c r="BJ1191" i="1"/>
  <c r="BK1191" i="1"/>
  <c r="BR1191" i="1"/>
  <c r="BS1191" i="1"/>
  <c r="BU1191" i="1"/>
  <c r="BJ1192" i="1"/>
  <c r="BK1192" i="1"/>
  <c r="BR1192" i="1"/>
  <c r="BS1192" i="1"/>
  <c r="BU1192" i="1"/>
  <c r="BH1193" i="1"/>
  <c r="BJ1193" i="1"/>
  <c r="BK1193" i="1"/>
  <c r="BR1193" i="1"/>
  <c r="BS1193" i="1"/>
  <c r="BU1193" i="1"/>
  <c r="BH1194" i="1"/>
  <c r="BJ1194" i="1"/>
  <c r="BK1194" i="1"/>
  <c r="BR1194" i="1"/>
  <c r="BS1194" i="1"/>
  <c r="BU1194" i="1"/>
  <c r="BH1195" i="1"/>
  <c r="BJ1195" i="1"/>
  <c r="BK1195" i="1"/>
  <c r="BR1195" i="1"/>
  <c r="BS1195" i="1"/>
  <c r="BU1195" i="1"/>
  <c r="BH1196" i="1"/>
  <c r="BJ1196" i="1"/>
  <c r="BK1196" i="1"/>
  <c r="BR1196" i="1"/>
  <c r="BS1196" i="1"/>
  <c r="BU1196" i="1"/>
  <c r="BH1197" i="1"/>
  <c r="BJ1197" i="1"/>
  <c r="BK1197" i="1"/>
  <c r="BR1197" i="1"/>
  <c r="BS1197" i="1"/>
  <c r="BU1197" i="1"/>
  <c r="BH1198" i="1"/>
  <c r="BJ1198" i="1"/>
  <c r="BK1198" i="1"/>
  <c r="BR1198" i="1"/>
  <c r="BS1198" i="1"/>
  <c r="BU1198" i="1"/>
  <c r="BH1199" i="1"/>
  <c r="BJ1199" i="1"/>
  <c r="BK1199" i="1"/>
  <c r="BR1199" i="1"/>
  <c r="BS1199" i="1"/>
  <c r="BU1199" i="1"/>
  <c r="BH1200" i="1"/>
  <c r="BJ1200" i="1"/>
  <c r="BK1200" i="1"/>
  <c r="BR1200" i="1"/>
  <c r="BS1200" i="1"/>
  <c r="BU1200" i="1"/>
  <c r="BH1201" i="1"/>
  <c r="BJ1201" i="1"/>
  <c r="BK1201" i="1"/>
  <c r="BR1201" i="1"/>
  <c r="BS1201" i="1"/>
  <c r="BU1201" i="1"/>
  <c r="BH1202" i="1"/>
  <c r="BJ1202" i="1"/>
  <c r="BK1202" i="1"/>
  <c r="BR1202" i="1"/>
  <c r="BS1202" i="1"/>
  <c r="BU1202" i="1"/>
  <c r="BH1203" i="1"/>
  <c r="BJ1203" i="1"/>
  <c r="BK1203" i="1"/>
  <c r="BR1203" i="1"/>
  <c r="BS1203" i="1"/>
  <c r="BU1203" i="1"/>
  <c r="BH1204" i="1"/>
  <c r="BJ1204" i="1"/>
  <c r="BK1204" i="1"/>
  <c r="BR1204" i="1"/>
  <c r="BS1204" i="1"/>
  <c r="BU1204" i="1"/>
  <c r="BH1205" i="1"/>
  <c r="BJ1205" i="1"/>
  <c r="BK1205" i="1"/>
  <c r="BR1205" i="1"/>
  <c r="BS1205" i="1"/>
  <c r="BU1205" i="1"/>
  <c r="BH1206" i="1"/>
  <c r="BJ1206" i="1"/>
  <c r="BK1206" i="1"/>
  <c r="BR1206" i="1"/>
  <c r="BS1206" i="1"/>
  <c r="BU1206" i="1"/>
  <c r="BH1207" i="1"/>
  <c r="BJ1207" i="1"/>
  <c r="BK1207" i="1"/>
  <c r="BR1207" i="1"/>
  <c r="BS1207" i="1"/>
  <c r="BU1207" i="1"/>
  <c r="BH1208" i="1"/>
  <c r="BJ1208" i="1"/>
  <c r="BK1208" i="1"/>
  <c r="BR1208" i="1"/>
  <c r="BS1208" i="1"/>
  <c r="BU1208" i="1"/>
  <c r="BH1209" i="1"/>
  <c r="BJ1209" i="1"/>
  <c r="BK1209" i="1"/>
  <c r="BR1209" i="1"/>
  <c r="BS1209" i="1"/>
  <c r="BU1209" i="1"/>
  <c r="BH1210" i="1"/>
  <c r="BJ1210" i="1"/>
  <c r="BK1210" i="1"/>
  <c r="BR1210" i="1"/>
  <c r="BS1210" i="1"/>
  <c r="BU1210" i="1"/>
  <c r="BH1211" i="1"/>
  <c r="BJ1211" i="1"/>
  <c r="BK1211" i="1"/>
  <c r="BR1211" i="1"/>
  <c r="BS1211" i="1"/>
  <c r="BU1211" i="1"/>
  <c r="BH1212" i="1"/>
  <c r="BJ1212" i="1"/>
  <c r="BK1212" i="1"/>
  <c r="BR1212" i="1"/>
  <c r="BS1212" i="1"/>
  <c r="BU1212" i="1"/>
  <c r="BH1213" i="1"/>
  <c r="BJ1213" i="1"/>
  <c r="BK1213" i="1"/>
  <c r="BR1213" i="1"/>
  <c r="BS1213" i="1"/>
  <c r="BU1213" i="1"/>
  <c r="BH1214" i="1"/>
  <c r="BJ1214" i="1"/>
  <c r="BK1214" i="1"/>
  <c r="BR1214" i="1"/>
  <c r="BS1214" i="1"/>
  <c r="BU1214" i="1"/>
  <c r="BH1215" i="1"/>
  <c r="BJ1215" i="1"/>
  <c r="BK1215" i="1"/>
  <c r="BR1215" i="1"/>
  <c r="BS1215" i="1"/>
  <c r="BU1215" i="1"/>
  <c r="BH1216" i="1"/>
  <c r="BJ1216" i="1"/>
  <c r="BK1216" i="1"/>
  <c r="BR1216" i="1"/>
  <c r="BS1216" i="1"/>
  <c r="BU1216" i="1"/>
  <c r="BH1217" i="1"/>
  <c r="BJ1217" i="1"/>
  <c r="BK1217" i="1"/>
  <c r="BR1217" i="1"/>
  <c r="BS1217" i="1"/>
  <c r="BU1217" i="1"/>
  <c r="BH1218" i="1"/>
  <c r="BJ1218" i="1"/>
  <c r="BK1218" i="1"/>
  <c r="BR1218" i="1"/>
  <c r="BS1218" i="1"/>
  <c r="BU1218" i="1"/>
  <c r="BH1219" i="1"/>
  <c r="BJ1219" i="1"/>
  <c r="BK1219" i="1"/>
  <c r="BR1219" i="1"/>
  <c r="BS1219" i="1"/>
  <c r="BU1219" i="1"/>
  <c r="BH1220" i="1"/>
  <c r="BJ1220" i="1"/>
  <c r="BK1220" i="1"/>
  <c r="BR1220" i="1"/>
  <c r="BS1220" i="1"/>
  <c r="BU1220" i="1"/>
  <c r="BH1221" i="1"/>
  <c r="BJ1221" i="1"/>
  <c r="BK1221" i="1"/>
  <c r="BR1221" i="1"/>
  <c r="BS1221" i="1"/>
  <c r="BU1221" i="1"/>
  <c r="BH1222" i="1"/>
  <c r="BJ1222" i="1"/>
  <c r="BK1222" i="1"/>
  <c r="BR1222" i="1"/>
  <c r="BS1222" i="1"/>
  <c r="BU1222" i="1"/>
  <c r="BH1223" i="1"/>
  <c r="BJ1223" i="1"/>
  <c r="BK1223" i="1"/>
  <c r="BR1223" i="1"/>
  <c r="BS1223" i="1"/>
  <c r="BU1223" i="1"/>
  <c r="BH1224" i="1"/>
  <c r="BJ1224" i="1"/>
  <c r="BK1224" i="1"/>
  <c r="BR1224" i="1"/>
  <c r="BS1224" i="1"/>
  <c r="BU1224" i="1"/>
  <c r="BH1225" i="1"/>
  <c r="BJ1225" i="1"/>
  <c r="BK1225" i="1"/>
  <c r="BR1225" i="1"/>
  <c r="BS1225" i="1"/>
  <c r="BU1225" i="1"/>
  <c r="BH1226" i="1"/>
  <c r="BJ1226" i="1"/>
  <c r="BK1226" i="1"/>
  <c r="BR1226" i="1"/>
  <c r="BS1226" i="1"/>
  <c r="BU1226" i="1"/>
  <c r="BH1227" i="1"/>
  <c r="BJ1227" i="1"/>
  <c r="BK1227" i="1"/>
  <c r="BR1227" i="1"/>
  <c r="BS1227" i="1"/>
  <c r="BU1227" i="1"/>
  <c r="BH1228" i="1"/>
  <c r="BJ1228" i="1"/>
  <c r="BK1228" i="1"/>
  <c r="BR1228" i="1"/>
  <c r="BS1228" i="1"/>
  <c r="BU1228" i="1"/>
  <c r="BH1229" i="1"/>
  <c r="BJ1229" i="1"/>
  <c r="BK1229" i="1"/>
  <c r="BR1229" i="1"/>
  <c r="BS1229" i="1"/>
  <c r="BU1229" i="1"/>
  <c r="BH1230" i="1"/>
  <c r="BJ1230" i="1"/>
  <c r="BK1230" i="1"/>
  <c r="BR1230" i="1"/>
  <c r="BS1230" i="1"/>
  <c r="BU1230" i="1"/>
  <c r="BH1231" i="1"/>
  <c r="BJ1231" i="1"/>
  <c r="BK1231" i="1"/>
  <c r="BR1231" i="1"/>
  <c r="BS1231" i="1"/>
  <c r="BU1231" i="1"/>
  <c r="BH1232" i="1"/>
  <c r="BJ1232" i="1"/>
  <c r="BK1232" i="1"/>
  <c r="BR1232" i="1"/>
  <c r="BS1232" i="1"/>
  <c r="BU1232" i="1"/>
  <c r="BH1233" i="1"/>
  <c r="BJ1233" i="1"/>
  <c r="BK1233" i="1"/>
  <c r="BR1233" i="1"/>
  <c r="BS1233" i="1"/>
  <c r="BU1233" i="1"/>
  <c r="BH1234" i="1"/>
  <c r="BJ1234" i="1"/>
  <c r="BK1234" i="1"/>
  <c r="BR1234" i="1"/>
  <c r="BS1234" i="1"/>
  <c r="BU1234" i="1"/>
  <c r="BY1184" i="1"/>
  <c r="BY1185" i="1"/>
  <c r="BY1186" i="1"/>
  <c r="BY1187" i="1"/>
  <c r="BY1188" i="1"/>
  <c r="BY1189" i="1"/>
  <c r="BY1190" i="1"/>
  <c r="BY1191" i="1"/>
  <c r="BY1192" i="1"/>
  <c r="BG1193" i="1"/>
  <c r="BY1193" i="1"/>
  <c r="BG1194" i="1"/>
  <c r="BY1194" i="1"/>
  <c r="BG1195" i="1"/>
  <c r="BY1195" i="1"/>
  <c r="BG1196" i="1"/>
  <c r="BY1196" i="1"/>
  <c r="BG1197" i="1"/>
  <c r="BY1197" i="1"/>
  <c r="BG1198" i="1"/>
  <c r="BY1198" i="1"/>
  <c r="BG1199" i="1"/>
  <c r="BY1199" i="1"/>
  <c r="BG1200" i="1"/>
  <c r="BY1200" i="1"/>
  <c r="BG1201" i="1"/>
  <c r="BY1201" i="1"/>
  <c r="BG1202" i="1"/>
  <c r="BY1202" i="1"/>
  <c r="BG1203" i="1"/>
  <c r="BY1203" i="1"/>
  <c r="BG1204" i="1"/>
  <c r="BY1204" i="1"/>
  <c r="BG1205" i="1"/>
  <c r="BY1205" i="1"/>
  <c r="BG1206" i="1"/>
  <c r="BY1206" i="1"/>
  <c r="BG1207" i="1"/>
  <c r="BY1207" i="1"/>
  <c r="BG1208" i="1"/>
  <c r="BY1208" i="1"/>
  <c r="BG1209" i="1"/>
  <c r="BY1209" i="1"/>
  <c r="BG1210" i="1"/>
  <c r="BY1210" i="1"/>
  <c r="BG1211" i="1"/>
  <c r="BY1211" i="1"/>
  <c r="BG1212" i="1"/>
  <c r="BY1212" i="1"/>
  <c r="BG1213" i="1"/>
  <c r="BY1213" i="1"/>
  <c r="BG1214" i="1"/>
  <c r="BY1214" i="1"/>
  <c r="BG1215" i="1"/>
  <c r="BY1215" i="1"/>
  <c r="BG1216" i="1"/>
  <c r="BY1216" i="1"/>
  <c r="BG1217" i="1"/>
  <c r="BY1217" i="1"/>
  <c r="BG1218" i="1"/>
  <c r="BY1218" i="1"/>
  <c r="BG1219" i="1"/>
  <c r="BY1219" i="1"/>
  <c r="BG1220" i="1"/>
  <c r="BY1220" i="1"/>
  <c r="BG1221" i="1"/>
  <c r="BY1221" i="1"/>
  <c r="BG1222" i="1"/>
  <c r="BY1222" i="1"/>
  <c r="BG1223" i="1"/>
  <c r="BY1223" i="1"/>
  <c r="BG1224" i="1"/>
  <c r="BY1224" i="1"/>
  <c r="BG1225" i="1"/>
  <c r="BY1225" i="1"/>
  <c r="BG1226" i="1"/>
  <c r="BY1226" i="1"/>
  <c r="BG1227" i="1"/>
  <c r="BY1227" i="1"/>
  <c r="BG1228" i="1"/>
  <c r="BY1228" i="1"/>
  <c r="BG1229" i="1"/>
  <c r="BY1229" i="1"/>
  <c r="BG1230" i="1"/>
  <c r="BY1230" i="1"/>
  <c r="BG1231" i="1"/>
  <c r="BY1231" i="1"/>
  <c r="BG1232" i="1"/>
  <c r="BY1232" i="1"/>
  <c r="BG1233" i="1"/>
  <c r="BY1233" i="1"/>
  <c r="BG1234" i="1"/>
  <c r="BY1234" i="1"/>
  <c r="BM1184" i="1"/>
  <c r="BN1184" i="1"/>
  <c r="BO1184" i="1"/>
  <c r="BM1185" i="1"/>
  <c r="BN1185" i="1"/>
  <c r="BO1185" i="1"/>
  <c r="BM1186" i="1"/>
  <c r="BN1186" i="1"/>
  <c r="BO1186" i="1"/>
  <c r="BM1187" i="1"/>
  <c r="BN1187" i="1"/>
  <c r="BO1187" i="1"/>
  <c r="BM1188" i="1"/>
  <c r="BN1188" i="1"/>
  <c r="BO1188" i="1"/>
  <c r="BM1189" i="1"/>
  <c r="BN1189" i="1"/>
  <c r="BO1189" i="1"/>
  <c r="BM1190" i="1"/>
  <c r="BN1190" i="1"/>
  <c r="BO1190" i="1"/>
  <c r="BM1191" i="1"/>
  <c r="BN1191" i="1"/>
  <c r="BO1191" i="1"/>
  <c r="BM1192" i="1"/>
  <c r="BN1192" i="1"/>
  <c r="BO1192" i="1"/>
  <c r="BM1193" i="1"/>
  <c r="BN1193" i="1"/>
  <c r="BO1193" i="1"/>
  <c r="BM1194" i="1"/>
  <c r="BN1194" i="1"/>
  <c r="BO1194" i="1"/>
  <c r="BM1195" i="1"/>
  <c r="BN1195" i="1"/>
  <c r="BO1195" i="1"/>
  <c r="BM1196" i="1"/>
  <c r="BN1196" i="1"/>
  <c r="BO1196" i="1"/>
  <c r="BM1197" i="1"/>
  <c r="BN1197" i="1"/>
  <c r="BO1197" i="1"/>
  <c r="BM1198" i="1"/>
  <c r="BN1198" i="1"/>
  <c r="BO1198" i="1"/>
  <c r="BM1199" i="1"/>
  <c r="BN1199" i="1"/>
  <c r="BO1199" i="1"/>
  <c r="BM1200" i="1"/>
  <c r="BN1200" i="1"/>
  <c r="BO1200" i="1"/>
  <c r="BM1201" i="1"/>
  <c r="BN1201" i="1"/>
  <c r="BO1201" i="1"/>
  <c r="BM1202" i="1"/>
  <c r="BN1202" i="1"/>
  <c r="BO1202" i="1"/>
  <c r="BM1203" i="1"/>
  <c r="BN1203" i="1"/>
  <c r="BO1203" i="1"/>
  <c r="BM1204" i="1"/>
  <c r="BN1204" i="1"/>
  <c r="BO1204" i="1"/>
  <c r="BM1205" i="1"/>
  <c r="BN1205" i="1"/>
  <c r="BO1205" i="1"/>
  <c r="BM1206" i="1"/>
  <c r="BN1206" i="1"/>
  <c r="BO1206" i="1"/>
  <c r="BM1207" i="1"/>
  <c r="BN1207" i="1"/>
  <c r="BO1207" i="1"/>
  <c r="BM1208" i="1"/>
  <c r="BN1208" i="1"/>
  <c r="BO1208" i="1"/>
  <c r="BM1209" i="1"/>
  <c r="BN1209" i="1"/>
  <c r="BO1209" i="1"/>
  <c r="BM1210" i="1"/>
  <c r="BN1210" i="1"/>
  <c r="BO1210" i="1"/>
  <c r="BM1211" i="1"/>
  <c r="BN1211" i="1"/>
  <c r="BO1211" i="1"/>
  <c r="BM1212" i="1"/>
  <c r="BN1212" i="1"/>
  <c r="BO1212" i="1"/>
  <c r="BM1213" i="1"/>
  <c r="BN1213" i="1"/>
  <c r="BO1213" i="1"/>
  <c r="BM1214" i="1"/>
  <c r="BN1214" i="1"/>
  <c r="BO1214" i="1"/>
  <c r="BM1215" i="1"/>
  <c r="BN1215" i="1"/>
  <c r="BO1215" i="1"/>
  <c r="BM1216" i="1"/>
  <c r="BN1216" i="1"/>
  <c r="BO1216" i="1"/>
  <c r="BM1217" i="1"/>
  <c r="BN1217" i="1"/>
  <c r="BO1217" i="1"/>
  <c r="BM1218" i="1"/>
  <c r="BN1218" i="1"/>
  <c r="BO1218" i="1"/>
  <c r="BM1219" i="1"/>
  <c r="BN1219" i="1"/>
  <c r="BO1219" i="1"/>
  <c r="BM1220" i="1"/>
  <c r="BN1220" i="1"/>
  <c r="BO1220" i="1"/>
  <c r="BM1221" i="1"/>
  <c r="BN1221" i="1"/>
  <c r="BO1221" i="1"/>
  <c r="BM1222" i="1"/>
  <c r="BN1222" i="1"/>
  <c r="BO1222" i="1"/>
  <c r="BM1223" i="1"/>
  <c r="BN1223" i="1"/>
  <c r="BO1223" i="1"/>
  <c r="BM1224" i="1"/>
  <c r="BN1224" i="1"/>
  <c r="BO1224" i="1"/>
  <c r="BM1225" i="1"/>
  <c r="BN1225" i="1"/>
  <c r="BO1225" i="1"/>
  <c r="BM1226" i="1"/>
  <c r="BN1226" i="1"/>
  <c r="BO1226" i="1"/>
  <c r="BM1227" i="1"/>
  <c r="BN1227" i="1"/>
  <c r="BO1227" i="1"/>
  <c r="BM1228" i="1"/>
  <c r="BN1228" i="1"/>
  <c r="BO1228" i="1"/>
  <c r="BM1229" i="1"/>
  <c r="BN1229" i="1"/>
  <c r="BO1229" i="1"/>
  <c r="BM1230" i="1"/>
  <c r="BN1230" i="1"/>
  <c r="BO1230" i="1"/>
  <c r="BM1231" i="1"/>
  <c r="BN1231" i="1"/>
  <c r="BO1231" i="1"/>
  <c r="BM1232" i="1"/>
  <c r="BN1232" i="1"/>
  <c r="BO1232" i="1"/>
  <c r="BM1233" i="1"/>
  <c r="BN1233" i="1"/>
  <c r="BO1233" i="1"/>
  <c r="BM1234" i="1"/>
  <c r="BN1234" i="1"/>
  <c r="BO1234" i="1"/>
  <c r="AV1184" i="1"/>
  <c r="AV1188" i="1"/>
  <c r="AV1189" i="1"/>
  <c r="AT367" i="1"/>
  <c r="AT507" i="1"/>
  <c r="AV508" i="1"/>
  <c r="AU508" i="1" s="1"/>
  <c r="AT579" i="1"/>
  <c r="AT675" i="1"/>
  <c r="AT730" i="1"/>
  <c r="AV730" i="1" s="1"/>
  <c r="AU730" i="1" s="1"/>
  <c r="AV778" i="1"/>
  <c r="AU778" i="1" s="1"/>
  <c r="AV856" i="1"/>
  <c r="AU856" i="1" s="1"/>
  <c r="AV869" i="1"/>
  <c r="AU869" i="1" s="1"/>
  <c r="AV877" i="1"/>
  <c r="AU877" i="1" s="1"/>
  <c r="AT927" i="1"/>
  <c r="AV927" i="1" s="1"/>
  <c r="AU927" i="1" s="1"/>
  <c r="AV954" i="1"/>
  <c r="AU954" i="1" s="1"/>
  <c r="AT953" i="1"/>
  <c r="AV953" i="1" s="1"/>
  <c r="AU953" i="1" s="1"/>
  <c r="AT984" i="1"/>
  <c r="AV984" i="1" s="1"/>
  <c r="AU984" i="1" s="1"/>
  <c r="AV1000" i="1"/>
  <c r="AU1000" i="1" s="1"/>
  <c r="AU1035" i="1"/>
  <c r="AV1078" i="1"/>
  <c r="AU1078" i="1" s="1"/>
  <c r="AV1087" i="1"/>
  <c r="AU1087" i="1" s="1"/>
  <c r="AV1076" i="1"/>
  <c r="AU1076" i="1" s="1"/>
  <c r="AV1082" i="1"/>
  <c r="AU1082" i="1" s="1"/>
  <c r="AV1001" i="1"/>
  <c r="AU1001" i="1" s="1"/>
  <c r="AV943" i="1"/>
  <c r="AU943" i="1" s="1"/>
  <c r="AV1020" i="1"/>
  <c r="AU1020" i="1" s="1"/>
  <c r="AV1068" i="1"/>
  <c r="AU1068" i="1" s="1"/>
  <c r="AV487" i="1"/>
  <c r="AU487" i="1" s="1"/>
  <c r="AV678" i="1"/>
  <c r="AU678" i="1" s="1"/>
  <c r="AV813" i="1"/>
  <c r="AU813" i="1" s="1"/>
  <c r="AV961" i="1"/>
  <c r="AU961" i="1" s="1"/>
  <c r="AV387" i="1"/>
  <c r="AU387" i="1" s="1"/>
  <c r="AV860" i="1"/>
  <c r="AU860" i="1" s="1"/>
  <c r="AV925" i="1"/>
  <c r="AU925" i="1" s="1"/>
  <c r="AV1064" i="1"/>
  <c r="AU1064" i="1" s="1"/>
  <c r="AV33" i="1"/>
  <c r="AU33" i="1" s="1"/>
  <c r="AV390" i="1"/>
  <c r="AU390" i="1" s="1"/>
  <c r="AV486" i="1"/>
  <c r="AU486" i="1" s="1"/>
  <c r="AL510" i="1"/>
  <c r="AM510" i="1" s="1"/>
  <c r="AV538" i="1"/>
  <c r="AU538" i="1" s="1"/>
  <c r="AT570" i="1"/>
  <c r="AV1002" i="1"/>
  <c r="AU1002" i="1" s="1"/>
  <c r="AV834" i="1"/>
  <c r="AU834" i="1" s="1"/>
  <c r="AV973" i="1"/>
  <c r="AU973" i="1" s="1"/>
  <c r="AV315" i="1"/>
  <c r="AU315" i="1" s="1"/>
  <c r="AV441" i="1"/>
  <c r="AU441" i="1" s="1"/>
  <c r="AV521" i="1"/>
  <c r="AU521" i="1" s="1"/>
  <c r="AV528" i="1"/>
  <c r="AU528" i="1" s="1"/>
  <c r="AV650" i="1"/>
  <c r="AU650" i="1" s="1"/>
  <c r="AV715" i="1"/>
  <c r="AU715" i="1" s="1"/>
  <c r="AV861" i="1"/>
  <c r="AU861" i="1" s="1"/>
  <c r="AV950" i="1"/>
  <c r="AU950" i="1" s="1"/>
  <c r="AV962" i="1"/>
  <c r="AU962" i="1" s="1"/>
  <c r="AV974" i="1"/>
  <c r="AU974" i="1" s="1"/>
  <c r="AV164" i="1"/>
  <c r="AV303" i="1"/>
  <c r="AU303" i="1" s="1"/>
  <c r="AL412" i="1"/>
  <c r="AM412" i="1" s="1"/>
  <c r="AV582" i="1"/>
  <c r="AU582" i="1" s="1"/>
  <c r="AV585" i="1"/>
  <c r="AU585" i="1" s="1"/>
  <c r="AL632" i="1"/>
  <c r="AM632" i="1" s="1"/>
  <c r="AT636" i="1"/>
  <c r="AV725" i="1"/>
  <c r="AU725" i="1" s="1"/>
  <c r="AV848" i="1"/>
  <c r="AU848" i="1" s="1"/>
  <c r="AV279" i="1"/>
  <c r="AU279" i="1" s="1"/>
  <c r="AT436" i="1"/>
  <c r="AV511" i="1"/>
  <c r="AU511" i="1" s="1"/>
  <c r="AV561" i="1"/>
  <c r="AU561" i="1" s="1"/>
  <c r="AV617" i="1"/>
  <c r="AU617" i="1" s="1"/>
  <c r="AV849" i="1"/>
  <c r="AU849" i="1" s="1"/>
  <c r="AV779" i="1"/>
  <c r="AU779" i="1" s="1"/>
  <c r="AV1081" i="1"/>
  <c r="AU1081" i="1" s="1"/>
  <c r="AT104" i="1"/>
  <c r="AV233" i="1"/>
  <c r="AV372" i="1"/>
  <c r="AU372" i="1" s="1"/>
  <c r="AT529" i="1"/>
  <c r="AV602" i="1"/>
  <c r="AU602" i="1" s="1"/>
  <c r="AV939" i="1"/>
  <c r="AU939" i="1" s="1"/>
  <c r="AL336" i="1"/>
  <c r="AM336" i="1" s="1"/>
  <c r="AV1011" i="1"/>
  <c r="AU1011" i="1" s="1"/>
  <c r="AV705" i="1"/>
  <c r="AU705" i="1" s="1"/>
  <c r="AT1059" i="1"/>
  <c r="AV1059" i="1" s="1"/>
  <c r="AT166" i="1"/>
  <c r="AV166" i="1" s="1"/>
  <c r="AU166" i="1" s="1"/>
  <c r="AV234" i="1"/>
  <c r="AV312" i="1"/>
  <c r="AU312" i="1" s="1"/>
  <c r="AV474" i="1"/>
  <c r="AU474" i="1" s="1"/>
  <c r="AL562" i="1"/>
  <c r="AM562" i="1" s="1"/>
  <c r="AV904" i="1"/>
  <c r="AU904" i="1" s="1"/>
  <c r="AV826" i="1"/>
  <c r="AU826" i="1" s="1"/>
  <c r="AT842" i="1"/>
  <c r="AV842" i="1" s="1"/>
  <c r="AU842" i="1" s="1"/>
  <c r="AV1029" i="1"/>
  <c r="AU1029" i="1" s="1"/>
  <c r="AV1065" i="1"/>
  <c r="AU1065" i="1" s="1"/>
  <c r="AV501" i="1"/>
  <c r="AU501" i="1" s="1"/>
  <c r="AV630" i="1"/>
  <c r="AU630" i="1" s="1"/>
  <c r="AV634" i="1"/>
  <c r="AU634" i="1" s="1"/>
  <c r="AV658" i="1"/>
  <c r="AU658" i="1" s="1"/>
  <c r="AV868" i="1"/>
  <c r="AU868" i="1" s="1"/>
  <c r="AV865" i="1"/>
  <c r="AU865" i="1" s="1"/>
  <c r="AL251" i="1"/>
  <c r="AM251" i="1" s="1"/>
  <c r="AL382" i="1"/>
  <c r="AM382" i="1" s="1"/>
  <c r="AL387" i="1"/>
  <c r="AM387" i="1" s="1"/>
  <c r="AV456" i="1"/>
  <c r="AU456" i="1" s="1"/>
  <c r="AV465" i="1"/>
  <c r="AU465" i="1" s="1"/>
  <c r="AV635" i="1"/>
  <c r="AU635" i="1" s="1"/>
  <c r="AV816" i="1"/>
  <c r="AU816" i="1" s="1"/>
  <c r="AV851" i="1"/>
  <c r="AU851" i="1" s="1"/>
  <c r="AV857" i="1"/>
  <c r="AU857" i="1" s="1"/>
  <c r="AT8" i="1"/>
  <c r="AV342" i="1"/>
  <c r="AU342" i="1" s="1"/>
  <c r="AV513" i="1"/>
  <c r="AU513" i="1" s="1"/>
  <c r="AV518" i="1"/>
  <c r="AU518" i="1" s="1"/>
  <c r="AV606" i="1"/>
  <c r="AU606" i="1" s="1"/>
  <c r="AV620" i="1"/>
  <c r="AU620" i="1" s="1"/>
  <c r="AV648" i="1"/>
  <c r="AU648" i="1" s="1"/>
  <c r="AV852" i="1"/>
  <c r="AU852" i="1" s="1"/>
  <c r="AV941" i="1"/>
  <c r="AU941" i="1" s="1"/>
  <c r="AL365" i="1"/>
  <c r="AM365" i="1" s="1"/>
  <c r="AV598" i="1"/>
  <c r="AU598" i="1" s="1"/>
  <c r="AV729" i="1"/>
  <c r="AU729" i="1" s="1"/>
  <c r="AV776" i="1"/>
  <c r="AU776" i="1" s="1"/>
  <c r="AV1067" i="1"/>
  <c r="AU1067" i="1" s="1"/>
  <c r="AT195" i="1"/>
  <c r="AV211" i="1"/>
  <c r="AU211" i="1" s="1"/>
  <c r="AL303" i="1"/>
  <c r="AM303" i="1" s="1"/>
  <c r="AV519" i="1"/>
  <c r="AU519" i="1" s="1"/>
  <c r="AV466" i="1"/>
  <c r="AU466" i="1" s="1"/>
  <c r="AL390" i="1"/>
  <c r="AM390" i="1" s="1"/>
  <c r="AV512" i="1"/>
  <c r="AU512" i="1" s="1"/>
  <c r="AV596" i="1"/>
  <c r="AU596" i="1" s="1"/>
  <c r="AV321" i="1"/>
  <c r="AU321" i="1" s="1"/>
  <c r="AV186" i="1"/>
  <c r="AU186" i="1" s="1"/>
  <c r="AL272" i="1"/>
  <c r="AM272" i="1" s="1"/>
  <c r="AV335" i="1"/>
  <c r="AU335" i="1" s="1"/>
  <c r="AL372" i="1"/>
  <c r="AM372" i="1" s="1"/>
  <c r="AL394" i="1"/>
  <c r="AM394" i="1" s="1"/>
  <c r="AL411" i="1"/>
  <c r="AM411" i="1" s="1"/>
  <c r="AL456" i="1"/>
  <c r="AM456" i="1" s="1"/>
  <c r="AV464" i="1"/>
  <c r="AU464" i="1" s="1"/>
  <c r="AV496" i="1"/>
  <c r="AU496" i="1" s="1"/>
  <c r="AV563" i="1"/>
  <c r="AU563" i="1" s="1"/>
  <c r="AL582" i="1"/>
  <c r="AM582" i="1" s="1"/>
  <c r="AV782" i="1"/>
  <c r="AU782" i="1" s="1"/>
  <c r="AV835" i="1"/>
  <c r="AU835" i="1" s="1"/>
  <c r="AV862" i="1"/>
  <c r="AU862" i="1" s="1"/>
  <c r="AV929" i="1"/>
  <c r="AU929" i="1" s="1"/>
  <c r="AV970" i="1"/>
  <c r="AU970" i="1" s="1"/>
  <c r="AV1028" i="1"/>
  <c r="AU1028" i="1" s="1"/>
  <c r="AV1080" i="1"/>
  <c r="AU1080" i="1" s="1"/>
  <c r="AL186" i="1"/>
  <c r="AM186" i="1" s="1"/>
  <c r="AV194" i="1"/>
  <c r="AU194" i="1" s="1"/>
  <c r="AL313" i="1"/>
  <c r="AM313" i="1" s="1"/>
  <c r="AL389" i="1"/>
  <c r="AM389" i="1" s="1"/>
  <c r="AV483" i="1"/>
  <c r="AU483" i="1" s="1"/>
  <c r="AL511" i="1"/>
  <c r="AM511" i="1" s="1"/>
  <c r="AV514" i="1"/>
  <c r="AU514" i="1" s="1"/>
  <c r="AV537" i="1"/>
  <c r="AU537" i="1" s="1"/>
  <c r="AL591" i="1"/>
  <c r="AM591" i="1" s="1"/>
  <c r="AT337" i="1"/>
  <c r="AV369" i="1"/>
  <c r="AU369" i="1" s="1"/>
  <c r="AV395" i="1"/>
  <c r="AU395" i="1" s="1"/>
  <c r="AV401" i="1"/>
  <c r="AU401" i="1" s="1"/>
  <c r="AL465" i="1"/>
  <c r="AM465" i="1" s="1"/>
  <c r="AV494" i="1"/>
  <c r="AU494" i="1" s="1"/>
  <c r="AV497" i="1"/>
  <c r="AU497" i="1" s="1"/>
  <c r="AV516" i="1"/>
  <c r="AU516" i="1" s="1"/>
  <c r="AV529" i="1"/>
  <c r="AU529" i="1" s="1"/>
  <c r="AV711" i="1"/>
  <c r="AU711" i="1" s="1"/>
  <c r="AV863" i="1"/>
  <c r="AU863" i="1" s="1"/>
  <c r="AL424" i="1"/>
  <c r="AM424" i="1" s="1"/>
  <c r="AL414" i="1"/>
  <c r="AM414" i="1" s="1"/>
  <c r="AL512" i="1"/>
  <c r="AM512" i="1" s="1"/>
  <c r="AV644" i="1"/>
  <c r="AU644" i="1" s="1"/>
  <c r="AV790" i="1"/>
  <c r="AU790" i="1" s="1"/>
  <c r="AV818" i="1"/>
  <c r="AU818" i="1" s="1"/>
  <c r="AV827" i="1"/>
  <c r="AU827" i="1" s="1"/>
  <c r="AV971" i="1"/>
  <c r="AU971" i="1" s="1"/>
  <c r="AV985" i="1"/>
  <c r="AU985" i="1" s="1"/>
  <c r="AV1066" i="1"/>
  <c r="AU1066" i="1" s="1"/>
  <c r="AT45" i="1"/>
  <c r="AL234" i="1"/>
  <c r="AM234" i="1" s="1"/>
  <c r="AV338" i="1"/>
  <c r="AU338" i="1" s="1"/>
  <c r="AV367" i="1"/>
  <c r="AU367" i="1" s="1"/>
  <c r="AV383" i="1"/>
  <c r="AU383" i="1" s="1"/>
  <c r="AL409" i="1"/>
  <c r="AM409" i="1" s="1"/>
  <c r="AL428" i="1"/>
  <c r="AM428" i="1" s="1"/>
  <c r="AV451" i="1"/>
  <c r="AU451" i="1" s="1"/>
  <c r="AL474" i="1"/>
  <c r="AM474" i="1" s="1"/>
  <c r="AL467" i="1"/>
  <c r="AM467" i="1" s="1"/>
  <c r="AV475" i="1"/>
  <c r="AU475" i="1" s="1"/>
  <c r="AL513" i="1"/>
  <c r="AM513" i="1" s="1"/>
  <c r="AL585" i="1"/>
  <c r="AM585" i="1" s="1"/>
  <c r="AL596" i="1"/>
  <c r="AM596" i="1" s="1"/>
  <c r="AL618" i="1"/>
  <c r="AM618" i="1" s="1"/>
  <c r="AV621" i="1"/>
  <c r="AU621" i="1" s="1"/>
  <c r="AV673" i="1"/>
  <c r="AU673" i="1" s="1"/>
  <c r="AV796" i="1"/>
  <c r="AU796" i="1" s="1"/>
  <c r="AV846" i="1"/>
  <c r="AU846" i="1" s="1"/>
  <c r="AV864" i="1"/>
  <c r="AU864" i="1" s="1"/>
  <c r="AV944" i="1"/>
  <c r="AU944" i="1" s="1"/>
  <c r="AV217" i="1"/>
  <c r="AU217" i="1" s="1"/>
  <c r="AT298" i="1"/>
  <c r="AV298" i="1" s="1"/>
  <c r="AU298" i="1" s="1"/>
  <c r="AV391" i="1"/>
  <c r="AU391" i="1" s="1"/>
  <c r="AV402" i="1"/>
  <c r="AU402" i="1" s="1"/>
  <c r="AL429" i="1"/>
  <c r="AM429" i="1" s="1"/>
  <c r="AL447" i="1"/>
  <c r="AM447" i="1" s="1"/>
  <c r="AV559" i="1"/>
  <c r="AU559" i="1" s="1"/>
  <c r="AV580" i="1"/>
  <c r="AU580" i="1" s="1"/>
  <c r="AV587" i="1"/>
  <c r="AU587" i="1" s="1"/>
  <c r="AV600" i="1"/>
  <c r="AU600" i="1" s="1"/>
  <c r="AL617" i="1"/>
  <c r="AM617" i="1" s="1"/>
  <c r="AV791" i="1"/>
  <c r="AU791" i="1" s="1"/>
  <c r="AV789" i="1"/>
  <c r="AU789" i="1" s="1"/>
  <c r="AV828" i="1"/>
  <c r="AU828" i="1" s="1"/>
  <c r="AV870" i="1"/>
  <c r="AU870" i="1" s="1"/>
  <c r="AV977" i="1"/>
  <c r="AU977" i="1" s="1"/>
  <c r="AL985" i="1"/>
  <c r="AM985" i="1" s="1"/>
  <c r="AL379" i="1"/>
  <c r="AM379" i="1" s="1"/>
  <c r="AV430" i="1"/>
  <c r="AU430" i="1" s="1"/>
  <c r="AV435" i="1"/>
  <c r="AU435" i="1" s="1"/>
  <c r="AV492" i="1"/>
  <c r="AU492" i="1" s="1"/>
  <c r="AV713" i="1"/>
  <c r="AU713" i="1" s="1"/>
  <c r="AV802" i="1"/>
  <c r="AU802" i="1" s="1"/>
  <c r="AL374" i="1"/>
  <c r="AM374" i="1" s="1"/>
  <c r="AV381" i="1"/>
  <c r="AU381" i="1" s="1"/>
  <c r="AV426" i="1"/>
  <c r="AU426" i="1" s="1"/>
  <c r="AL469" i="1"/>
  <c r="AM469" i="1" s="1"/>
  <c r="AV531" i="1"/>
  <c r="AU531" i="1" s="1"/>
  <c r="AV560" i="1"/>
  <c r="AU560" i="1" s="1"/>
  <c r="AV576" i="1"/>
  <c r="AU576" i="1" s="1"/>
  <c r="AL598" i="1"/>
  <c r="AM598" i="1" s="1"/>
  <c r="AV601" i="1"/>
  <c r="AU601" i="1" s="1"/>
  <c r="AL649" i="1"/>
  <c r="AM649" i="1" s="1"/>
  <c r="AV655" i="1"/>
  <c r="AU655" i="1" s="1"/>
  <c r="AV728" i="1"/>
  <c r="AU728" i="1" s="1"/>
  <c r="AV822" i="1"/>
  <c r="AU822" i="1" s="1"/>
  <c r="AV829" i="1"/>
  <c r="AU829" i="1" s="1"/>
  <c r="AV921" i="1"/>
  <c r="AU921" i="1" s="1"/>
  <c r="AV947" i="1"/>
  <c r="AU947" i="1" s="1"/>
  <c r="AV955" i="1"/>
  <c r="AU955" i="1" s="1"/>
  <c r="AV101" i="1"/>
  <c r="AU101" i="1" s="1"/>
  <c r="AV128" i="1"/>
  <c r="AU128" i="1" s="1"/>
  <c r="AV220" i="1"/>
  <c r="AU220" i="1" s="1"/>
  <c r="AV252" i="1"/>
  <c r="AU252" i="1" s="1"/>
  <c r="AL273" i="1"/>
  <c r="AM273" i="1" s="1"/>
  <c r="AL315" i="1"/>
  <c r="AM315" i="1" s="1"/>
  <c r="AL321" i="1"/>
  <c r="AM321" i="1" s="1"/>
  <c r="AV364" i="1"/>
  <c r="AU364" i="1" s="1"/>
  <c r="AV377" i="1"/>
  <c r="AU377" i="1" s="1"/>
  <c r="AV403" i="1"/>
  <c r="AU403" i="1" s="1"/>
  <c r="AV406" i="1"/>
  <c r="AU406" i="1" s="1"/>
  <c r="AL437" i="1"/>
  <c r="AM437" i="1" s="1"/>
  <c r="AV536" i="1"/>
  <c r="AU536" i="1" s="1"/>
  <c r="AV553" i="1"/>
  <c r="AU553" i="1" s="1"/>
  <c r="AV614" i="1"/>
  <c r="AU614" i="1" s="1"/>
  <c r="AL626" i="1"/>
  <c r="AM626" i="1" s="1"/>
  <c r="AV631" i="1"/>
  <c r="AU631" i="1" s="1"/>
  <c r="AV801" i="1"/>
  <c r="AU801" i="1" s="1"/>
  <c r="AV931" i="1"/>
  <c r="AU931" i="1" s="1"/>
  <c r="AV952" i="1"/>
  <c r="AV966" i="1"/>
  <c r="AU966" i="1" s="1"/>
  <c r="AV988" i="1"/>
  <c r="AU988" i="1" s="1"/>
  <c r="AV1060" i="1"/>
  <c r="AU1060" i="1" s="1"/>
  <c r="AV84" i="1"/>
  <c r="AU84" i="1" s="1"/>
  <c r="AL147" i="1"/>
  <c r="AM147" i="1" s="1"/>
  <c r="AL235" i="1"/>
  <c r="AM235" i="1" s="1"/>
  <c r="AL366" i="1"/>
  <c r="AM366" i="1" s="1"/>
  <c r="AV378" i="1"/>
  <c r="AU378" i="1" s="1"/>
  <c r="AV408" i="1"/>
  <c r="AU408" i="1" s="1"/>
  <c r="AL483" i="1"/>
  <c r="AM483" i="1" s="1"/>
  <c r="AL516" i="1"/>
  <c r="AM516" i="1" s="1"/>
  <c r="AL537" i="1"/>
  <c r="AM537" i="1" s="1"/>
  <c r="AV590" i="1"/>
  <c r="AU590" i="1" s="1"/>
  <c r="AL602" i="1"/>
  <c r="AM602" i="1" s="1"/>
  <c r="AV605" i="1"/>
  <c r="AU605" i="1" s="1"/>
  <c r="AL635" i="1"/>
  <c r="AM635" i="1" s="1"/>
  <c r="AV675" i="1"/>
  <c r="AU675" i="1" s="1"/>
  <c r="AV797" i="1"/>
  <c r="AU797" i="1" s="1"/>
  <c r="AV805" i="1"/>
  <c r="AU805" i="1" s="1"/>
  <c r="AV10" i="1"/>
  <c r="AU10" i="1" s="1"/>
  <c r="AV159" i="1"/>
  <c r="AU159" i="1" s="1"/>
  <c r="AV175" i="1"/>
  <c r="AU175" i="1" s="1"/>
  <c r="AV221" i="1"/>
  <c r="AU221" i="1" s="1"/>
  <c r="AL236" i="1"/>
  <c r="AM236" i="1" s="1"/>
  <c r="AL249" i="1"/>
  <c r="AM249" i="1" s="1"/>
  <c r="AL279" i="1"/>
  <c r="AM279" i="1" s="1"/>
  <c r="AV311" i="1"/>
  <c r="AU311" i="1" s="1"/>
  <c r="AV319" i="1"/>
  <c r="AU319" i="1" s="1"/>
  <c r="AL339" i="1"/>
  <c r="AM339" i="1" s="1"/>
  <c r="AV357" i="1"/>
  <c r="AU357" i="1" s="1"/>
  <c r="AV373" i="1"/>
  <c r="AU373" i="1" s="1"/>
  <c r="AV404" i="1"/>
  <c r="AU404" i="1" s="1"/>
  <c r="AV427" i="1"/>
  <c r="AU427" i="1" s="1"/>
  <c r="AV431" i="1"/>
  <c r="AU431" i="1" s="1"/>
  <c r="AV440" i="1"/>
  <c r="AU440" i="1" s="1"/>
  <c r="AV446" i="1"/>
  <c r="AU446" i="1" s="1"/>
  <c r="AV457" i="1"/>
  <c r="AU457" i="1" s="1"/>
  <c r="AL561" i="1"/>
  <c r="AM561" i="1" s="1"/>
  <c r="AL605" i="1"/>
  <c r="AM605" i="1" s="1"/>
  <c r="AV808" i="1"/>
  <c r="AU808" i="1" s="1"/>
  <c r="AV811" i="1"/>
  <c r="AU811" i="1" s="1"/>
  <c r="AV833" i="1"/>
  <c r="AU833" i="1" s="1"/>
  <c r="AV923" i="1"/>
  <c r="AU923" i="1" s="1"/>
  <c r="AV940" i="1"/>
  <c r="AU940" i="1" s="1"/>
  <c r="AV956" i="1"/>
  <c r="AU956" i="1" s="1"/>
  <c r="AV1056" i="1"/>
  <c r="AV1072" i="1"/>
  <c r="AU1072" i="1" s="1"/>
  <c r="AV507" i="1"/>
  <c r="AU507" i="1" s="1"/>
  <c r="AV520" i="1"/>
  <c r="AU520" i="1" s="1"/>
  <c r="AT9" i="1"/>
  <c r="AV9" i="1" s="1"/>
  <c r="AV118" i="1"/>
  <c r="AU118" i="1" s="1"/>
  <c r="AV269" i="1"/>
  <c r="AU269" i="1" s="1"/>
  <c r="AL304" i="1"/>
  <c r="AM304" i="1" s="1"/>
  <c r="AV413" i="1"/>
  <c r="AU413" i="1" s="1"/>
  <c r="AV436" i="1"/>
  <c r="AU436" i="1" s="1"/>
  <c r="AL518" i="1"/>
  <c r="AM518" i="1" s="1"/>
  <c r="AL536" i="1"/>
  <c r="AM536" i="1" s="1"/>
  <c r="AV581" i="1"/>
  <c r="AU581" i="1" s="1"/>
  <c r="AL606" i="1"/>
  <c r="AM606" i="1" s="1"/>
  <c r="AV681" i="1"/>
  <c r="AU681" i="1" s="1"/>
  <c r="AV718" i="1"/>
  <c r="AU718" i="1" s="1"/>
  <c r="AV850" i="1"/>
  <c r="AU850" i="1" s="1"/>
  <c r="AV957" i="1"/>
  <c r="AU957" i="1" s="1"/>
  <c r="AV969" i="1"/>
  <c r="AU969" i="1" s="1"/>
  <c r="AV1027" i="1"/>
  <c r="AU1027" i="1" s="1"/>
  <c r="AV358" i="1"/>
  <c r="AU358" i="1" s="1"/>
  <c r="AL471" i="1"/>
  <c r="AM471" i="1" s="1"/>
  <c r="AL519" i="1"/>
  <c r="AM519" i="1" s="1"/>
  <c r="AV527" i="1"/>
  <c r="AU527" i="1" s="1"/>
  <c r="AL566" i="1"/>
  <c r="AM566" i="1" s="1"/>
  <c r="AL630" i="1"/>
  <c r="AM630" i="1" s="1"/>
  <c r="AV657" i="1"/>
  <c r="AU657" i="1" s="1"/>
  <c r="AV911" i="1"/>
  <c r="AU911" i="1" s="1"/>
  <c r="AV987" i="1"/>
  <c r="AU987" i="1" s="1"/>
  <c r="AV1042" i="1"/>
  <c r="AL342" i="1"/>
  <c r="AM342" i="1" s="1"/>
  <c r="AL433" i="1"/>
  <c r="AM433" i="1" s="1"/>
  <c r="AL393" i="1"/>
  <c r="AM393" i="1" s="1"/>
  <c r="AL423" i="1"/>
  <c r="AM423" i="1" s="1"/>
  <c r="AV682" i="1"/>
  <c r="AU682" i="1" s="1"/>
  <c r="AV719" i="1"/>
  <c r="AU719" i="1" s="1"/>
  <c r="AV964" i="1"/>
  <c r="AU964" i="1" s="1"/>
  <c r="AV1034" i="1"/>
  <c r="AU1034" i="1" s="1"/>
  <c r="BX1087" i="1"/>
  <c r="BX1086" i="1"/>
  <c r="BX1084" i="1"/>
  <c r="BZ1087" i="1"/>
  <c r="BZ1086" i="1"/>
  <c r="BZ1085" i="1"/>
  <c r="BZ1084" i="1"/>
  <c r="BZ1083" i="1"/>
  <c r="BG1081" i="1"/>
  <c r="BX1081" i="1"/>
  <c r="BZ1082" i="1"/>
  <c r="BZ1081" i="1"/>
  <c r="BZ1080" i="1"/>
  <c r="BZ1079" i="1"/>
  <c r="BZ1078" i="1"/>
  <c r="BX1065" i="1"/>
  <c r="BZ1073" i="1"/>
  <c r="BZ1072" i="1"/>
  <c r="BZ1071" i="1"/>
  <c r="BZ1070" i="1"/>
  <c r="BZ1069" i="1"/>
  <c r="BZ1068" i="1"/>
  <c r="BZ1067" i="1"/>
  <c r="BZ1066" i="1"/>
  <c r="BZ1065" i="1"/>
  <c r="BZ1088" i="1"/>
  <c r="BZ1077" i="1"/>
  <c r="BZ1076" i="1"/>
  <c r="BZ1075" i="1"/>
  <c r="BZ1074" i="1"/>
  <c r="AM1238" i="1"/>
  <c r="AM1244" i="1" s="1"/>
  <c r="BY1055" i="1"/>
  <c r="BG1059" i="1"/>
  <c r="BG1055" i="1"/>
  <c r="BX1056" i="1"/>
  <c r="BZ1061" i="1"/>
  <c r="BZ1060" i="1"/>
  <c r="BZ1059" i="1"/>
  <c r="BZ1058" i="1"/>
  <c r="BZ1057" i="1"/>
  <c r="BZ1056" i="1"/>
  <c r="BZ1055" i="1"/>
  <c r="BG1054" i="1"/>
  <c r="BG1053" i="1"/>
  <c r="BG1052" i="1"/>
  <c r="BG1051" i="1"/>
  <c r="BG1050" i="1"/>
  <c r="BX1054" i="1"/>
  <c r="BX1053" i="1"/>
  <c r="BX1051" i="1"/>
  <c r="BZ1062" i="1"/>
  <c r="BZ1054" i="1"/>
  <c r="BZ1053" i="1"/>
  <c r="BZ1052" i="1"/>
  <c r="BZ1051" i="1"/>
  <c r="BZ1050" i="1"/>
  <c r="BG1048" i="1"/>
  <c r="BG1047" i="1"/>
  <c r="BG1046" i="1"/>
  <c r="BG1045" i="1"/>
  <c r="BG1044" i="1"/>
  <c r="BG1043" i="1"/>
  <c r="AU1037" i="1"/>
  <c r="AU1041" i="1"/>
  <c r="BZ1048" i="1"/>
  <c r="BZ1047" i="1"/>
  <c r="BZ1046" i="1"/>
  <c r="BZ1045" i="1"/>
  <c r="BZ1044" i="1"/>
  <c r="BZ1043" i="1"/>
  <c r="BZ1064" i="1"/>
  <c r="BZ1063" i="1"/>
  <c r="BZ1049" i="1"/>
  <c r="BZ1042" i="1"/>
  <c r="BZ1041" i="1"/>
  <c r="AU1039" i="1"/>
  <c r="BG1049" i="1"/>
  <c r="BG1042" i="1"/>
  <c r="BG1041" i="1"/>
  <c r="BW1064" i="1"/>
  <c r="BW1041" i="1"/>
  <c r="BW1036" i="1"/>
  <c r="BW1096" i="1"/>
  <c r="BW1104" i="1"/>
  <c r="BW1112" i="1"/>
  <c r="BW1139" i="1"/>
  <c r="BW1179" i="1"/>
  <c r="BX1064" i="1"/>
  <c r="BX1049" i="1"/>
  <c r="BX1041" i="1"/>
  <c r="BL1112" i="1"/>
  <c r="BH1036" i="1"/>
  <c r="BH1035" i="1"/>
  <c r="BG1036" i="1"/>
  <c r="BG1035" i="1"/>
  <c r="BX1090" i="1"/>
  <c r="BX1091" i="1"/>
  <c r="BX1094" i="1"/>
  <c r="BX1095" i="1"/>
  <c r="BX1097" i="1"/>
  <c r="BX1099" i="1"/>
  <c r="BX1106" i="1"/>
  <c r="BX1107" i="1"/>
  <c r="BX1110" i="1"/>
  <c r="BX1111" i="1"/>
  <c r="BX1113" i="1"/>
  <c r="BX1115" i="1"/>
  <c r="BX1135" i="1"/>
  <c r="BX1136" i="1"/>
  <c r="BX1139" i="1"/>
  <c r="BX1140" i="1"/>
  <c r="BX1142" i="1"/>
  <c r="BX1144" i="1"/>
  <c r="BG1037" i="1"/>
  <c r="BG1038" i="1"/>
  <c r="BG1039" i="1"/>
  <c r="BG1040" i="1"/>
  <c r="BO1038" i="1"/>
  <c r="BO1143" i="1"/>
  <c r="AU952" i="1"/>
  <c r="AT975" i="1"/>
  <c r="AV975" i="1" s="1"/>
  <c r="AL636" i="1"/>
  <c r="AM636" i="1" s="1"/>
  <c r="AV636" i="1"/>
  <c r="AU636" i="1" s="1"/>
  <c r="AL723" i="1"/>
  <c r="AM723" i="1" s="1"/>
  <c r="AV639" i="1"/>
  <c r="AU639" i="1" s="1"/>
  <c r="AL639" i="1"/>
  <c r="AM639" i="1" s="1"/>
  <c r="AV640" i="1"/>
  <c r="AU640" i="1" s="1"/>
  <c r="AL640" i="1"/>
  <c r="AM640" i="1" s="1"/>
  <c r="AV641" i="1"/>
  <c r="AU641" i="1" s="1"/>
  <c r="AL641" i="1"/>
  <c r="AM641" i="1" s="1"/>
  <c r="AL642" i="1"/>
  <c r="AM642" i="1" s="1"/>
  <c r="AV642" i="1"/>
  <c r="AU642" i="1" s="1"/>
  <c r="AL643" i="1"/>
  <c r="AM643" i="1" s="1"/>
  <c r="AV643" i="1"/>
  <c r="AU643" i="1" s="1"/>
  <c r="AV570" i="1"/>
  <c r="AU570" i="1" s="1"/>
  <c r="AL579" i="1"/>
  <c r="AM579" i="1" s="1"/>
  <c r="AV579" i="1"/>
  <c r="AU579" i="1" s="1"/>
  <c r="AL573" i="1"/>
  <c r="AM573" i="1" s="1"/>
  <c r="AV573" i="1"/>
  <c r="AU573" i="1" s="1"/>
  <c r="AV572" i="1"/>
  <c r="AU572" i="1" s="1"/>
  <c r="AL572" i="1"/>
  <c r="AM572" i="1" s="1"/>
  <c r="AT578" i="1"/>
  <c r="AV578" i="1"/>
  <c r="AU578" i="1" s="1"/>
  <c r="AV534" i="1"/>
  <c r="AU534" i="1" s="1"/>
  <c r="AV515" i="1"/>
  <c r="AV488" i="1"/>
  <c r="AU488" i="1" s="1"/>
  <c r="AL453" i="1"/>
  <c r="AM453" i="1" s="1"/>
  <c r="AV453" i="1"/>
  <c r="AU453" i="1" s="1"/>
  <c r="AL449" i="1"/>
  <c r="AM449" i="1" s="1"/>
  <c r="AV449" i="1"/>
  <c r="AU449" i="1" s="1"/>
  <c r="AT425" i="1"/>
  <c r="AV425" i="1" s="1"/>
  <c r="AU425" i="1" s="1"/>
  <c r="AV400" i="1"/>
  <c r="AM341" i="1"/>
  <c r="AV341" i="1"/>
  <c r="AU341" i="1" s="1"/>
  <c r="AV380" i="1"/>
  <c r="AU380" i="1" s="1"/>
  <c r="AT361" i="1"/>
  <c r="AV361" i="1"/>
  <c r="AU361" i="1" s="1"/>
  <c r="AV340" i="1"/>
  <c r="AU340" i="1" s="1"/>
  <c r="AL347" i="1"/>
  <c r="AM347" i="1" s="1"/>
  <c r="AV347" i="1"/>
  <c r="AU347" i="1" s="1"/>
  <c r="AV337" i="1"/>
  <c r="AU337" i="1" s="1"/>
  <c r="AL334" i="1"/>
  <c r="AM334" i="1" s="1"/>
  <c r="AL300" i="1"/>
  <c r="AM300" i="1" s="1"/>
  <c r="AV300" i="1"/>
  <c r="AU300" i="1" s="1"/>
  <c r="AV293" i="1"/>
  <c r="AU293" i="1" s="1"/>
  <c r="AV284" i="1"/>
  <c r="AU284" i="1" s="1"/>
  <c r="AL284" i="1"/>
  <c r="AM284" i="1" s="1"/>
  <c r="AL286" i="1"/>
  <c r="AM286" i="1" s="1"/>
  <c r="AV286" i="1"/>
  <c r="AU286" i="1" s="1"/>
  <c r="AV285" i="1"/>
  <c r="AU285" i="1" s="1"/>
  <c r="AT275" i="1"/>
  <c r="AV275" i="1"/>
  <c r="AU275" i="1" s="1"/>
  <c r="AV289" i="1"/>
  <c r="AU289" i="1" s="1"/>
  <c r="AV292" i="1"/>
  <c r="AU292" i="1" s="1"/>
  <c r="AL292" i="1"/>
  <c r="AM292" i="1" s="1"/>
  <c r="BP4" i="1"/>
  <c r="BP5" i="1"/>
  <c r="AU164" i="1"/>
  <c r="AU233" i="1"/>
  <c r="AU234" i="1"/>
  <c r="AV172" i="1"/>
  <c r="AU172" i="1" s="1"/>
  <c r="AL172" i="1"/>
  <c r="AM172" i="1" s="1"/>
  <c r="AV179" i="1"/>
  <c r="AU179" i="1" s="1"/>
  <c r="AL179" i="1"/>
  <c r="AM179" i="1" s="1"/>
  <c r="AV193" i="1"/>
  <c r="AU193" i="1" s="1"/>
  <c r="AL193" i="1"/>
  <c r="AM193" i="1" s="1"/>
  <c r="AV209" i="1"/>
  <c r="AU209" i="1" s="1"/>
  <c r="AL209" i="1"/>
  <c r="AL212" i="1"/>
  <c r="AM212" i="1" s="1"/>
  <c r="AV212" i="1"/>
  <c r="AU212" i="1" s="1"/>
  <c r="AV222" i="1"/>
  <c r="AU222" i="1" s="1"/>
  <c r="AL222" i="1"/>
  <c r="AM222" i="1" s="1"/>
  <c r="AL227" i="1"/>
  <c r="AM227" i="1" s="1"/>
  <c r="AV227" i="1"/>
  <c r="AU227" i="1" s="1"/>
  <c r="AV177" i="1"/>
  <c r="AU177" i="1" s="1"/>
  <c r="AV178" i="1"/>
  <c r="AU178" i="1" s="1"/>
  <c r="AV183" i="1"/>
  <c r="AU183" i="1" s="1"/>
  <c r="AV46" i="1"/>
  <c r="AU46" i="1" s="1"/>
  <c r="AV184" i="1"/>
  <c r="AU184" i="1" s="1"/>
  <c r="AV208" i="1"/>
  <c r="AU208" i="1" s="1"/>
  <c r="AV41" i="1"/>
  <c r="AU41" i="1" s="1"/>
  <c r="AV127" i="1"/>
  <c r="AU127" i="1" s="1"/>
  <c r="AV176" i="1"/>
  <c r="AU176" i="1" s="1"/>
  <c r="AV185" i="1"/>
  <c r="AU185" i="1" s="1"/>
  <c r="AV161" i="1"/>
  <c r="AU161" i="1" s="1"/>
  <c r="AL159" i="1"/>
  <c r="AM159" i="1" s="1"/>
  <c r="AV214" i="1"/>
  <c r="AU214" i="1" s="1"/>
  <c r="AV23" i="1"/>
  <c r="AV162" i="1"/>
  <c r="AU162" i="1" s="1"/>
  <c r="AL123" i="1"/>
  <c r="AM123" i="1" s="1"/>
  <c r="AL164" i="1"/>
  <c r="AM164" i="1" s="1"/>
  <c r="AL84" i="1"/>
  <c r="AM84" i="1" s="1"/>
  <c r="AV98" i="1"/>
  <c r="AU98" i="1" s="1"/>
  <c r="AV180" i="1"/>
  <c r="AL127" i="1"/>
  <c r="AM127" i="1" s="1"/>
  <c r="AV160" i="1"/>
  <c r="AU160" i="1" s="1"/>
  <c r="AV144" i="1"/>
  <c r="AU144" i="1" s="1"/>
  <c r="AL211" i="1"/>
  <c r="AM211" i="1" s="1"/>
  <c r="AV204" i="1"/>
  <c r="AU204" i="1" s="1"/>
  <c r="AV100" i="1"/>
  <c r="AU100" i="1" s="1"/>
  <c r="AV126" i="1"/>
  <c r="AU126" i="1" s="1"/>
  <c r="AV174" i="1"/>
  <c r="AU174" i="1" s="1"/>
  <c r="AV213" i="1"/>
  <c r="AU213" i="1" s="1"/>
  <c r="AL176" i="1"/>
  <c r="AM176" i="1" s="1"/>
  <c r="AL101" i="1"/>
  <c r="AM101" i="1" s="1"/>
  <c r="AL128" i="1"/>
  <c r="AM128" i="1" s="1"/>
  <c r="AV74" i="1"/>
  <c r="AU74" i="1" s="1"/>
  <c r="AV70" i="1"/>
  <c r="AU70" i="1" s="1"/>
  <c r="AV96" i="1"/>
  <c r="AU96" i="1" s="1"/>
  <c r="AL174" i="1"/>
  <c r="AM174" i="1" s="1"/>
  <c r="AM209" i="1"/>
  <c r="AL194" i="1"/>
  <c r="AM194" i="1" s="1"/>
  <c r="AV75" i="1"/>
  <c r="AU75" i="1" s="1"/>
  <c r="AV93" i="1"/>
  <c r="AU93" i="1" s="1"/>
  <c r="AL144" i="1"/>
  <c r="AM144" i="1" s="1"/>
  <c r="AL178" i="1"/>
  <c r="AM178" i="1" s="1"/>
  <c r="AL175" i="1"/>
  <c r="AM175" i="1" s="1"/>
  <c r="AL100" i="1"/>
  <c r="AM100" i="1" s="1"/>
  <c r="AL70" i="1"/>
  <c r="AM70" i="1" s="1"/>
  <c r="AV76" i="1"/>
  <c r="AU76" i="1" s="1"/>
  <c r="AV108" i="1"/>
  <c r="AU108" i="1" s="1"/>
  <c r="AL118" i="1"/>
  <c r="AM118" i="1" s="1"/>
  <c r="AV116" i="1"/>
  <c r="AU116" i="1" s="1"/>
  <c r="AL180" i="1"/>
  <c r="AM180" i="1" s="1"/>
  <c r="AV163" i="1"/>
  <c r="AU163" i="1" s="1"/>
  <c r="AV16" i="1"/>
  <c r="AU16" i="1" s="1"/>
  <c r="AL74" i="1"/>
  <c r="AM74" i="1" s="1"/>
  <c r="AV32" i="1"/>
  <c r="AU32" i="1" s="1"/>
  <c r="AV40" i="1"/>
  <c r="AU40" i="1" s="1"/>
  <c r="AV117" i="1"/>
  <c r="AU117" i="1" s="1"/>
  <c r="AV109" i="1"/>
  <c r="AU109" i="1" s="1"/>
  <c r="AV150" i="1"/>
  <c r="AU150" i="1" s="1"/>
  <c r="AL183" i="1"/>
  <c r="AM183" i="1" s="1"/>
  <c r="AV210" i="1"/>
  <c r="AL166" i="1"/>
  <c r="AM166" i="1" s="1"/>
  <c r="AV195" i="1"/>
  <c r="AU195" i="1" s="1"/>
  <c r="AV181" i="1"/>
  <c r="AU181" i="1" s="1"/>
  <c r="AT149" i="1"/>
  <c r="AV149" i="1" s="1"/>
  <c r="AU149" i="1" s="1"/>
  <c r="AV168" i="1"/>
  <c r="AU168" i="1" s="1"/>
  <c r="AL168" i="1"/>
  <c r="AM168" i="1" s="1"/>
  <c r="AV148" i="1"/>
  <c r="AU148" i="1" s="1"/>
  <c r="AT154" i="1"/>
  <c r="AV154" i="1" s="1"/>
  <c r="AU154" i="1" s="1"/>
  <c r="AT155" i="1"/>
  <c r="AV155" i="1" s="1"/>
  <c r="AU155" i="1" s="1"/>
  <c r="AL146" i="1"/>
  <c r="AM146" i="1" s="1"/>
  <c r="AV146" i="1"/>
  <c r="AU146" i="1" s="1"/>
  <c r="AV142" i="1"/>
  <c r="AL104" i="1"/>
  <c r="AM104" i="1" s="1"/>
  <c r="AV104" i="1"/>
  <c r="AU104" i="1" s="1"/>
  <c r="AT115" i="1"/>
  <c r="AV115" i="1" s="1"/>
  <c r="AU115" i="1" s="1"/>
  <c r="AV119" i="1"/>
  <c r="AU119" i="1" s="1"/>
  <c r="AL79" i="1"/>
  <c r="AM79" i="1" s="1"/>
  <c r="AV79" i="1"/>
  <c r="AU79" i="1" s="1"/>
  <c r="AV86" i="1"/>
  <c r="AU86" i="1" s="1"/>
  <c r="AL86" i="1"/>
  <c r="AM86" i="1" s="1"/>
  <c r="AV92" i="1"/>
  <c r="AU92" i="1" s="1"/>
  <c r="AL92" i="1"/>
  <c r="AM92" i="1" s="1"/>
  <c r="AL51" i="1"/>
  <c r="AM51" i="1" s="1"/>
  <c r="AV51" i="1"/>
  <c r="AU51" i="1" s="1"/>
  <c r="AL73" i="1"/>
  <c r="AM73" i="1" s="1"/>
  <c r="AV73" i="1"/>
  <c r="AU73" i="1" s="1"/>
  <c r="AT78" i="1"/>
  <c r="AV78" i="1" s="1"/>
  <c r="AU78" i="1" s="1"/>
  <c r="AL49" i="1"/>
  <c r="AM49" i="1" s="1"/>
  <c r="AV49" i="1"/>
  <c r="AU49" i="1" s="1"/>
  <c r="AL66" i="1"/>
  <c r="AM66" i="1" s="1"/>
  <c r="AV66" i="1"/>
  <c r="AU66" i="1" s="1"/>
  <c r="AV13" i="1"/>
  <c r="AU13" i="1" s="1"/>
  <c r="BM15" i="1" s="1"/>
  <c r="AV29" i="1"/>
  <c r="AU29" i="1" s="1"/>
  <c r="AV60" i="1"/>
  <c r="AU60" i="1" s="1"/>
  <c r="AV30" i="1"/>
  <c r="AU30" i="1" s="1"/>
  <c r="AT38" i="1"/>
  <c r="AV38" i="1" s="1"/>
  <c r="AV31" i="1"/>
  <c r="AU31" i="1" s="1"/>
  <c r="AV19" i="1"/>
  <c r="AU19" i="1" s="1"/>
  <c r="AL67" i="1"/>
  <c r="AM67" i="1" s="1"/>
  <c r="AV67" i="1"/>
  <c r="AU67" i="1" s="1"/>
  <c r="AL68" i="1"/>
  <c r="AM68" i="1" s="1"/>
  <c r="AV68" i="1"/>
  <c r="AU68" i="1" s="1"/>
  <c r="BO4" i="1"/>
  <c r="BO5" i="1"/>
  <c r="BO6" i="1"/>
  <c r="BO7" i="1"/>
  <c r="BO8" i="1"/>
  <c r="BO9" i="1"/>
  <c r="BO10" i="1"/>
  <c r="BO11" i="1"/>
  <c r="BO12" i="1"/>
  <c r="BO13" i="1"/>
  <c r="BO14" i="1"/>
  <c r="BO15" i="1"/>
  <c r="BO16" i="1"/>
  <c r="BO17" i="1"/>
  <c r="BO18" i="1"/>
  <c r="BP3" i="1"/>
  <c r="BO3" i="1"/>
  <c r="BM4" i="1"/>
  <c r="BM5" i="1"/>
  <c r="BM6" i="1"/>
  <c r="BM7" i="1"/>
  <c r="BM8" i="1"/>
  <c r="BM9" i="1"/>
  <c r="BM10" i="1"/>
  <c r="BM11" i="1"/>
  <c r="BM16" i="1"/>
  <c r="BM17" i="1"/>
  <c r="BM3" i="1"/>
  <c r="AV65" i="1"/>
  <c r="AL65" i="1"/>
  <c r="AM65" i="1" s="1"/>
  <c r="AL9" i="1"/>
  <c r="AM9" i="1" s="1"/>
  <c r="AL53" i="1"/>
  <c r="AM53" i="1" s="1"/>
  <c r="AV53" i="1"/>
  <c r="AU53" i="1" s="1"/>
  <c r="AV55" i="1"/>
  <c r="AU55" i="1" s="1"/>
  <c r="AL55" i="1"/>
  <c r="AM55" i="1" s="1"/>
  <c r="AL56" i="1"/>
  <c r="AM56" i="1" s="1"/>
  <c r="AV56" i="1"/>
  <c r="AU56" i="1" s="1"/>
  <c r="AV61" i="1"/>
  <c r="AU61" i="1" s="1"/>
  <c r="AL61" i="1"/>
  <c r="AM61" i="1" s="1"/>
  <c r="AV64" i="1"/>
  <c r="AU64" i="1" s="1"/>
  <c r="AL64" i="1"/>
  <c r="AM64" i="1" s="1"/>
  <c r="AL47" i="1"/>
  <c r="AM47" i="1" s="1"/>
  <c r="AV47" i="1"/>
  <c r="AU47" i="1" s="1"/>
  <c r="AL39" i="1"/>
  <c r="AM39" i="1" s="1"/>
  <c r="AV39" i="1"/>
  <c r="AU39" i="1" s="1"/>
  <c r="AL40" i="1"/>
  <c r="AM40" i="1" s="1"/>
  <c r="AV43" i="1"/>
  <c r="AU43" i="1" s="1"/>
  <c r="AL43" i="1"/>
  <c r="AM43" i="1" s="1"/>
  <c r="AV45" i="1"/>
  <c r="AU45" i="1" s="1"/>
  <c r="AT48" i="1"/>
  <c r="AV48" i="1" s="1"/>
  <c r="AU48" i="1" s="1"/>
  <c r="AV44" i="1"/>
  <c r="AU44" i="1" s="1"/>
  <c r="AV20" i="1"/>
  <c r="AV4" i="1"/>
  <c r="AV8" i="1"/>
  <c r="AL8" i="1"/>
  <c r="AM8" i="1" s="1"/>
  <c r="AU1189" i="1" l="1"/>
  <c r="AU1188" i="1"/>
  <c r="AU1184" i="1"/>
  <c r="BL1183" i="1"/>
  <c r="BL1182" i="1"/>
  <c r="BN1183" i="1"/>
  <c r="BN1182" i="1"/>
  <c r="BW1183" i="1"/>
  <c r="BS1183" i="1"/>
  <c r="BW1182" i="1"/>
  <c r="BS1182" i="1"/>
  <c r="BO1183" i="1"/>
  <c r="BO1182" i="1"/>
  <c r="BG1183" i="1"/>
  <c r="BG1182" i="1"/>
  <c r="BZ1183" i="1"/>
  <c r="BZ1182" i="1"/>
  <c r="BX1183" i="1"/>
  <c r="BX1182" i="1"/>
  <c r="BU1183" i="1"/>
  <c r="BU1182" i="1"/>
  <c r="BY1183" i="1"/>
  <c r="BY1182" i="1"/>
  <c r="BL1178" i="1"/>
  <c r="BL1177" i="1"/>
  <c r="BL1176" i="1"/>
  <c r="BL1175" i="1"/>
  <c r="BL1174" i="1"/>
  <c r="BL1173" i="1"/>
  <c r="BL1172" i="1"/>
  <c r="BN1178" i="1"/>
  <c r="BN1177" i="1"/>
  <c r="BN1176" i="1"/>
  <c r="BN1175" i="1"/>
  <c r="BN1174" i="1"/>
  <c r="BN1173" i="1"/>
  <c r="BN1172" i="1"/>
  <c r="BW1178" i="1"/>
  <c r="BS1178" i="1"/>
  <c r="BW1177" i="1"/>
  <c r="BS1177" i="1"/>
  <c r="BW1176" i="1"/>
  <c r="BS1176" i="1"/>
  <c r="BW1175" i="1"/>
  <c r="BS1175" i="1"/>
  <c r="BW1174" i="1"/>
  <c r="BS1174" i="1"/>
  <c r="BW1173" i="1"/>
  <c r="BS1173" i="1"/>
  <c r="BW1172" i="1"/>
  <c r="BS1172" i="1"/>
  <c r="BO1178" i="1"/>
  <c r="BO1177" i="1"/>
  <c r="BO1176" i="1"/>
  <c r="BO1175" i="1"/>
  <c r="BO1174" i="1"/>
  <c r="BO1173" i="1"/>
  <c r="BO1172" i="1"/>
  <c r="BG1178" i="1"/>
  <c r="BG1177" i="1"/>
  <c r="BG1176" i="1"/>
  <c r="BG1175" i="1"/>
  <c r="BG1174" i="1"/>
  <c r="BG1173" i="1"/>
  <c r="BG1172" i="1"/>
  <c r="BZ1178" i="1"/>
  <c r="BZ1177" i="1"/>
  <c r="BZ1176" i="1"/>
  <c r="BZ1175" i="1"/>
  <c r="BZ1174" i="1"/>
  <c r="BZ1173" i="1"/>
  <c r="BZ1172" i="1"/>
  <c r="BX1178" i="1"/>
  <c r="BX1177" i="1"/>
  <c r="BX1176" i="1"/>
  <c r="BX1175" i="1"/>
  <c r="BX1174" i="1"/>
  <c r="BX1173" i="1"/>
  <c r="BX1172" i="1"/>
  <c r="BU1178" i="1"/>
  <c r="BU1177" i="1"/>
  <c r="BU1176" i="1"/>
  <c r="BU1175" i="1"/>
  <c r="BU1174" i="1"/>
  <c r="BU1173" i="1"/>
  <c r="BU1172" i="1"/>
  <c r="BY1178" i="1"/>
  <c r="BY1177" i="1"/>
  <c r="BY1176" i="1"/>
  <c r="BY1175" i="1"/>
  <c r="BY1174" i="1"/>
  <c r="BY1173" i="1"/>
  <c r="BY1172" i="1"/>
  <c r="BL1171" i="1"/>
  <c r="BL1170" i="1"/>
  <c r="BL1169" i="1"/>
  <c r="BL1168" i="1"/>
  <c r="BL1167" i="1"/>
  <c r="BL1166" i="1"/>
  <c r="BN1171" i="1"/>
  <c r="BN1170" i="1"/>
  <c r="BN1169" i="1"/>
  <c r="BN1168" i="1"/>
  <c r="BN1167" i="1"/>
  <c r="BN1166" i="1"/>
  <c r="BW1171" i="1"/>
  <c r="BS1171" i="1"/>
  <c r="BW1170" i="1"/>
  <c r="BS1170" i="1"/>
  <c r="BW1169" i="1"/>
  <c r="BS1169" i="1"/>
  <c r="BW1168" i="1"/>
  <c r="BS1168" i="1"/>
  <c r="BW1167" i="1"/>
  <c r="BS1167" i="1"/>
  <c r="BW1166" i="1"/>
  <c r="BS1166" i="1"/>
  <c r="BO1171" i="1"/>
  <c r="BO1170" i="1"/>
  <c r="BO1169" i="1"/>
  <c r="BO1168" i="1"/>
  <c r="BO1167" i="1"/>
  <c r="BO1166" i="1"/>
  <c r="BG1171" i="1"/>
  <c r="BG1170" i="1"/>
  <c r="BG1169" i="1"/>
  <c r="BG1168" i="1"/>
  <c r="BG1167" i="1"/>
  <c r="BG1166" i="1"/>
  <c r="BZ1171" i="1"/>
  <c r="BZ1170" i="1"/>
  <c r="BZ1169" i="1"/>
  <c r="BZ1168" i="1"/>
  <c r="BZ1167" i="1"/>
  <c r="BZ1166" i="1"/>
  <c r="BX1171" i="1"/>
  <c r="BX1170" i="1"/>
  <c r="BX1169" i="1"/>
  <c r="BX1168" i="1"/>
  <c r="BX1167" i="1"/>
  <c r="BX1166" i="1"/>
  <c r="BU1171" i="1"/>
  <c r="BU1170" i="1"/>
  <c r="BU1169" i="1"/>
  <c r="BU1168" i="1"/>
  <c r="BU1167" i="1"/>
  <c r="BU1166" i="1"/>
  <c r="BY1171" i="1"/>
  <c r="BY1170" i="1"/>
  <c r="BY1169" i="1"/>
  <c r="BY1168" i="1"/>
  <c r="BY1167" i="1"/>
  <c r="BY1166" i="1"/>
  <c r="BL1164" i="1"/>
  <c r="BL1163" i="1"/>
  <c r="BL1162" i="1"/>
  <c r="BL1161" i="1"/>
  <c r="BL1160" i="1"/>
  <c r="BL1159" i="1"/>
  <c r="BL1158" i="1"/>
  <c r="BL1157" i="1"/>
  <c r="BN1164" i="1"/>
  <c r="BN1163" i="1"/>
  <c r="BN1162" i="1"/>
  <c r="BN1161" i="1"/>
  <c r="BN1160" i="1"/>
  <c r="BN1159" i="1"/>
  <c r="BN1158" i="1"/>
  <c r="BN1157" i="1"/>
  <c r="BW1164" i="1"/>
  <c r="BS1164" i="1"/>
  <c r="BW1163" i="1"/>
  <c r="BS1163" i="1"/>
  <c r="BW1162" i="1"/>
  <c r="BS1162" i="1"/>
  <c r="BW1161" i="1"/>
  <c r="BS1161" i="1"/>
  <c r="BW1160" i="1"/>
  <c r="BS1160" i="1"/>
  <c r="BW1159" i="1"/>
  <c r="BS1159" i="1"/>
  <c r="BW1158" i="1"/>
  <c r="BS1158" i="1"/>
  <c r="BW1157" i="1"/>
  <c r="BS1157" i="1"/>
  <c r="BO1164" i="1"/>
  <c r="BO1163" i="1"/>
  <c r="BO1162" i="1"/>
  <c r="BO1161" i="1"/>
  <c r="BO1160" i="1"/>
  <c r="BO1159" i="1"/>
  <c r="BO1158" i="1"/>
  <c r="BO1157" i="1"/>
  <c r="BG1164" i="1"/>
  <c r="BG1163" i="1"/>
  <c r="BG1162" i="1"/>
  <c r="BG1161" i="1"/>
  <c r="BG1160" i="1"/>
  <c r="BG1159" i="1"/>
  <c r="BG1158" i="1"/>
  <c r="BG1157" i="1"/>
  <c r="BZ1164" i="1"/>
  <c r="BZ1163" i="1"/>
  <c r="BZ1162" i="1"/>
  <c r="BZ1161" i="1"/>
  <c r="BZ1160" i="1"/>
  <c r="BZ1159" i="1"/>
  <c r="BZ1158" i="1"/>
  <c r="BZ1157" i="1"/>
  <c r="BX1164" i="1"/>
  <c r="BX1163" i="1"/>
  <c r="BX1162" i="1"/>
  <c r="BX1161" i="1"/>
  <c r="BX1160" i="1"/>
  <c r="BX1159" i="1"/>
  <c r="BX1158" i="1"/>
  <c r="BX1157" i="1"/>
  <c r="BU1164" i="1"/>
  <c r="BU1163" i="1"/>
  <c r="BU1162" i="1"/>
  <c r="BU1161" i="1"/>
  <c r="BU1160" i="1"/>
  <c r="BU1159" i="1"/>
  <c r="BU1158" i="1"/>
  <c r="BU1157" i="1"/>
  <c r="BY1164" i="1"/>
  <c r="BY1163" i="1"/>
  <c r="BY1162" i="1"/>
  <c r="BY1161" i="1"/>
  <c r="BY1160" i="1"/>
  <c r="BY1159" i="1"/>
  <c r="BY1158" i="1"/>
  <c r="BY1157" i="1"/>
  <c r="BL1156" i="1"/>
  <c r="BL1155" i="1"/>
  <c r="BL1154" i="1"/>
  <c r="BL1153" i="1"/>
  <c r="BL1152" i="1"/>
  <c r="BL1151" i="1"/>
  <c r="BL1150" i="1"/>
  <c r="BL1149" i="1"/>
  <c r="BN1156" i="1"/>
  <c r="BN1155" i="1"/>
  <c r="BN1154" i="1"/>
  <c r="BN1153" i="1"/>
  <c r="BN1152" i="1"/>
  <c r="BN1151" i="1"/>
  <c r="BN1150" i="1"/>
  <c r="BN1149" i="1"/>
  <c r="BW1156" i="1"/>
  <c r="BS1156" i="1"/>
  <c r="BW1155" i="1"/>
  <c r="BS1155" i="1"/>
  <c r="BW1154" i="1"/>
  <c r="BS1154" i="1"/>
  <c r="BW1153" i="1"/>
  <c r="BS1153" i="1"/>
  <c r="BW1152" i="1"/>
  <c r="BS1152" i="1"/>
  <c r="BW1151" i="1"/>
  <c r="BS1151" i="1"/>
  <c r="BW1150" i="1"/>
  <c r="BS1150" i="1"/>
  <c r="BW1149" i="1"/>
  <c r="BS1149" i="1"/>
  <c r="BO1156" i="1"/>
  <c r="BO1155" i="1"/>
  <c r="BO1154" i="1"/>
  <c r="BO1153" i="1"/>
  <c r="BO1152" i="1"/>
  <c r="BO1151" i="1"/>
  <c r="BO1150" i="1"/>
  <c r="BO1149" i="1"/>
  <c r="BG1156" i="1"/>
  <c r="BG1155" i="1"/>
  <c r="BG1154" i="1"/>
  <c r="BG1153" i="1"/>
  <c r="BG1152" i="1"/>
  <c r="BG1151" i="1"/>
  <c r="BG1150" i="1"/>
  <c r="BG1149" i="1"/>
  <c r="BZ1156" i="1"/>
  <c r="BZ1155" i="1"/>
  <c r="BZ1154" i="1"/>
  <c r="BZ1153" i="1"/>
  <c r="BZ1152" i="1"/>
  <c r="BZ1151" i="1"/>
  <c r="BZ1150" i="1"/>
  <c r="BZ1149" i="1"/>
  <c r="BX1156" i="1"/>
  <c r="BX1155" i="1"/>
  <c r="BX1154" i="1"/>
  <c r="BX1153" i="1"/>
  <c r="BX1152" i="1"/>
  <c r="BX1151" i="1"/>
  <c r="BX1150" i="1"/>
  <c r="BX1149" i="1"/>
  <c r="BU1156" i="1"/>
  <c r="BU1155" i="1"/>
  <c r="BU1154" i="1"/>
  <c r="BU1153" i="1"/>
  <c r="BU1152" i="1"/>
  <c r="BU1151" i="1"/>
  <c r="BU1150" i="1"/>
  <c r="BU1149" i="1"/>
  <c r="BY1156" i="1"/>
  <c r="BY1155" i="1"/>
  <c r="BY1154" i="1"/>
  <c r="BY1153" i="1"/>
  <c r="BY1152" i="1"/>
  <c r="BY1151" i="1"/>
  <c r="BY1150" i="1"/>
  <c r="BY1149" i="1"/>
  <c r="BL1181" i="1"/>
  <c r="BN1181" i="1"/>
  <c r="BW1181" i="1"/>
  <c r="BS1181" i="1"/>
  <c r="BO1181" i="1"/>
  <c r="BG1181" i="1"/>
  <c r="BZ1181" i="1"/>
  <c r="BX1181" i="1"/>
  <c r="BU1181" i="1"/>
  <c r="BY1181" i="1"/>
  <c r="BL1165" i="1"/>
  <c r="BL1148" i="1"/>
  <c r="BL1147" i="1"/>
  <c r="BN1165" i="1"/>
  <c r="BN1148" i="1"/>
  <c r="BN1147" i="1"/>
  <c r="BW1165" i="1"/>
  <c r="BS1165" i="1"/>
  <c r="BW1148" i="1"/>
  <c r="BS1148" i="1"/>
  <c r="BW1147" i="1"/>
  <c r="BS1147" i="1"/>
  <c r="BO1165" i="1"/>
  <c r="BO1148" i="1"/>
  <c r="BO1147" i="1"/>
  <c r="BG1165" i="1"/>
  <c r="BG1148" i="1"/>
  <c r="BG1147" i="1"/>
  <c r="BZ1165" i="1"/>
  <c r="BZ1148" i="1"/>
  <c r="BZ1147" i="1"/>
  <c r="BX1165" i="1"/>
  <c r="BX1148" i="1"/>
  <c r="BX1147" i="1"/>
  <c r="BU1165" i="1"/>
  <c r="BU1148" i="1"/>
  <c r="BU1147" i="1"/>
  <c r="BY1165" i="1"/>
  <c r="BY1148" i="1"/>
  <c r="BY1147" i="1"/>
  <c r="BL1128" i="1"/>
  <c r="BL1127" i="1"/>
  <c r="BL1126" i="1"/>
  <c r="BL1125" i="1"/>
  <c r="BL1124" i="1"/>
  <c r="BL1131" i="1"/>
  <c r="BN1128" i="1"/>
  <c r="BN1127" i="1"/>
  <c r="BN1126" i="1"/>
  <c r="BN1125" i="1"/>
  <c r="BN1124" i="1"/>
  <c r="BN1131" i="1"/>
  <c r="BW1128" i="1"/>
  <c r="BS1128" i="1"/>
  <c r="BW1127" i="1"/>
  <c r="BS1127" i="1"/>
  <c r="BW1126" i="1"/>
  <c r="BS1126" i="1"/>
  <c r="BW1125" i="1"/>
  <c r="BS1125" i="1"/>
  <c r="BW1124" i="1"/>
  <c r="BS1124" i="1"/>
  <c r="BS1131" i="1"/>
  <c r="BW1131" i="1"/>
  <c r="BO1128" i="1"/>
  <c r="BO1127" i="1"/>
  <c r="BO1126" i="1"/>
  <c r="BO1125" i="1"/>
  <c r="BO1124" i="1"/>
  <c r="BO1131" i="1"/>
  <c r="BG1128" i="1"/>
  <c r="BG1127" i="1"/>
  <c r="BG1126" i="1"/>
  <c r="BG1125" i="1"/>
  <c r="BG1124" i="1"/>
  <c r="BG1131" i="1"/>
  <c r="BZ1128" i="1"/>
  <c r="BZ1127" i="1"/>
  <c r="BZ1126" i="1"/>
  <c r="BZ1125" i="1"/>
  <c r="BZ1124" i="1"/>
  <c r="BZ1131" i="1"/>
  <c r="BX1128" i="1"/>
  <c r="BX1127" i="1"/>
  <c r="BX1126" i="1"/>
  <c r="BX1125" i="1"/>
  <c r="BX1124" i="1"/>
  <c r="BX1131" i="1"/>
  <c r="BU1128" i="1"/>
  <c r="BU1127" i="1"/>
  <c r="BU1126" i="1"/>
  <c r="BU1125" i="1"/>
  <c r="BU1124" i="1"/>
  <c r="BU1131" i="1"/>
  <c r="BY1128" i="1"/>
  <c r="BY1127" i="1"/>
  <c r="BY1126" i="1"/>
  <c r="BY1125" i="1"/>
  <c r="BY1124" i="1"/>
  <c r="BY1131" i="1"/>
  <c r="BL1130" i="1"/>
  <c r="BL1129" i="1"/>
  <c r="BL1123" i="1"/>
  <c r="BN1130" i="1"/>
  <c r="BN1129" i="1"/>
  <c r="BN1123" i="1"/>
  <c r="BW1130" i="1"/>
  <c r="BS1130" i="1"/>
  <c r="BW1129" i="1"/>
  <c r="BS1129" i="1"/>
  <c r="BW1123" i="1"/>
  <c r="BS1123" i="1"/>
  <c r="BO1130" i="1"/>
  <c r="BO1129" i="1"/>
  <c r="BO1123" i="1"/>
  <c r="BG1130" i="1"/>
  <c r="BG1129" i="1"/>
  <c r="BG1123" i="1"/>
  <c r="BZ1130" i="1"/>
  <c r="BZ1129" i="1"/>
  <c r="BZ1123" i="1"/>
  <c r="BX1130" i="1"/>
  <c r="BX1129" i="1"/>
  <c r="BX1123" i="1"/>
  <c r="BU1130" i="1"/>
  <c r="BU1129" i="1"/>
  <c r="BU1123" i="1"/>
  <c r="BY1130" i="1"/>
  <c r="BY1129" i="1"/>
  <c r="BY1123" i="1"/>
  <c r="BL1095" i="1"/>
  <c r="BL1120" i="1"/>
  <c r="BL1119" i="1"/>
  <c r="BL1118" i="1"/>
  <c r="BL1117" i="1"/>
  <c r="BL1116" i="1"/>
  <c r="BN1120" i="1"/>
  <c r="BN1119" i="1"/>
  <c r="BN1118" i="1"/>
  <c r="BN1117" i="1"/>
  <c r="BN1116" i="1"/>
  <c r="BO1049" i="1"/>
  <c r="BW1120" i="1"/>
  <c r="BS1120" i="1"/>
  <c r="BW1119" i="1"/>
  <c r="BS1119" i="1"/>
  <c r="BW1118" i="1"/>
  <c r="BS1118" i="1"/>
  <c r="BW1117" i="1"/>
  <c r="BS1117" i="1"/>
  <c r="BW1116" i="1"/>
  <c r="BS1116" i="1"/>
  <c r="BO1120" i="1"/>
  <c r="BO1119" i="1"/>
  <c r="BO1118" i="1"/>
  <c r="BO1117" i="1"/>
  <c r="BO1116" i="1"/>
  <c r="BG1120" i="1"/>
  <c r="BG1119" i="1"/>
  <c r="BG1118" i="1"/>
  <c r="BG1117" i="1"/>
  <c r="BG1116" i="1"/>
  <c r="BZ1120" i="1"/>
  <c r="BZ1119" i="1"/>
  <c r="BZ1118" i="1"/>
  <c r="BZ1117" i="1"/>
  <c r="BZ1116" i="1"/>
  <c r="AU1056" i="1"/>
  <c r="BX1120" i="1"/>
  <c r="BX1119" i="1"/>
  <c r="BX1118" i="1"/>
  <c r="BX1117" i="1"/>
  <c r="BX1116" i="1"/>
  <c r="BU1120" i="1"/>
  <c r="BU1119" i="1"/>
  <c r="BU1118" i="1"/>
  <c r="BU1117" i="1"/>
  <c r="BU1116" i="1"/>
  <c r="AU1059" i="1"/>
  <c r="BY1120" i="1"/>
  <c r="BY1119" i="1"/>
  <c r="BY1118" i="1"/>
  <c r="BY1117" i="1"/>
  <c r="BY1116" i="1"/>
  <c r="BL1140" i="1"/>
  <c r="BN1145" i="1"/>
  <c r="BN1132" i="1"/>
  <c r="BN1105" i="1"/>
  <c r="BN1092" i="1"/>
  <c r="BS1040" i="1"/>
  <c r="BL1133" i="1"/>
  <c r="BK1064" i="1"/>
  <c r="BY1077" i="1"/>
  <c r="BG1073" i="1"/>
  <c r="BU1104" i="1"/>
  <c r="BN1144" i="1"/>
  <c r="BO1104" i="1"/>
  <c r="BN1091" i="1"/>
  <c r="BK1180" i="1"/>
  <c r="BK1140" i="1"/>
  <c r="BK1132" i="1"/>
  <c r="BK1111" i="1"/>
  <c r="BK1103" i="1"/>
  <c r="BK1095" i="1"/>
  <c r="BH1040" i="1"/>
  <c r="BX1141" i="1"/>
  <c r="BX1112" i="1"/>
  <c r="BX1096" i="1"/>
  <c r="BJ1133" i="1"/>
  <c r="BX1063" i="1"/>
  <c r="BW1180" i="1"/>
  <c r="BT1139" i="1"/>
  <c r="BW1121" i="1"/>
  <c r="BW1105" i="1"/>
  <c r="BT1096" i="1"/>
  <c r="BW1037" i="1"/>
  <c r="BS1064" i="1"/>
  <c r="BX1052" i="1"/>
  <c r="BG1060" i="1"/>
  <c r="BV1076" i="1"/>
  <c r="BV1065" i="1"/>
  <c r="BY1065" i="1"/>
  <c r="BX1082" i="1"/>
  <c r="BX1085" i="1"/>
  <c r="BU1103" i="1"/>
  <c r="BV1179" i="1"/>
  <c r="BV1102" i="1"/>
  <c r="BN1122" i="1"/>
  <c r="BN1104" i="1"/>
  <c r="BN1090" i="1"/>
  <c r="BK1039" i="1"/>
  <c r="BL1132" i="1"/>
  <c r="BT1180" i="1"/>
  <c r="BW1138" i="1"/>
  <c r="BW1115" i="1"/>
  <c r="BT1105" i="1"/>
  <c r="BW1095" i="1"/>
  <c r="BT1037" i="1"/>
  <c r="BT1064" i="1"/>
  <c r="BG1061" i="1"/>
  <c r="BY1066" i="1"/>
  <c r="BG1080" i="1"/>
  <c r="BU1102" i="1"/>
  <c r="BN1142" i="1"/>
  <c r="BN1115" i="1"/>
  <c r="BN1102" i="1"/>
  <c r="BN1040" i="1"/>
  <c r="BI1179" i="1"/>
  <c r="BI1139" i="1"/>
  <c r="BI1110" i="1"/>
  <c r="BI1102" i="1"/>
  <c r="BI1094" i="1"/>
  <c r="BH1039" i="1"/>
  <c r="BG1135" i="1"/>
  <c r="BX1138" i="1"/>
  <c r="BX1109" i="1"/>
  <c r="BX1093" i="1"/>
  <c r="BJ1112" i="1"/>
  <c r="BT1179" i="1"/>
  <c r="BW1137" i="1"/>
  <c r="BW1113" i="1"/>
  <c r="BT1104" i="1"/>
  <c r="BT1094" i="1"/>
  <c r="BI1041" i="1"/>
  <c r="BX1062" i="1"/>
  <c r="BY1056" i="1"/>
  <c r="BV1068" i="1"/>
  <c r="BV1079" i="1"/>
  <c r="BG1082" i="1"/>
  <c r="BG1087" i="1"/>
  <c r="BU1039" i="1"/>
  <c r="BV1144" i="1"/>
  <c r="BV1115" i="1"/>
  <c r="BV1099" i="1"/>
  <c r="BN1141" i="1"/>
  <c r="BO1114" i="1"/>
  <c r="BN1101" i="1"/>
  <c r="BN1039" i="1"/>
  <c r="BK1146" i="1"/>
  <c r="BK1138" i="1"/>
  <c r="BK1122" i="1"/>
  <c r="BK1109" i="1"/>
  <c r="BK1101" i="1"/>
  <c r="BK1093" i="1"/>
  <c r="BK1038" i="1"/>
  <c r="BG1134" i="1"/>
  <c r="BX1137" i="1"/>
  <c r="BX1108" i="1"/>
  <c r="BX1092" i="1"/>
  <c r="BL1111" i="1"/>
  <c r="BY1137" i="1"/>
  <c r="BW1146" i="1"/>
  <c r="BW1136" i="1"/>
  <c r="BT1113" i="1"/>
  <c r="BW1103" i="1"/>
  <c r="BW1093" i="1"/>
  <c r="BK1041" i="1"/>
  <c r="BX1055" i="1"/>
  <c r="BV1069" i="1"/>
  <c r="BV1080" i="1"/>
  <c r="BV1083" i="1"/>
  <c r="BY1083" i="1"/>
  <c r="BU1038" i="1"/>
  <c r="BV1143" i="1"/>
  <c r="BV1114" i="1"/>
  <c r="BV1098" i="1"/>
  <c r="BN1140" i="1"/>
  <c r="BN1114" i="1"/>
  <c r="BN1100" i="1"/>
  <c r="BG1133" i="1"/>
  <c r="BL1104" i="1"/>
  <c r="BY1136" i="1"/>
  <c r="BY1084" i="1"/>
  <c r="BN1139" i="1"/>
  <c r="BN1113" i="1"/>
  <c r="BN1099" i="1"/>
  <c r="BN1038" i="1"/>
  <c r="BK1145" i="1"/>
  <c r="BK1137" i="1"/>
  <c r="BK1121" i="1"/>
  <c r="BK1108" i="1"/>
  <c r="BK1100" i="1"/>
  <c r="BK1092" i="1"/>
  <c r="BH1038" i="1"/>
  <c r="BG1106" i="1"/>
  <c r="BJ1104" i="1"/>
  <c r="BY1135" i="1"/>
  <c r="BW1145" i="1"/>
  <c r="BW1134" i="1"/>
  <c r="BT1112" i="1"/>
  <c r="BW1102" i="1"/>
  <c r="BW1092" i="1"/>
  <c r="BI1042" i="1"/>
  <c r="BG1063" i="1"/>
  <c r="BY1043" i="1"/>
  <c r="BX1057" i="1"/>
  <c r="BV1057" i="1"/>
  <c r="BV1071" i="1"/>
  <c r="BX1066" i="1"/>
  <c r="BV1082" i="1"/>
  <c r="BV1085" i="1"/>
  <c r="BV1141" i="1"/>
  <c r="BV1112" i="1"/>
  <c r="BV1096" i="1"/>
  <c r="BO1138" i="1"/>
  <c r="BN1112" i="1"/>
  <c r="BO1098" i="1"/>
  <c r="BO1037" i="1"/>
  <c r="BI1145" i="1"/>
  <c r="BI1137" i="1"/>
  <c r="BI1121" i="1"/>
  <c r="BI1108" i="1"/>
  <c r="BI1100" i="1"/>
  <c r="BI1092" i="1"/>
  <c r="BK1037" i="1"/>
  <c r="BG1105" i="1"/>
  <c r="BX1134" i="1"/>
  <c r="BX1105" i="1"/>
  <c r="BX1089" i="1"/>
  <c r="BS1135" i="1"/>
  <c r="BL1103" i="1"/>
  <c r="BY1108" i="1"/>
  <c r="BW1144" i="1"/>
  <c r="BT1134" i="1"/>
  <c r="BW1111" i="1"/>
  <c r="BT1102" i="1"/>
  <c r="BW1091" i="1"/>
  <c r="BK1042" i="1"/>
  <c r="BG1064" i="1"/>
  <c r="BY1044" i="1"/>
  <c r="BX1058" i="1"/>
  <c r="BV1058" i="1"/>
  <c r="BV1072" i="1"/>
  <c r="BX1067" i="1"/>
  <c r="BV1086" i="1"/>
  <c r="BV1140" i="1"/>
  <c r="BV1111" i="1"/>
  <c r="BV1095" i="1"/>
  <c r="BN1138" i="1"/>
  <c r="BN1111" i="1"/>
  <c r="BN1098" i="1"/>
  <c r="BN1037" i="1"/>
  <c r="BK1144" i="1"/>
  <c r="BK1136" i="1"/>
  <c r="BK1115" i="1"/>
  <c r="BK1107" i="1"/>
  <c r="BK1099" i="1"/>
  <c r="BK1091" i="1"/>
  <c r="BI1037" i="1"/>
  <c r="BG1104" i="1"/>
  <c r="BX1133" i="1"/>
  <c r="BX1104" i="1"/>
  <c r="BX1040" i="1"/>
  <c r="BS1134" i="1"/>
  <c r="BL1096" i="1"/>
  <c r="BY1107" i="1"/>
  <c r="BT1144" i="1"/>
  <c r="BW1133" i="1"/>
  <c r="BT1111" i="1"/>
  <c r="BW1101" i="1"/>
  <c r="BT1091" i="1"/>
  <c r="BT1042" i="1"/>
  <c r="BN1049" i="1"/>
  <c r="BX1059" i="1"/>
  <c r="BV1059" i="1"/>
  <c r="BX1074" i="1"/>
  <c r="BV1073" i="1"/>
  <c r="BX1068" i="1"/>
  <c r="BV1087" i="1"/>
  <c r="BV1139" i="1"/>
  <c r="BV1110" i="1"/>
  <c r="BV1094" i="1"/>
  <c r="BN1137" i="1"/>
  <c r="BN1110" i="1"/>
  <c r="BN1097" i="1"/>
  <c r="BN1036" i="1"/>
  <c r="BI1144" i="1"/>
  <c r="BI1136" i="1"/>
  <c r="BI1115" i="1"/>
  <c r="BI1107" i="1"/>
  <c r="BI1099" i="1"/>
  <c r="BI1091" i="1"/>
  <c r="BH1037" i="1"/>
  <c r="BG1090" i="1"/>
  <c r="BX1180" i="1"/>
  <c r="BX1132" i="1"/>
  <c r="BX1103" i="1"/>
  <c r="BX1039" i="1"/>
  <c r="BS1133" i="1"/>
  <c r="BJ1096" i="1"/>
  <c r="BY1106" i="1"/>
  <c r="BW1142" i="1"/>
  <c r="BT1133" i="1"/>
  <c r="BW1110" i="1"/>
  <c r="BT1101" i="1"/>
  <c r="BW1089" i="1"/>
  <c r="BW1042" i="1"/>
  <c r="BO1063" i="1"/>
  <c r="BX1043" i="1"/>
  <c r="BG1062" i="1"/>
  <c r="BX1060" i="1"/>
  <c r="BV1060" i="1"/>
  <c r="BX1075" i="1"/>
  <c r="BU1068" i="1"/>
  <c r="BX1069" i="1"/>
  <c r="BV1138" i="1"/>
  <c r="BV1109" i="1"/>
  <c r="BV1093" i="1"/>
  <c r="BN1136" i="1"/>
  <c r="BO1109" i="1"/>
  <c r="BN1096" i="1"/>
  <c r="BI1035" i="1"/>
  <c r="BK1143" i="1"/>
  <c r="BK1135" i="1"/>
  <c r="BK1114" i="1"/>
  <c r="BK1106" i="1"/>
  <c r="BK1098" i="1"/>
  <c r="BK1090" i="1"/>
  <c r="BK1036" i="1"/>
  <c r="BG1089" i="1"/>
  <c r="BX1179" i="1"/>
  <c r="BX1102" i="1"/>
  <c r="BX1038" i="1"/>
  <c r="BS1106" i="1"/>
  <c r="BY1092" i="1"/>
  <c r="BT1142" i="1"/>
  <c r="BW1132" i="1"/>
  <c r="BT1110" i="1"/>
  <c r="BW1100" i="1"/>
  <c r="BT1089" i="1"/>
  <c r="BK1049" i="1"/>
  <c r="BO1064" i="1"/>
  <c r="BX1044" i="1"/>
  <c r="BU1051" i="1"/>
  <c r="BX1061" i="1"/>
  <c r="BV1061" i="1"/>
  <c r="BX1076" i="1"/>
  <c r="BU1069" i="1"/>
  <c r="BX1070" i="1"/>
  <c r="BU1180" i="1"/>
  <c r="BV1137" i="1"/>
  <c r="BV1108" i="1"/>
  <c r="BN1135" i="1"/>
  <c r="BN1109" i="1"/>
  <c r="BN1095" i="1"/>
  <c r="BK1035" i="1"/>
  <c r="BI1143" i="1"/>
  <c r="BI1135" i="1"/>
  <c r="BI1114" i="1"/>
  <c r="BI1106" i="1"/>
  <c r="BI1098" i="1"/>
  <c r="BI1090" i="1"/>
  <c r="BI1036" i="1"/>
  <c r="BX1146" i="1"/>
  <c r="BX1122" i="1"/>
  <c r="BX1101" i="1"/>
  <c r="BX1037" i="1"/>
  <c r="BS1105" i="1"/>
  <c r="BL1180" i="1"/>
  <c r="BL1040" i="1"/>
  <c r="BY1091" i="1"/>
  <c r="BW1141" i="1"/>
  <c r="BT1132" i="1"/>
  <c r="BW1109" i="1"/>
  <c r="BW1099" i="1"/>
  <c r="BW1040" i="1"/>
  <c r="BT1049" i="1"/>
  <c r="BY1041" i="1"/>
  <c r="BX1045" i="1"/>
  <c r="BU1052" i="1"/>
  <c r="BU1043" i="1"/>
  <c r="BX1077" i="1"/>
  <c r="BU1070" i="1"/>
  <c r="BX1071" i="1"/>
  <c r="BU1179" i="1"/>
  <c r="BV1136" i="1"/>
  <c r="BV1107" i="1"/>
  <c r="BN1035" i="1"/>
  <c r="BN1180" i="1"/>
  <c r="BN1134" i="1"/>
  <c r="BN1108" i="1"/>
  <c r="BN1094" i="1"/>
  <c r="BK1142" i="1"/>
  <c r="BK1134" i="1"/>
  <c r="BK1113" i="1"/>
  <c r="BK1105" i="1"/>
  <c r="BK1097" i="1"/>
  <c r="BK1089" i="1"/>
  <c r="BX1035" i="1"/>
  <c r="BX1145" i="1"/>
  <c r="BX1121" i="1"/>
  <c r="BX1100" i="1"/>
  <c r="BX1036" i="1"/>
  <c r="BS1104" i="1"/>
  <c r="BL1141" i="1"/>
  <c r="BJ1040" i="1"/>
  <c r="BY1090" i="1"/>
  <c r="BT1141" i="1"/>
  <c r="BT1109" i="1"/>
  <c r="BT1099" i="1"/>
  <c r="BT1040" i="1"/>
  <c r="BW1049" i="1"/>
  <c r="BN1041" i="1"/>
  <c r="BX1046" i="1"/>
  <c r="BU1053" i="1"/>
  <c r="BG1056" i="1"/>
  <c r="BU1044" i="1"/>
  <c r="BX1088" i="1"/>
  <c r="BX1072" i="1"/>
  <c r="BX1078" i="1"/>
  <c r="BU1133" i="1"/>
  <c r="BV1135" i="1"/>
  <c r="BV1106" i="1"/>
  <c r="BN1179" i="1"/>
  <c r="BO1133" i="1"/>
  <c r="BN1107" i="1"/>
  <c r="BO1093" i="1"/>
  <c r="BI1142" i="1"/>
  <c r="BI1134" i="1"/>
  <c r="BI1113" i="1"/>
  <c r="BI1105" i="1"/>
  <c r="BI1097" i="1"/>
  <c r="BI1089" i="1"/>
  <c r="BS1090" i="1"/>
  <c r="BJ1141" i="1"/>
  <c r="BL1039" i="1"/>
  <c r="BW1140" i="1"/>
  <c r="BW1108" i="1"/>
  <c r="BW1097" i="1"/>
  <c r="BW1039" i="1"/>
  <c r="BK1063" i="1"/>
  <c r="BX1047" i="1"/>
  <c r="BG1057" i="1"/>
  <c r="BU1045" i="1"/>
  <c r="BY1075" i="1"/>
  <c r="BX1073" i="1"/>
  <c r="BX1079" i="1"/>
  <c r="BU1132" i="1"/>
  <c r="BV1134" i="1"/>
  <c r="BV1105" i="1"/>
  <c r="BU1090" i="1"/>
  <c r="BN1146" i="1"/>
  <c r="BN1133" i="1"/>
  <c r="BN1106" i="1"/>
  <c r="BN1093" i="1"/>
  <c r="BK1141" i="1"/>
  <c r="BK1133" i="1"/>
  <c r="BK1112" i="1"/>
  <c r="BK1104" i="1"/>
  <c r="BK1096" i="1"/>
  <c r="BK1040" i="1"/>
  <c r="BX1143" i="1"/>
  <c r="BX1114" i="1"/>
  <c r="BX1098" i="1"/>
  <c r="BS1089" i="1"/>
  <c r="BX1042" i="1"/>
  <c r="BT1140" i="1"/>
  <c r="BW1122" i="1"/>
  <c r="BW1107" i="1"/>
  <c r="BT1097" i="1"/>
  <c r="BT1039" i="1"/>
  <c r="BI1064" i="1"/>
  <c r="BX1048" i="1"/>
  <c r="BX1050" i="1"/>
  <c r="BG1058" i="1"/>
  <c r="BV1074" i="1"/>
  <c r="BY1076" i="1"/>
  <c r="BG1065" i="1"/>
  <c r="BX1080" i="1"/>
  <c r="BX1083" i="1"/>
  <c r="BV1133" i="1"/>
  <c r="BO1144" i="1"/>
  <c r="BO1115" i="1"/>
  <c r="BO1099" i="1"/>
  <c r="BG1136" i="1"/>
  <c r="BG1107" i="1"/>
  <c r="BG1091" i="1"/>
  <c r="BS1136" i="1"/>
  <c r="BS1107" i="1"/>
  <c r="BS1091" i="1"/>
  <c r="BJ1142" i="1"/>
  <c r="BJ1134" i="1"/>
  <c r="BJ1113" i="1"/>
  <c r="BJ1105" i="1"/>
  <c r="BJ1097" i="1"/>
  <c r="BJ1089" i="1"/>
  <c r="BY1138" i="1"/>
  <c r="BY1109" i="1"/>
  <c r="BY1093" i="1"/>
  <c r="BW1035" i="1"/>
  <c r="BT1143" i="1"/>
  <c r="BT1135" i="1"/>
  <c r="BT1114" i="1"/>
  <c r="BT1106" i="1"/>
  <c r="BT1098" i="1"/>
  <c r="BT1090" i="1"/>
  <c r="BT1041" i="1"/>
  <c r="BW1063" i="1"/>
  <c r="BN1063" i="1"/>
  <c r="BU1050" i="1"/>
  <c r="BU1064" i="1"/>
  <c r="BU1088" i="1"/>
  <c r="BY1074" i="1"/>
  <c r="BU1067" i="1"/>
  <c r="BG1072" i="1"/>
  <c r="BG1079" i="1"/>
  <c r="BG1086" i="1"/>
  <c r="BU1134" i="1"/>
  <c r="BU1105" i="1"/>
  <c r="BU1089" i="1"/>
  <c r="BO1180" i="1"/>
  <c r="BO1132" i="1"/>
  <c r="BO1103" i="1"/>
  <c r="BG1180" i="1"/>
  <c r="BG1132" i="1"/>
  <c r="BG1103" i="1"/>
  <c r="BS1180" i="1"/>
  <c r="BS1132" i="1"/>
  <c r="BS1103" i="1"/>
  <c r="BS1039" i="1"/>
  <c r="BJ1180" i="1"/>
  <c r="BJ1140" i="1"/>
  <c r="BJ1132" i="1"/>
  <c r="BJ1111" i="1"/>
  <c r="BJ1103" i="1"/>
  <c r="BJ1095" i="1"/>
  <c r="BJ1039" i="1"/>
  <c r="BY1134" i="1"/>
  <c r="BY1105" i="1"/>
  <c r="BY1089" i="1"/>
  <c r="BS1042" i="1"/>
  <c r="BY1042" i="1"/>
  <c r="BY1045" i="1"/>
  <c r="BU1054" i="1"/>
  <c r="BY1057" i="1"/>
  <c r="BU1046" i="1"/>
  <c r="BY1088" i="1"/>
  <c r="BU1071" i="1"/>
  <c r="BY1067" i="1"/>
  <c r="BY1078" i="1"/>
  <c r="BY1085" i="1"/>
  <c r="BU1146" i="1"/>
  <c r="BU1122" i="1"/>
  <c r="BU1101" i="1"/>
  <c r="BU1037" i="1"/>
  <c r="BO1035" i="1"/>
  <c r="BO1137" i="1"/>
  <c r="BO1108" i="1"/>
  <c r="BO1092" i="1"/>
  <c r="BO1036" i="1"/>
  <c r="BG1179" i="1"/>
  <c r="BG1102" i="1"/>
  <c r="BS1179" i="1"/>
  <c r="BS1102" i="1"/>
  <c r="BS1038" i="1"/>
  <c r="BL1179" i="1"/>
  <c r="BL1139" i="1"/>
  <c r="BL1110" i="1"/>
  <c r="BL1102" i="1"/>
  <c r="BL1094" i="1"/>
  <c r="BL1038" i="1"/>
  <c r="BY1133" i="1"/>
  <c r="BY1104" i="1"/>
  <c r="BY1040" i="1"/>
  <c r="BY1049" i="1"/>
  <c r="BY1046" i="1"/>
  <c r="BU1062" i="1"/>
  <c r="BY1058" i="1"/>
  <c r="BU1047" i="1"/>
  <c r="BU1072" i="1"/>
  <c r="BY1068" i="1"/>
  <c r="BY1079" i="1"/>
  <c r="BY1086" i="1"/>
  <c r="BU1145" i="1"/>
  <c r="BU1121" i="1"/>
  <c r="BU1100" i="1"/>
  <c r="BU1036" i="1"/>
  <c r="BO1142" i="1"/>
  <c r="BO1113" i="1"/>
  <c r="BO1097" i="1"/>
  <c r="BG1146" i="1"/>
  <c r="BG1122" i="1"/>
  <c r="BG1101" i="1"/>
  <c r="BS1146" i="1"/>
  <c r="BS1122" i="1"/>
  <c r="BS1101" i="1"/>
  <c r="BS1037" i="1"/>
  <c r="BJ1179" i="1"/>
  <c r="BJ1139" i="1"/>
  <c r="BJ1110" i="1"/>
  <c r="BJ1102" i="1"/>
  <c r="BJ1094" i="1"/>
  <c r="BJ1038" i="1"/>
  <c r="BY1180" i="1"/>
  <c r="BY1132" i="1"/>
  <c r="BY1103" i="1"/>
  <c r="BY1039" i="1"/>
  <c r="BY1063" i="1"/>
  <c r="BY1047" i="1"/>
  <c r="BU1055" i="1"/>
  <c r="BY1059" i="1"/>
  <c r="BU1048" i="1"/>
  <c r="BU1073" i="1"/>
  <c r="BY1069" i="1"/>
  <c r="BY1080" i="1"/>
  <c r="BY1087" i="1"/>
  <c r="BU1144" i="1"/>
  <c r="BU1115" i="1"/>
  <c r="BU1099" i="1"/>
  <c r="BU1041" i="1"/>
  <c r="BO1179" i="1"/>
  <c r="BO1102" i="1"/>
  <c r="BO1091" i="1"/>
  <c r="BG1145" i="1"/>
  <c r="BG1121" i="1"/>
  <c r="BG1100" i="1"/>
  <c r="BS1145" i="1"/>
  <c r="BS1121" i="1"/>
  <c r="BS1100" i="1"/>
  <c r="BS1036" i="1"/>
  <c r="BL1146" i="1"/>
  <c r="BL1138" i="1"/>
  <c r="BL1122" i="1"/>
  <c r="BL1109" i="1"/>
  <c r="BL1101" i="1"/>
  <c r="BL1093" i="1"/>
  <c r="BL1037" i="1"/>
  <c r="BY1179" i="1"/>
  <c r="BY1102" i="1"/>
  <c r="BY1038" i="1"/>
  <c r="BW1094" i="1"/>
  <c r="BW1038" i="1"/>
  <c r="BI1049" i="1"/>
  <c r="BY1064" i="1"/>
  <c r="BY1048" i="1"/>
  <c r="BU1056" i="1"/>
  <c r="BY1060" i="1"/>
  <c r="BY1070" i="1"/>
  <c r="BY1081" i="1"/>
  <c r="BU1035" i="1"/>
  <c r="BU1143" i="1"/>
  <c r="BU1114" i="1"/>
  <c r="BU1098" i="1"/>
  <c r="BU1042" i="1"/>
  <c r="BO1136" i="1"/>
  <c r="BO1107" i="1"/>
  <c r="BG1144" i="1"/>
  <c r="BG1115" i="1"/>
  <c r="BG1099" i="1"/>
  <c r="BS1144" i="1"/>
  <c r="BS1115" i="1"/>
  <c r="BS1099" i="1"/>
  <c r="BJ1146" i="1"/>
  <c r="BJ1138" i="1"/>
  <c r="BJ1122" i="1"/>
  <c r="BJ1109" i="1"/>
  <c r="BJ1101" i="1"/>
  <c r="BJ1093" i="1"/>
  <c r="BJ1037" i="1"/>
  <c r="BY1146" i="1"/>
  <c r="BY1122" i="1"/>
  <c r="BY1101" i="1"/>
  <c r="BY1037" i="1"/>
  <c r="BU1057" i="1"/>
  <c r="BY1061" i="1"/>
  <c r="BY1071" i="1"/>
  <c r="BY1082" i="1"/>
  <c r="BU1142" i="1"/>
  <c r="BU1113" i="1"/>
  <c r="BU1097" i="1"/>
  <c r="BU1049" i="1"/>
  <c r="BO1141" i="1"/>
  <c r="BO1112" i="1"/>
  <c r="BO1096" i="1"/>
  <c r="BO1090" i="1"/>
  <c r="BG1143" i="1"/>
  <c r="BG1114" i="1"/>
  <c r="BG1098" i="1"/>
  <c r="BS1035" i="1"/>
  <c r="BS1143" i="1"/>
  <c r="BS1114" i="1"/>
  <c r="BS1098" i="1"/>
  <c r="BL1145" i="1"/>
  <c r="BL1137" i="1"/>
  <c r="BL1121" i="1"/>
  <c r="BL1108" i="1"/>
  <c r="BL1100" i="1"/>
  <c r="BL1092" i="1"/>
  <c r="BL1036" i="1"/>
  <c r="BY1145" i="1"/>
  <c r="BY1121" i="1"/>
  <c r="BY1100" i="1"/>
  <c r="BY1036" i="1"/>
  <c r="BS1049" i="1"/>
  <c r="BU1058" i="1"/>
  <c r="BY1072" i="1"/>
  <c r="BU1083" i="1"/>
  <c r="BU1141" i="1"/>
  <c r="BU1112" i="1"/>
  <c r="BU1096" i="1"/>
  <c r="BU1063" i="1"/>
  <c r="BO1146" i="1"/>
  <c r="BO1122" i="1"/>
  <c r="BO1101" i="1"/>
  <c r="BG1142" i="1"/>
  <c r="BG1113" i="1"/>
  <c r="BG1097" i="1"/>
  <c r="BS1142" i="1"/>
  <c r="BS1113" i="1"/>
  <c r="BS1097" i="1"/>
  <c r="BJ1145" i="1"/>
  <c r="BJ1137" i="1"/>
  <c r="BJ1121" i="1"/>
  <c r="BJ1108" i="1"/>
  <c r="BJ1100" i="1"/>
  <c r="BJ1092" i="1"/>
  <c r="BJ1036" i="1"/>
  <c r="BY1144" i="1"/>
  <c r="BY1115" i="1"/>
  <c r="BY1099" i="1"/>
  <c r="BY1050" i="1"/>
  <c r="BU1059" i="1"/>
  <c r="BG1066" i="1"/>
  <c r="BY1073" i="1"/>
  <c r="BU1084" i="1"/>
  <c r="BU1140" i="1"/>
  <c r="BU1111" i="1"/>
  <c r="BU1095" i="1"/>
  <c r="BO1135" i="1"/>
  <c r="BO1106" i="1"/>
  <c r="BO1089" i="1"/>
  <c r="BG1141" i="1"/>
  <c r="BG1112" i="1"/>
  <c r="BG1096" i="1"/>
  <c r="BS1141" i="1"/>
  <c r="BS1112" i="1"/>
  <c r="BS1096" i="1"/>
  <c r="BL1144" i="1"/>
  <c r="BL1136" i="1"/>
  <c r="BL1115" i="1"/>
  <c r="BL1107" i="1"/>
  <c r="BL1099" i="1"/>
  <c r="BL1091" i="1"/>
  <c r="BY1035" i="1"/>
  <c r="BY1143" i="1"/>
  <c r="BY1114" i="1"/>
  <c r="BY1098" i="1"/>
  <c r="BO1041" i="1"/>
  <c r="BY1051" i="1"/>
  <c r="BU1060" i="1"/>
  <c r="BG1074" i="1"/>
  <c r="BG1067" i="1"/>
  <c r="BU1078" i="1"/>
  <c r="BU1085" i="1"/>
  <c r="BU1139" i="1"/>
  <c r="BU1110" i="1"/>
  <c r="BU1094" i="1"/>
  <c r="BO1140" i="1"/>
  <c r="BO1111" i="1"/>
  <c r="BO1095" i="1"/>
  <c r="BG1140" i="1"/>
  <c r="BG1111" i="1"/>
  <c r="BG1095" i="1"/>
  <c r="BS1140" i="1"/>
  <c r="BS1111" i="1"/>
  <c r="BS1095" i="1"/>
  <c r="BJ1144" i="1"/>
  <c r="BJ1136" i="1"/>
  <c r="BJ1115" i="1"/>
  <c r="BJ1107" i="1"/>
  <c r="BJ1099" i="1"/>
  <c r="BJ1091" i="1"/>
  <c r="BY1142" i="1"/>
  <c r="BY1113" i="1"/>
  <c r="BY1097" i="1"/>
  <c r="BT1145" i="1"/>
  <c r="BT1137" i="1"/>
  <c r="BT1121" i="1"/>
  <c r="BT1108" i="1"/>
  <c r="BT1100" i="1"/>
  <c r="BT1092" i="1"/>
  <c r="BT1036" i="1"/>
  <c r="BI1063" i="1"/>
  <c r="BN1042" i="1"/>
  <c r="BY1052" i="1"/>
  <c r="BU1061" i="1"/>
  <c r="BU1074" i="1"/>
  <c r="BG1075" i="1"/>
  <c r="BG1068" i="1"/>
  <c r="BU1079" i="1"/>
  <c r="BU1086" i="1"/>
  <c r="BU1138" i="1"/>
  <c r="BU1109" i="1"/>
  <c r="BU1093" i="1"/>
  <c r="BO1145" i="1"/>
  <c r="BO1121" i="1"/>
  <c r="BO1100" i="1"/>
  <c r="BO1040" i="1"/>
  <c r="BG1139" i="1"/>
  <c r="BG1110" i="1"/>
  <c r="BG1094" i="1"/>
  <c r="BS1139" i="1"/>
  <c r="BS1110" i="1"/>
  <c r="BS1094" i="1"/>
  <c r="BJ1035" i="1"/>
  <c r="BL1143" i="1"/>
  <c r="BL1135" i="1"/>
  <c r="BL1114" i="1"/>
  <c r="BL1106" i="1"/>
  <c r="BL1098" i="1"/>
  <c r="BL1090" i="1"/>
  <c r="BY1141" i="1"/>
  <c r="BY1112" i="1"/>
  <c r="BY1096" i="1"/>
  <c r="BO1042" i="1"/>
  <c r="BY1053" i="1"/>
  <c r="BU1075" i="1"/>
  <c r="BG1076" i="1"/>
  <c r="BG1069" i="1"/>
  <c r="BU1080" i="1"/>
  <c r="BU1087" i="1"/>
  <c r="BG1083" i="1"/>
  <c r="BU1137" i="1"/>
  <c r="BU1108" i="1"/>
  <c r="BU1092" i="1"/>
  <c r="BO1134" i="1"/>
  <c r="BO1105" i="1"/>
  <c r="BG1138" i="1"/>
  <c r="BG1109" i="1"/>
  <c r="BG1093" i="1"/>
  <c r="BS1138" i="1"/>
  <c r="BS1109" i="1"/>
  <c r="BS1093" i="1"/>
  <c r="BL1035" i="1"/>
  <c r="BJ1143" i="1"/>
  <c r="BJ1135" i="1"/>
  <c r="BJ1114" i="1"/>
  <c r="BJ1106" i="1"/>
  <c r="BJ1098" i="1"/>
  <c r="BJ1090" i="1"/>
  <c r="BY1140" i="1"/>
  <c r="BY1111" i="1"/>
  <c r="BY1095" i="1"/>
  <c r="BS1063" i="1"/>
  <c r="BY1054" i="1"/>
  <c r="BU1076" i="1"/>
  <c r="BG1077" i="1"/>
  <c r="BU1065" i="1"/>
  <c r="BG1070" i="1"/>
  <c r="BU1081" i="1"/>
  <c r="BG1084" i="1"/>
  <c r="BU1136" i="1"/>
  <c r="BU1107" i="1"/>
  <c r="BU1091" i="1"/>
  <c r="BO1139" i="1"/>
  <c r="BO1110" i="1"/>
  <c r="BO1094" i="1"/>
  <c r="BO1039" i="1"/>
  <c r="BG1137" i="1"/>
  <c r="BG1108" i="1"/>
  <c r="BG1092" i="1"/>
  <c r="BS1137" i="1"/>
  <c r="BS1108" i="1"/>
  <c r="BS1092" i="1"/>
  <c r="BL1142" i="1"/>
  <c r="BL1134" i="1"/>
  <c r="BL1113" i="1"/>
  <c r="BL1105" i="1"/>
  <c r="BL1097" i="1"/>
  <c r="BL1089" i="1"/>
  <c r="BY1139" i="1"/>
  <c r="BY1110" i="1"/>
  <c r="BY1094" i="1"/>
  <c r="BW1143" i="1"/>
  <c r="BW1135" i="1"/>
  <c r="BW1114" i="1"/>
  <c r="BW1106" i="1"/>
  <c r="BW1098" i="1"/>
  <c r="BW1090" i="1"/>
  <c r="BS1041" i="1"/>
  <c r="BT1063" i="1"/>
  <c r="BY1062" i="1"/>
  <c r="BU1077" i="1"/>
  <c r="BG1088" i="1"/>
  <c r="BU1066" i="1"/>
  <c r="BG1071" i="1"/>
  <c r="BU1082" i="1"/>
  <c r="BG1078" i="1"/>
  <c r="BG1085" i="1"/>
  <c r="BU1135" i="1"/>
  <c r="BU1106" i="1"/>
  <c r="BV1044" i="1"/>
  <c r="BV1036" i="1"/>
  <c r="BV1035" i="1"/>
  <c r="BV1046" i="1"/>
  <c r="BV1064" i="1"/>
  <c r="BV1090" i="1"/>
  <c r="BV1041" i="1"/>
  <c r="BV1037" i="1"/>
  <c r="BV1051" i="1"/>
  <c r="BV1048" i="1"/>
  <c r="BV1091" i="1"/>
  <c r="BV1053" i="1"/>
  <c r="BV1038" i="1"/>
  <c r="BV1055" i="1"/>
  <c r="BV1043" i="1"/>
  <c r="BV1063" i="1"/>
  <c r="BV1092" i="1"/>
  <c r="BV1045" i="1"/>
  <c r="BV1039" i="1"/>
  <c r="BV1062" i="1"/>
  <c r="BV1050" i="1"/>
  <c r="BV1047" i="1"/>
  <c r="BV1049" i="1"/>
  <c r="BV1040" i="1"/>
  <c r="BV1052" i="1"/>
  <c r="BV1054" i="1"/>
  <c r="BV1042" i="1"/>
  <c r="BV1089" i="1"/>
  <c r="AU1042" i="1"/>
  <c r="BZ1090" i="1"/>
  <c r="BZ1091" i="1"/>
  <c r="BZ1037" i="1"/>
  <c r="BZ1036" i="1"/>
  <c r="BH1041" i="1"/>
  <c r="BZ1038" i="1"/>
  <c r="BN1064" i="1"/>
  <c r="BZ1039" i="1"/>
  <c r="BH1063" i="1"/>
  <c r="BZ1035" i="1"/>
  <c r="AU1249" i="1"/>
  <c r="BZ1092" i="1"/>
  <c r="BZ1040" i="1"/>
  <c r="BZ1089" i="1"/>
  <c r="BZ1093" i="1"/>
  <c r="BZ1094" i="1"/>
  <c r="BZ1095" i="1"/>
  <c r="BZ1096" i="1"/>
  <c r="BZ1097" i="1"/>
  <c r="BZ1098" i="1"/>
  <c r="BZ1099" i="1"/>
  <c r="BZ1100" i="1"/>
  <c r="BZ1101" i="1"/>
  <c r="BZ1102" i="1"/>
  <c r="BZ1103" i="1"/>
  <c r="BZ1104" i="1"/>
  <c r="BZ1105" i="1"/>
  <c r="BZ1106" i="1"/>
  <c r="BZ1107" i="1"/>
  <c r="BZ1108" i="1"/>
  <c r="BZ1109" i="1"/>
  <c r="BZ1110" i="1"/>
  <c r="BZ1111" i="1"/>
  <c r="BZ1112" i="1"/>
  <c r="BZ1113" i="1"/>
  <c r="BZ1114" i="1"/>
  <c r="BZ1115" i="1"/>
  <c r="BZ1121" i="1"/>
  <c r="BZ1122" i="1"/>
  <c r="BZ1132" i="1"/>
  <c r="BZ1133" i="1"/>
  <c r="BZ1134" i="1"/>
  <c r="BZ1135" i="1"/>
  <c r="BZ1136" i="1"/>
  <c r="BZ1137" i="1"/>
  <c r="BZ1138" i="1"/>
  <c r="BZ1139" i="1"/>
  <c r="BZ1140" i="1"/>
  <c r="BZ1141" i="1"/>
  <c r="BZ1142" i="1"/>
  <c r="BZ1143" i="1"/>
  <c r="BZ1144" i="1"/>
  <c r="BZ1145" i="1"/>
  <c r="BZ1146" i="1"/>
  <c r="BZ1179" i="1"/>
  <c r="BZ1180" i="1"/>
  <c r="BJ1087" i="1"/>
  <c r="BJ1086" i="1"/>
  <c r="BJ1085" i="1"/>
  <c r="BJ1084" i="1"/>
  <c r="BJ1083" i="1"/>
  <c r="BL1087" i="1"/>
  <c r="BL1086" i="1"/>
  <c r="BL1085" i="1"/>
  <c r="BL1084" i="1"/>
  <c r="BL1083" i="1"/>
  <c r="BN1087" i="1"/>
  <c r="BN1086" i="1"/>
  <c r="BN1085" i="1"/>
  <c r="BN1084" i="1"/>
  <c r="BN1083" i="1"/>
  <c r="BW1087" i="1"/>
  <c r="BT1087" i="1"/>
  <c r="BS1087" i="1"/>
  <c r="BK1087" i="1"/>
  <c r="BI1087" i="1"/>
  <c r="BW1086" i="1"/>
  <c r="BT1086" i="1"/>
  <c r="BS1086" i="1"/>
  <c r="BK1086" i="1"/>
  <c r="BI1086" i="1"/>
  <c r="BW1085" i="1"/>
  <c r="BT1085" i="1"/>
  <c r="BS1085" i="1"/>
  <c r="BK1085" i="1"/>
  <c r="BI1085" i="1"/>
  <c r="BW1084" i="1"/>
  <c r="BT1084" i="1"/>
  <c r="BS1084" i="1"/>
  <c r="BK1084" i="1"/>
  <c r="BI1084" i="1"/>
  <c r="BW1083" i="1"/>
  <c r="BT1083" i="1"/>
  <c r="BS1083" i="1"/>
  <c r="BK1083" i="1"/>
  <c r="BI1083" i="1"/>
  <c r="BO1087" i="1"/>
  <c r="BO1086" i="1"/>
  <c r="BO1085" i="1"/>
  <c r="BO1084" i="1"/>
  <c r="BO1083" i="1"/>
  <c r="BJ1082" i="1"/>
  <c r="BJ1081" i="1"/>
  <c r="BJ1080" i="1"/>
  <c r="BJ1079" i="1"/>
  <c r="BJ1078" i="1"/>
  <c r="BL1082" i="1"/>
  <c r="BL1081" i="1"/>
  <c r="BL1080" i="1"/>
  <c r="BL1079" i="1"/>
  <c r="BL1078" i="1"/>
  <c r="BN1082" i="1"/>
  <c r="BN1081" i="1"/>
  <c r="BN1080" i="1"/>
  <c r="BN1079" i="1"/>
  <c r="BN1078" i="1"/>
  <c r="BW1082" i="1"/>
  <c r="BT1082" i="1"/>
  <c r="BS1082" i="1"/>
  <c r="BK1082" i="1"/>
  <c r="BI1082" i="1"/>
  <c r="BW1081" i="1"/>
  <c r="BT1081" i="1"/>
  <c r="BS1081" i="1"/>
  <c r="BK1081" i="1"/>
  <c r="BI1081" i="1"/>
  <c r="BW1080" i="1"/>
  <c r="BT1080" i="1"/>
  <c r="BS1080" i="1"/>
  <c r="BK1080" i="1"/>
  <c r="BI1080" i="1"/>
  <c r="BW1079" i="1"/>
  <c r="BT1079" i="1"/>
  <c r="BS1079" i="1"/>
  <c r="BK1079" i="1"/>
  <c r="BI1079" i="1"/>
  <c r="BW1078" i="1"/>
  <c r="BT1078" i="1"/>
  <c r="BS1078" i="1"/>
  <c r="BK1078" i="1"/>
  <c r="BI1078" i="1"/>
  <c r="BO1082" i="1"/>
  <c r="BO1081" i="1"/>
  <c r="BO1080" i="1"/>
  <c r="BO1079" i="1"/>
  <c r="BO1078" i="1"/>
  <c r="BJ1073" i="1"/>
  <c r="BJ1072" i="1"/>
  <c r="BJ1071" i="1"/>
  <c r="BJ1070" i="1"/>
  <c r="BJ1069" i="1"/>
  <c r="BJ1068" i="1"/>
  <c r="BJ1067" i="1"/>
  <c r="BJ1066" i="1"/>
  <c r="BJ1065" i="1"/>
  <c r="BL1073" i="1"/>
  <c r="BL1072" i="1"/>
  <c r="BL1071" i="1"/>
  <c r="BL1070" i="1"/>
  <c r="BR1069" i="1"/>
  <c r="BL1069" i="1"/>
  <c r="BL1068" i="1"/>
  <c r="BL1067" i="1"/>
  <c r="BL1066" i="1"/>
  <c r="BL1065" i="1"/>
  <c r="BN1073" i="1"/>
  <c r="BN1072" i="1"/>
  <c r="BN1071" i="1"/>
  <c r="BN1070" i="1"/>
  <c r="BN1069" i="1"/>
  <c r="BN1068" i="1"/>
  <c r="BN1067" i="1"/>
  <c r="BN1066" i="1"/>
  <c r="BN1065" i="1"/>
  <c r="BM1069" i="1"/>
  <c r="BW1073" i="1"/>
  <c r="BT1073" i="1"/>
  <c r="BS1073" i="1"/>
  <c r="BK1073" i="1"/>
  <c r="BI1073" i="1"/>
  <c r="BW1072" i="1"/>
  <c r="BT1072" i="1"/>
  <c r="BS1072" i="1"/>
  <c r="BK1072" i="1"/>
  <c r="BI1072" i="1"/>
  <c r="BW1071" i="1"/>
  <c r="BT1071" i="1"/>
  <c r="BS1071" i="1"/>
  <c r="BK1071" i="1"/>
  <c r="BI1071" i="1"/>
  <c r="BW1070" i="1"/>
  <c r="BT1070" i="1"/>
  <c r="BS1070" i="1"/>
  <c r="BK1070" i="1"/>
  <c r="BI1070" i="1"/>
  <c r="BW1069" i="1"/>
  <c r="BT1069" i="1"/>
  <c r="BS1069" i="1"/>
  <c r="BK1069" i="1"/>
  <c r="BI1069" i="1"/>
  <c r="BW1068" i="1"/>
  <c r="BT1068" i="1"/>
  <c r="BS1068" i="1"/>
  <c r="BK1068" i="1"/>
  <c r="BI1068" i="1"/>
  <c r="BW1067" i="1"/>
  <c r="BT1067" i="1"/>
  <c r="BS1067" i="1"/>
  <c r="BK1067" i="1"/>
  <c r="BI1067" i="1"/>
  <c r="BW1066" i="1"/>
  <c r="BT1066" i="1"/>
  <c r="BS1066" i="1"/>
  <c r="BK1066" i="1"/>
  <c r="BI1066" i="1"/>
  <c r="BW1065" i="1"/>
  <c r="BT1065" i="1"/>
  <c r="BS1065" i="1"/>
  <c r="BK1065" i="1"/>
  <c r="BI1065" i="1"/>
  <c r="BO1073" i="1"/>
  <c r="BO1072" i="1"/>
  <c r="BO1071" i="1"/>
  <c r="BO1070" i="1"/>
  <c r="BO1069" i="1"/>
  <c r="BO1068" i="1"/>
  <c r="BO1067" i="1"/>
  <c r="BO1066" i="1"/>
  <c r="BO1065" i="1"/>
  <c r="BH1068" i="1"/>
  <c r="BJ1088" i="1"/>
  <c r="BJ1077" i="1"/>
  <c r="BJ1076" i="1"/>
  <c r="BJ1075" i="1"/>
  <c r="BJ1074" i="1"/>
  <c r="BL1088" i="1"/>
  <c r="BL1077" i="1"/>
  <c r="BL1076" i="1"/>
  <c r="BL1075" i="1"/>
  <c r="BL1074" i="1"/>
  <c r="BN1088" i="1"/>
  <c r="BN1077" i="1"/>
  <c r="BN1076" i="1"/>
  <c r="BN1075" i="1"/>
  <c r="BN1074" i="1"/>
  <c r="BM1075" i="1"/>
  <c r="BW1088" i="1"/>
  <c r="BT1088" i="1"/>
  <c r="BS1088" i="1"/>
  <c r="BK1088" i="1"/>
  <c r="BI1088" i="1"/>
  <c r="BW1077" i="1"/>
  <c r="BT1077" i="1"/>
  <c r="BS1077" i="1"/>
  <c r="BK1077" i="1"/>
  <c r="BI1077" i="1"/>
  <c r="BW1076" i="1"/>
  <c r="BT1076" i="1"/>
  <c r="BS1076" i="1"/>
  <c r="BK1076" i="1"/>
  <c r="BI1076" i="1"/>
  <c r="BW1075" i="1"/>
  <c r="BT1075" i="1"/>
  <c r="BS1075" i="1"/>
  <c r="BK1075" i="1"/>
  <c r="BI1075" i="1"/>
  <c r="BW1074" i="1"/>
  <c r="BT1074" i="1"/>
  <c r="BS1074" i="1"/>
  <c r="BK1074" i="1"/>
  <c r="BI1074" i="1"/>
  <c r="BO1088" i="1"/>
  <c r="BO1077" i="1"/>
  <c r="BO1076" i="1"/>
  <c r="BO1075" i="1"/>
  <c r="BO1074" i="1"/>
  <c r="BH1088" i="1"/>
  <c r="BJ1061" i="1"/>
  <c r="BJ1060" i="1"/>
  <c r="BJ1059" i="1"/>
  <c r="BJ1058" i="1"/>
  <c r="BJ1057" i="1"/>
  <c r="BJ1056" i="1"/>
  <c r="BJ1055" i="1"/>
  <c r="BL1061" i="1"/>
  <c r="BL1060" i="1"/>
  <c r="BR1059" i="1"/>
  <c r="BL1059" i="1"/>
  <c r="BL1058" i="1"/>
  <c r="BL1057" i="1"/>
  <c r="BL1056" i="1"/>
  <c r="BL1055" i="1"/>
  <c r="BN1061" i="1"/>
  <c r="BN1060" i="1"/>
  <c r="BN1059" i="1"/>
  <c r="BN1058" i="1"/>
  <c r="BN1057" i="1"/>
  <c r="BN1056" i="1"/>
  <c r="BN1055" i="1"/>
  <c r="BW1061" i="1"/>
  <c r="BT1061" i="1"/>
  <c r="BS1061" i="1"/>
  <c r="BK1061" i="1"/>
  <c r="BI1061" i="1"/>
  <c r="BW1060" i="1"/>
  <c r="BT1060" i="1"/>
  <c r="BS1060" i="1"/>
  <c r="BK1060" i="1"/>
  <c r="BI1060" i="1"/>
  <c r="BW1059" i="1"/>
  <c r="BT1059" i="1"/>
  <c r="BS1059" i="1"/>
  <c r="BK1059" i="1"/>
  <c r="BI1059" i="1"/>
  <c r="BW1058" i="1"/>
  <c r="BT1058" i="1"/>
  <c r="BS1058" i="1"/>
  <c r="BK1058" i="1"/>
  <c r="BI1058" i="1"/>
  <c r="BW1057" i="1"/>
  <c r="BT1057" i="1"/>
  <c r="BS1057" i="1"/>
  <c r="BK1057" i="1"/>
  <c r="BI1057" i="1"/>
  <c r="BW1056" i="1"/>
  <c r="BT1056" i="1"/>
  <c r="BS1056" i="1"/>
  <c r="BK1056" i="1"/>
  <c r="BI1056" i="1"/>
  <c r="BW1055" i="1"/>
  <c r="BT1055" i="1"/>
  <c r="BS1055" i="1"/>
  <c r="BK1055" i="1"/>
  <c r="BI1055" i="1"/>
  <c r="BO1061" i="1"/>
  <c r="BO1060" i="1"/>
  <c r="BO1059" i="1"/>
  <c r="BO1058" i="1"/>
  <c r="BO1057" i="1"/>
  <c r="BO1056" i="1"/>
  <c r="BO1055" i="1"/>
  <c r="BJ1062" i="1"/>
  <c r="BJ1054" i="1"/>
  <c r="BJ1053" i="1"/>
  <c r="BJ1052" i="1"/>
  <c r="BJ1051" i="1"/>
  <c r="BJ1050" i="1"/>
  <c r="BL1062" i="1"/>
  <c r="BL1054" i="1"/>
  <c r="BL1053" i="1"/>
  <c r="BL1052" i="1"/>
  <c r="BL1051" i="1"/>
  <c r="BR1050" i="1"/>
  <c r="BL1050" i="1"/>
  <c r="BN1062" i="1"/>
  <c r="BN1054" i="1"/>
  <c r="BN1053" i="1"/>
  <c r="BN1052" i="1"/>
  <c r="BN1051" i="1"/>
  <c r="BN1050" i="1"/>
  <c r="BM1053" i="1"/>
  <c r="BW1062" i="1"/>
  <c r="BT1062" i="1"/>
  <c r="BS1062" i="1"/>
  <c r="BK1062" i="1"/>
  <c r="BI1062" i="1"/>
  <c r="BW1054" i="1"/>
  <c r="BT1054" i="1"/>
  <c r="BS1054" i="1"/>
  <c r="BK1054" i="1"/>
  <c r="BI1054" i="1"/>
  <c r="BW1053" i="1"/>
  <c r="BT1053" i="1"/>
  <c r="BS1053" i="1"/>
  <c r="BK1053" i="1"/>
  <c r="BI1053" i="1"/>
  <c r="BW1052" i="1"/>
  <c r="BT1052" i="1"/>
  <c r="BS1052" i="1"/>
  <c r="BK1052" i="1"/>
  <c r="BI1052" i="1"/>
  <c r="BW1051" i="1"/>
  <c r="BT1051" i="1"/>
  <c r="BS1051" i="1"/>
  <c r="BK1051" i="1"/>
  <c r="BI1051" i="1"/>
  <c r="BW1050" i="1"/>
  <c r="BT1050" i="1"/>
  <c r="BS1050" i="1"/>
  <c r="BK1050" i="1"/>
  <c r="BI1050" i="1"/>
  <c r="BO1062" i="1"/>
  <c r="BO1054" i="1"/>
  <c r="BO1053" i="1"/>
  <c r="BO1052" i="1"/>
  <c r="BO1051" i="1"/>
  <c r="BO1050" i="1"/>
  <c r="BJ1048" i="1"/>
  <c r="BJ1047" i="1"/>
  <c r="BJ1046" i="1"/>
  <c r="BJ1045" i="1"/>
  <c r="BJ1044" i="1"/>
  <c r="BJ1043" i="1"/>
  <c r="BL1048" i="1"/>
  <c r="BL1047" i="1"/>
  <c r="BL1046" i="1"/>
  <c r="BL1045" i="1"/>
  <c r="BL1044" i="1"/>
  <c r="BL1043" i="1"/>
  <c r="BN1048" i="1"/>
  <c r="BN1047" i="1"/>
  <c r="BN1046" i="1"/>
  <c r="BN1045" i="1"/>
  <c r="BN1044" i="1"/>
  <c r="BN1043" i="1"/>
  <c r="BQ1040" i="1"/>
  <c r="BQ1104" i="1"/>
  <c r="BQ1133" i="1"/>
  <c r="BM1043" i="1"/>
  <c r="BW1048" i="1"/>
  <c r="BT1048" i="1"/>
  <c r="BS1048" i="1"/>
  <c r="BK1048" i="1"/>
  <c r="BI1048" i="1"/>
  <c r="BW1047" i="1"/>
  <c r="BT1047" i="1"/>
  <c r="BS1047" i="1"/>
  <c r="BK1047" i="1"/>
  <c r="BI1047" i="1"/>
  <c r="BW1046" i="1"/>
  <c r="BT1046" i="1"/>
  <c r="BS1046" i="1"/>
  <c r="BK1046" i="1"/>
  <c r="BI1046" i="1"/>
  <c r="BW1045" i="1"/>
  <c r="BT1045" i="1"/>
  <c r="BS1045" i="1"/>
  <c r="BK1045" i="1"/>
  <c r="BI1045" i="1"/>
  <c r="BW1044" i="1"/>
  <c r="BT1044" i="1"/>
  <c r="BS1044" i="1"/>
  <c r="BK1044" i="1"/>
  <c r="BI1044" i="1"/>
  <c r="BW1043" i="1"/>
  <c r="BT1043" i="1"/>
  <c r="BS1043" i="1"/>
  <c r="BK1043" i="1"/>
  <c r="BI1043" i="1"/>
  <c r="BO1048" i="1"/>
  <c r="BO1047" i="1"/>
  <c r="BO1046" i="1"/>
  <c r="BO1045" i="1"/>
  <c r="BO1044" i="1"/>
  <c r="BO1043" i="1"/>
  <c r="BJ1064" i="1"/>
  <c r="BJ1063" i="1"/>
  <c r="BJ1049" i="1"/>
  <c r="BJ1042" i="1"/>
  <c r="BJ1041" i="1"/>
  <c r="BR1064" i="1"/>
  <c r="BL1064" i="1"/>
  <c r="BL1063" i="1"/>
  <c r="BL1049" i="1"/>
  <c r="BL1042" i="1"/>
  <c r="BL1041" i="1"/>
  <c r="BY1033" i="1"/>
  <c r="BG1033" i="1"/>
  <c r="BY1032" i="1"/>
  <c r="BG1032" i="1"/>
  <c r="BY1031" i="1"/>
  <c r="BG1031" i="1"/>
  <c r="BX1033" i="1"/>
  <c r="BX1032" i="1"/>
  <c r="BX1031" i="1"/>
  <c r="BW1033" i="1"/>
  <c r="BW1032" i="1"/>
  <c r="BW1031" i="1"/>
  <c r="BZ1033" i="1"/>
  <c r="BZ1032" i="1"/>
  <c r="BZ1031" i="1"/>
  <c r="BY1030" i="1"/>
  <c r="BG1030" i="1"/>
  <c r="BY1029" i="1"/>
  <c r="BG1029" i="1"/>
  <c r="BY1028" i="1"/>
  <c r="BG1028" i="1"/>
  <c r="BY1027" i="1"/>
  <c r="BG1027" i="1"/>
  <c r="BY1026" i="1"/>
  <c r="BG1026" i="1"/>
  <c r="BY1025" i="1"/>
  <c r="BG1025" i="1"/>
  <c r="BY1024" i="1"/>
  <c r="BG1024" i="1"/>
  <c r="BX1030" i="1"/>
  <c r="BX1029" i="1"/>
  <c r="BX1028" i="1"/>
  <c r="BX1027" i="1"/>
  <c r="BX1026" i="1"/>
  <c r="BX1025" i="1"/>
  <c r="BX1024" i="1"/>
  <c r="BW1030" i="1"/>
  <c r="BW1029" i="1"/>
  <c r="BW1028" i="1"/>
  <c r="BW1027" i="1"/>
  <c r="BW1026" i="1"/>
  <c r="BW1025" i="1"/>
  <c r="BW1024" i="1"/>
  <c r="BZ1030" i="1"/>
  <c r="BZ1029" i="1"/>
  <c r="BZ1028" i="1"/>
  <c r="BZ1027" i="1"/>
  <c r="BZ1026" i="1"/>
  <c r="BZ1025" i="1"/>
  <c r="BZ1024" i="1"/>
  <c r="BY1019" i="1"/>
  <c r="BG1019" i="1"/>
  <c r="BY1018" i="1"/>
  <c r="BG1018" i="1"/>
  <c r="BY1017" i="1"/>
  <c r="BG1017" i="1"/>
  <c r="BY1016" i="1"/>
  <c r="BG1016" i="1"/>
  <c r="BY1015" i="1"/>
  <c r="BG1015" i="1"/>
  <c r="BY1014" i="1"/>
  <c r="BG1014" i="1"/>
  <c r="BY1013" i="1"/>
  <c r="BG1013" i="1"/>
  <c r="BY1012" i="1"/>
  <c r="BG1012" i="1"/>
  <c r="BX1019" i="1"/>
  <c r="BX1018" i="1"/>
  <c r="BX1017" i="1"/>
  <c r="BX1016" i="1"/>
  <c r="BX1015" i="1"/>
  <c r="BX1014" i="1"/>
  <c r="BX1013" i="1"/>
  <c r="BX1012" i="1"/>
  <c r="BW1019" i="1"/>
  <c r="BW1018" i="1"/>
  <c r="BW1017" i="1"/>
  <c r="BW1016" i="1"/>
  <c r="BW1015" i="1"/>
  <c r="BW1014" i="1"/>
  <c r="BW1013" i="1"/>
  <c r="BW1012" i="1"/>
  <c r="BZ1019" i="1"/>
  <c r="BZ1018" i="1"/>
  <c r="BZ1017" i="1"/>
  <c r="BZ1016" i="1"/>
  <c r="BZ1015" i="1"/>
  <c r="BZ1014" i="1"/>
  <c r="BZ1013" i="1"/>
  <c r="BZ1012" i="1"/>
  <c r="BY1023" i="1"/>
  <c r="BG1023" i="1"/>
  <c r="BY1022" i="1"/>
  <c r="BG1022" i="1"/>
  <c r="BY1021" i="1"/>
  <c r="BG1021" i="1"/>
  <c r="BY1020" i="1"/>
  <c r="BG1020" i="1"/>
  <c r="BX1023" i="1"/>
  <c r="BX1022" i="1"/>
  <c r="BX1021" i="1"/>
  <c r="BX1020" i="1"/>
  <c r="BW1023" i="1"/>
  <c r="BW1022" i="1"/>
  <c r="BW1021" i="1"/>
  <c r="BW1020" i="1"/>
  <c r="BZ1023" i="1"/>
  <c r="BZ1022" i="1"/>
  <c r="BZ1021" i="1"/>
  <c r="BZ1020" i="1"/>
  <c r="BY991" i="1"/>
  <c r="BG991" i="1"/>
  <c r="BY990" i="1"/>
  <c r="BG990" i="1"/>
  <c r="BY989" i="1"/>
  <c r="BG989" i="1"/>
  <c r="BY988" i="1"/>
  <c r="BG988" i="1"/>
  <c r="BX991" i="1"/>
  <c r="BX990" i="1"/>
  <c r="BX989" i="1"/>
  <c r="BX988" i="1"/>
  <c r="BW991" i="1"/>
  <c r="BW990" i="1"/>
  <c r="BW989" i="1"/>
  <c r="BW988" i="1"/>
  <c r="BZ991" i="1"/>
  <c r="BZ990" i="1"/>
  <c r="BZ989" i="1"/>
  <c r="BZ988" i="1"/>
  <c r="BY987" i="1"/>
  <c r="BG987" i="1"/>
  <c r="BY986" i="1"/>
  <c r="BG986" i="1"/>
  <c r="BY985" i="1"/>
  <c r="BG985" i="1"/>
  <c r="BY984" i="1"/>
  <c r="BG984" i="1"/>
  <c r="AU1248" i="1"/>
  <c r="AU1247" i="1"/>
  <c r="BX987" i="1"/>
  <c r="BX986" i="1"/>
  <c r="BX985" i="1"/>
  <c r="BX984" i="1"/>
  <c r="BW987" i="1"/>
  <c r="BW986" i="1"/>
  <c r="BW985" i="1"/>
  <c r="BW984" i="1"/>
  <c r="BZ987" i="1"/>
  <c r="BZ986" i="1"/>
  <c r="BZ985" i="1"/>
  <c r="BZ984" i="1"/>
  <c r="BY992" i="1"/>
  <c r="BG992" i="1"/>
  <c r="BY983" i="1"/>
  <c r="BG983" i="1"/>
  <c r="BY982" i="1"/>
  <c r="BG982" i="1"/>
  <c r="BY981" i="1"/>
  <c r="BG981" i="1"/>
  <c r="BY980" i="1"/>
  <c r="BG980" i="1"/>
  <c r="BY979" i="1"/>
  <c r="BG979" i="1"/>
  <c r="BY978" i="1"/>
  <c r="BG978" i="1"/>
  <c r="BY977" i="1"/>
  <c r="BG977" i="1"/>
  <c r="BY976" i="1"/>
  <c r="BG976" i="1"/>
  <c r="BY975" i="1"/>
  <c r="BX992" i="1"/>
  <c r="BX983" i="1"/>
  <c r="BX982" i="1"/>
  <c r="BX981" i="1"/>
  <c r="BX980" i="1"/>
  <c r="BX979" i="1"/>
  <c r="BX978" i="1"/>
  <c r="BX977" i="1"/>
  <c r="BX976" i="1"/>
  <c r="BW992" i="1"/>
  <c r="BW983" i="1"/>
  <c r="BW982" i="1"/>
  <c r="BW981" i="1"/>
  <c r="BW980" i="1"/>
  <c r="BW979" i="1"/>
  <c r="BW978" i="1"/>
  <c r="BW977" i="1"/>
  <c r="BW976" i="1"/>
  <c r="BW975" i="1"/>
  <c r="BZ992" i="1"/>
  <c r="BZ983" i="1"/>
  <c r="BZ982" i="1"/>
  <c r="BZ981" i="1"/>
  <c r="BZ980" i="1"/>
  <c r="BZ979" i="1"/>
  <c r="BZ978" i="1"/>
  <c r="BZ977" i="1"/>
  <c r="BZ976" i="1"/>
  <c r="BZ975" i="1"/>
  <c r="BX975" i="1"/>
  <c r="BG975" i="1"/>
  <c r="AU975" i="1"/>
  <c r="BV974" i="1" s="1"/>
  <c r="BY973" i="1"/>
  <c r="BG973" i="1"/>
  <c r="BY972" i="1"/>
  <c r="BG972" i="1"/>
  <c r="BY971" i="1"/>
  <c r="BG971" i="1"/>
  <c r="BY970" i="1"/>
  <c r="BG970" i="1"/>
  <c r="BY969" i="1"/>
  <c r="BG969" i="1"/>
  <c r="BX973" i="1"/>
  <c r="BX972" i="1"/>
  <c r="BX971" i="1"/>
  <c r="BX970" i="1"/>
  <c r="BX969" i="1"/>
  <c r="BW973" i="1"/>
  <c r="BV973" i="1"/>
  <c r="BW972" i="1"/>
  <c r="BV972" i="1"/>
  <c r="BW971" i="1"/>
  <c r="BV971" i="1"/>
  <c r="BW970" i="1"/>
  <c r="BV970" i="1"/>
  <c r="BW969" i="1"/>
  <c r="BV969" i="1"/>
  <c r="BZ973" i="1"/>
  <c r="BZ972" i="1"/>
  <c r="BZ971" i="1"/>
  <c r="BZ970" i="1"/>
  <c r="BZ969" i="1"/>
  <c r="BY974" i="1"/>
  <c r="BG974" i="1"/>
  <c r="BY968" i="1"/>
  <c r="BG968" i="1"/>
  <c r="BY967" i="1"/>
  <c r="BG967" i="1"/>
  <c r="BY966" i="1"/>
  <c r="BG966" i="1"/>
  <c r="BX974" i="1"/>
  <c r="BX968" i="1"/>
  <c r="BX967" i="1"/>
  <c r="BX966" i="1"/>
  <c r="BW974" i="1"/>
  <c r="BW968" i="1"/>
  <c r="BV968" i="1"/>
  <c r="BW967" i="1"/>
  <c r="BV967" i="1"/>
  <c r="BW966" i="1"/>
  <c r="BV966" i="1"/>
  <c r="BZ974" i="1"/>
  <c r="BZ968" i="1"/>
  <c r="BZ967" i="1"/>
  <c r="BZ966" i="1"/>
  <c r="BY963" i="1"/>
  <c r="BG963" i="1"/>
  <c r="BY962" i="1"/>
  <c r="BG962" i="1"/>
  <c r="BY961" i="1"/>
  <c r="BG961" i="1"/>
  <c r="BY960" i="1"/>
  <c r="BG960" i="1"/>
  <c r="BY959" i="1"/>
  <c r="BG959" i="1"/>
  <c r="BY958" i="1"/>
  <c r="BG958" i="1"/>
  <c r="BX963" i="1"/>
  <c r="BX962" i="1"/>
  <c r="BX961" i="1"/>
  <c r="BX960" i="1"/>
  <c r="BX959" i="1"/>
  <c r="BX958" i="1"/>
  <c r="BW963" i="1"/>
  <c r="BV963" i="1"/>
  <c r="BW962" i="1"/>
  <c r="BV962" i="1"/>
  <c r="BW961" i="1"/>
  <c r="BV961" i="1"/>
  <c r="BW960" i="1"/>
  <c r="BV960" i="1"/>
  <c r="BW959" i="1"/>
  <c r="BV959" i="1"/>
  <c r="BW958" i="1"/>
  <c r="BV958" i="1"/>
  <c r="BZ963" i="1"/>
  <c r="BZ962" i="1"/>
  <c r="BZ961" i="1"/>
  <c r="BZ960" i="1"/>
  <c r="BZ959" i="1"/>
  <c r="BZ958" i="1"/>
  <c r="BY965" i="1"/>
  <c r="BG965" i="1"/>
  <c r="BY964" i="1"/>
  <c r="BG964" i="1"/>
  <c r="BY957" i="1"/>
  <c r="BG957" i="1"/>
  <c r="BY956" i="1"/>
  <c r="BG956" i="1"/>
  <c r="BX965" i="1"/>
  <c r="BX964" i="1"/>
  <c r="BX957" i="1"/>
  <c r="BX956" i="1"/>
  <c r="BW965" i="1"/>
  <c r="BW964" i="1"/>
  <c r="BV964" i="1"/>
  <c r="BW957" i="1"/>
  <c r="BV957" i="1"/>
  <c r="BW956" i="1"/>
  <c r="BV956" i="1"/>
  <c r="BZ965" i="1"/>
  <c r="BZ964" i="1"/>
  <c r="BZ957" i="1"/>
  <c r="BZ956" i="1"/>
  <c r="BY953" i="1"/>
  <c r="BG953" i="1"/>
  <c r="BY952" i="1"/>
  <c r="BG952" i="1"/>
  <c r="BY951" i="1"/>
  <c r="BG951" i="1"/>
  <c r="BY950" i="1"/>
  <c r="BG950" i="1"/>
  <c r="BY949" i="1"/>
  <c r="BG949" i="1"/>
  <c r="BY948" i="1"/>
  <c r="BG948" i="1"/>
  <c r="BX953" i="1"/>
  <c r="BX952" i="1"/>
  <c r="BX951" i="1"/>
  <c r="BX950" i="1"/>
  <c r="BX949" i="1"/>
  <c r="BX948" i="1"/>
  <c r="BW953" i="1"/>
  <c r="BV953" i="1"/>
  <c r="BW952" i="1"/>
  <c r="BV952" i="1"/>
  <c r="BW951" i="1"/>
  <c r="BV951" i="1"/>
  <c r="BW950" i="1"/>
  <c r="BV950" i="1"/>
  <c r="BW949" i="1"/>
  <c r="BV949" i="1"/>
  <c r="BW948" i="1"/>
  <c r="BV948" i="1"/>
  <c r="BZ953" i="1"/>
  <c r="BZ952" i="1"/>
  <c r="BZ951" i="1"/>
  <c r="BZ950" i="1"/>
  <c r="BZ949" i="1"/>
  <c r="BZ948" i="1"/>
  <c r="BY955" i="1"/>
  <c r="BG955" i="1"/>
  <c r="BY954" i="1"/>
  <c r="BG954" i="1"/>
  <c r="BX955" i="1"/>
  <c r="BX954" i="1"/>
  <c r="BW955" i="1"/>
  <c r="BV955" i="1"/>
  <c r="BW954" i="1"/>
  <c r="BV954" i="1"/>
  <c r="BZ955" i="1"/>
  <c r="BZ954" i="1"/>
  <c r="BY944" i="1"/>
  <c r="BG944" i="1"/>
  <c r="BY943" i="1"/>
  <c r="BG943" i="1"/>
  <c r="BY942" i="1"/>
  <c r="BG942" i="1"/>
  <c r="BY941" i="1"/>
  <c r="BG941" i="1"/>
  <c r="BY940" i="1"/>
  <c r="BG940" i="1"/>
  <c r="BY939" i="1"/>
  <c r="BG939" i="1"/>
  <c r="BX944" i="1"/>
  <c r="BX943" i="1"/>
  <c r="BX942" i="1"/>
  <c r="BX941" i="1"/>
  <c r="BX940" i="1"/>
  <c r="BX939" i="1"/>
  <c r="BW944" i="1"/>
  <c r="BV944" i="1"/>
  <c r="BW943" i="1"/>
  <c r="BV943" i="1"/>
  <c r="BW942" i="1"/>
  <c r="BV942" i="1"/>
  <c r="BW941" i="1"/>
  <c r="BV941" i="1"/>
  <c r="BW940" i="1"/>
  <c r="BV940" i="1"/>
  <c r="BW939" i="1"/>
  <c r="BV939" i="1"/>
  <c r="BZ944" i="1"/>
  <c r="BZ943" i="1"/>
  <c r="BZ942" i="1"/>
  <c r="BZ941" i="1"/>
  <c r="BZ940" i="1"/>
  <c r="BZ939" i="1"/>
  <c r="BY947" i="1"/>
  <c r="BG947" i="1"/>
  <c r="BY946" i="1"/>
  <c r="BG946" i="1"/>
  <c r="BY945" i="1"/>
  <c r="BG945" i="1"/>
  <c r="BX947" i="1"/>
  <c r="BX946" i="1"/>
  <c r="BX945" i="1"/>
  <c r="BW947" i="1"/>
  <c r="BV947" i="1"/>
  <c r="BW946" i="1"/>
  <c r="BV946" i="1"/>
  <c r="BW945" i="1"/>
  <c r="BV945" i="1"/>
  <c r="BZ947" i="1"/>
  <c r="BZ946" i="1"/>
  <c r="BZ945" i="1"/>
  <c r="BY931" i="1"/>
  <c r="BG931" i="1"/>
  <c r="BY930" i="1"/>
  <c r="BG930" i="1"/>
  <c r="BY929" i="1"/>
  <c r="BG929" i="1"/>
  <c r="BY928" i="1"/>
  <c r="BG928" i="1"/>
  <c r="BY927" i="1"/>
  <c r="BG927" i="1"/>
  <c r="BY926" i="1"/>
  <c r="BG926" i="1"/>
  <c r="BY925" i="1"/>
  <c r="BG925" i="1"/>
  <c r="BY924" i="1"/>
  <c r="BG924" i="1"/>
  <c r="BY923" i="1"/>
  <c r="BG923" i="1"/>
  <c r="BY922" i="1"/>
  <c r="BG922" i="1"/>
  <c r="BY921" i="1"/>
  <c r="BG921" i="1"/>
  <c r="BX931" i="1"/>
  <c r="BX930" i="1"/>
  <c r="BX929" i="1"/>
  <c r="BX928" i="1"/>
  <c r="BX927" i="1"/>
  <c r="BX926" i="1"/>
  <c r="BX925" i="1"/>
  <c r="BX924" i="1"/>
  <c r="BX923" i="1"/>
  <c r="BX922" i="1"/>
  <c r="BX921" i="1"/>
  <c r="BW931" i="1"/>
  <c r="BV931" i="1"/>
  <c r="BW930" i="1"/>
  <c r="BV930" i="1"/>
  <c r="BW929" i="1"/>
  <c r="BV929" i="1"/>
  <c r="BW928" i="1"/>
  <c r="BV928" i="1"/>
  <c r="BW927" i="1"/>
  <c r="BV927" i="1"/>
  <c r="BW926" i="1"/>
  <c r="BV926" i="1"/>
  <c r="BW925" i="1"/>
  <c r="BV925" i="1"/>
  <c r="BW924" i="1"/>
  <c r="BV924" i="1"/>
  <c r="BW923" i="1"/>
  <c r="BV923" i="1"/>
  <c r="BW922" i="1"/>
  <c r="BV922" i="1"/>
  <c r="BW921" i="1"/>
  <c r="BV921" i="1"/>
  <c r="BZ931" i="1"/>
  <c r="BZ930" i="1"/>
  <c r="BZ929" i="1"/>
  <c r="BZ928" i="1"/>
  <c r="BZ927" i="1"/>
  <c r="BZ926" i="1"/>
  <c r="BZ925" i="1"/>
  <c r="BZ924" i="1"/>
  <c r="BZ923" i="1"/>
  <c r="BZ922" i="1"/>
  <c r="BZ921" i="1"/>
  <c r="BY887" i="1"/>
  <c r="BG887" i="1"/>
  <c r="BY886" i="1"/>
  <c r="BG886" i="1"/>
  <c r="BY885" i="1"/>
  <c r="BG885" i="1"/>
  <c r="BY884" i="1"/>
  <c r="BG884" i="1"/>
  <c r="BY883" i="1"/>
  <c r="BG883" i="1"/>
  <c r="BX887" i="1"/>
  <c r="BX886" i="1"/>
  <c r="BX885" i="1"/>
  <c r="BX884" i="1"/>
  <c r="BX883" i="1"/>
  <c r="BW887" i="1"/>
  <c r="BV887" i="1"/>
  <c r="BW886" i="1"/>
  <c r="BV886" i="1"/>
  <c r="BW885" i="1"/>
  <c r="BV885" i="1"/>
  <c r="BW884" i="1"/>
  <c r="BV884" i="1"/>
  <c r="BW883" i="1"/>
  <c r="BV883" i="1"/>
  <c r="BZ887" i="1"/>
  <c r="BZ886" i="1"/>
  <c r="BZ885" i="1"/>
  <c r="BZ884" i="1"/>
  <c r="BZ883" i="1"/>
  <c r="BY888" i="1"/>
  <c r="BG888" i="1"/>
  <c r="BX888" i="1"/>
  <c r="BW888" i="1"/>
  <c r="BV888" i="1"/>
  <c r="BZ888" i="1"/>
  <c r="BY889" i="1"/>
  <c r="BG889" i="1"/>
  <c r="BX889" i="1"/>
  <c r="BW889" i="1"/>
  <c r="BV889" i="1"/>
  <c r="BZ889" i="1"/>
  <c r="BY890" i="1"/>
  <c r="BG890" i="1"/>
  <c r="BX890" i="1"/>
  <c r="BW890" i="1"/>
  <c r="BV890" i="1"/>
  <c r="BZ890" i="1"/>
  <c r="BY891" i="1"/>
  <c r="BG891" i="1"/>
  <c r="BX891" i="1"/>
  <c r="BW891" i="1"/>
  <c r="BV891" i="1"/>
  <c r="BZ891" i="1"/>
  <c r="BY920" i="1"/>
  <c r="BG920" i="1"/>
  <c r="BY919" i="1"/>
  <c r="BG919" i="1"/>
  <c r="BY918" i="1"/>
  <c r="BG918" i="1"/>
  <c r="BY917" i="1"/>
  <c r="BG917" i="1"/>
  <c r="BY916" i="1"/>
  <c r="BG916" i="1"/>
  <c r="BY915" i="1"/>
  <c r="BG915" i="1"/>
  <c r="BY914" i="1"/>
  <c r="BG914" i="1"/>
  <c r="BY913" i="1"/>
  <c r="BG913" i="1"/>
  <c r="BY912" i="1"/>
  <c r="BG912" i="1"/>
  <c r="BY911" i="1"/>
  <c r="BG911" i="1"/>
  <c r="BX920" i="1"/>
  <c r="BX919" i="1"/>
  <c r="BX918" i="1"/>
  <c r="BX917" i="1"/>
  <c r="BX916" i="1"/>
  <c r="BX915" i="1"/>
  <c r="BX914" i="1"/>
  <c r="BX913" i="1"/>
  <c r="BX912" i="1"/>
  <c r="BX911" i="1"/>
  <c r="BW920" i="1"/>
  <c r="BV920" i="1"/>
  <c r="BW919" i="1"/>
  <c r="BV919" i="1"/>
  <c r="BW918" i="1"/>
  <c r="BV918" i="1"/>
  <c r="BW917" i="1"/>
  <c r="BV917" i="1"/>
  <c r="BW916" i="1"/>
  <c r="BV916" i="1"/>
  <c r="BW915" i="1"/>
  <c r="BV915" i="1"/>
  <c r="BW914" i="1"/>
  <c r="BV914" i="1"/>
  <c r="BW913" i="1"/>
  <c r="BV913" i="1"/>
  <c r="BW912" i="1"/>
  <c r="BV912" i="1"/>
  <c r="BW911" i="1"/>
  <c r="BV911" i="1"/>
  <c r="BZ920" i="1"/>
  <c r="BZ919" i="1"/>
  <c r="BZ918" i="1"/>
  <c r="BZ917" i="1"/>
  <c r="BZ916" i="1"/>
  <c r="BZ915" i="1"/>
  <c r="BZ914" i="1"/>
  <c r="BZ913" i="1"/>
  <c r="BZ912" i="1"/>
  <c r="BZ911" i="1"/>
  <c r="BY936" i="1"/>
  <c r="BG936" i="1"/>
  <c r="BY935" i="1"/>
  <c r="BG935" i="1"/>
  <c r="BY934" i="1"/>
  <c r="BG934" i="1"/>
  <c r="BY933" i="1"/>
  <c r="BG933" i="1"/>
  <c r="BY932" i="1"/>
  <c r="BG932" i="1"/>
  <c r="BX936" i="1"/>
  <c r="BX935" i="1"/>
  <c r="BX934" i="1"/>
  <c r="BX933" i="1"/>
  <c r="BX932" i="1"/>
  <c r="BW936" i="1"/>
  <c r="BV936" i="1"/>
  <c r="BW935" i="1"/>
  <c r="BV935" i="1"/>
  <c r="BW934" i="1"/>
  <c r="BV934" i="1"/>
  <c r="BW933" i="1"/>
  <c r="BV933" i="1"/>
  <c r="BW932" i="1"/>
  <c r="BV932" i="1"/>
  <c r="BZ936" i="1"/>
  <c r="BZ935" i="1"/>
  <c r="BZ934" i="1"/>
  <c r="BZ933" i="1"/>
  <c r="BZ932" i="1"/>
  <c r="BY878" i="1"/>
  <c r="BG878" i="1"/>
  <c r="BY877" i="1"/>
  <c r="BG877" i="1"/>
  <c r="BY876" i="1"/>
  <c r="BG876" i="1"/>
  <c r="BY875" i="1"/>
  <c r="BG875" i="1"/>
  <c r="BY874" i="1"/>
  <c r="BG874" i="1"/>
  <c r="BY873" i="1"/>
  <c r="BG873" i="1"/>
  <c r="BY872" i="1"/>
  <c r="BG872" i="1"/>
  <c r="BX878" i="1"/>
  <c r="BX877" i="1"/>
  <c r="BX876" i="1"/>
  <c r="BX875" i="1"/>
  <c r="BX874" i="1"/>
  <c r="BX873" i="1"/>
  <c r="BX872" i="1"/>
  <c r="BW878" i="1"/>
  <c r="BV878" i="1"/>
  <c r="BW877" i="1"/>
  <c r="BV877" i="1"/>
  <c r="BW876" i="1"/>
  <c r="BV876" i="1"/>
  <c r="BW875" i="1"/>
  <c r="BV875" i="1"/>
  <c r="BW874" i="1"/>
  <c r="BV874" i="1"/>
  <c r="BW873" i="1"/>
  <c r="BV873" i="1"/>
  <c r="BW872" i="1"/>
  <c r="BV872" i="1"/>
  <c r="BZ878" i="1"/>
  <c r="BZ877" i="1"/>
  <c r="BZ876" i="1"/>
  <c r="BZ875" i="1"/>
  <c r="BZ874" i="1"/>
  <c r="BZ873" i="1"/>
  <c r="BZ872" i="1"/>
  <c r="BY881" i="1"/>
  <c r="BG881" i="1"/>
  <c r="BY880" i="1"/>
  <c r="BG880" i="1"/>
  <c r="BY879" i="1"/>
  <c r="BG879" i="1"/>
  <c r="BX881" i="1"/>
  <c r="BX880" i="1"/>
  <c r="BX879" i="1"/>
  <c r="BW881" i="1"/>
  <c r="BV881" i="1"/>
  <c r="BW880" i="1"/>
  <c r="BV880" i="1"/>
  <c r="BW879" i="1"/>
  <c r="BV879" i="1"/>
  <c r="BZ881" i="1"/>
  <c r="BZ880" i="1"/>
  <c r="BZ879" i="1"/>
  <c r="BY866" i="1"/>
  <c r="BG866" i="1"/>
  <c r="BY865" i="1"/>
  <c r="BG865" i="1"/>
  <c r="BY864" i="1"/>
  <c r="BG864" i="1"/>
  <c r="BY863" i="1"/>
  <c r="BG863" i="1"/>
  <c r="BY862" i="1"/>
  <c r="BG862" i="1"/>
  <c r="BY861" i="1"/>
  <c r="BG861" i="1"/>
  <c r="BY860" i="1"/>
  <c r="BG860" i="1"/>
  <c r="BY859" i="1"/>
  <c r="BG859" i="1"/>
  <c r="BX866" i="1"/>
  <c r="BX865" i="1"/>
  <c r="BX864" i="1"/>
  <c r="BX863" i="1"/>
  <c r="BX862" i="1"/>
  <c r="BX861" i="1"/>
  <c r="BX860" i="1"/>
  <c r="BX859" i="1"/>
  <c r="BW866" i="1"/>
  <c r="BV866" i="1"/>
  <c r="BW865" i="1"/>
  <c r="BV865" i="1"/>
  <c r="BW864" i="1"/>
  <c r="BV864" i="1"/>
  <c r="BW863" i="1"/>
  <c r="BV863" i="1"/>
  <c r="BW862" i="1"/>
  <c r="BV862" i="1"/>
  <c r="BW861" i="1"/>
  <c r="BV861" i="1"/>
  <c r="BW860" i="1"/>
  <c r="BV860" i="1"/>
  <c r="BW859" i="1"/>
  <c r="BV859" i="1"/>
  <c r="BZ866" i="1"/>
  <c r="BZ865" i="1"/>
  <c r="BZ864" i="1"/>
  <c r="BZ863" i="1"/>
  <c r="BZ862" i="1"/>
  <c r="BZ861" i="1"/>
  <c r="BZ860" i="1"/>
  <c r="BZ859" i="1"/>
  <c r="BY870" i="1"/>
  <c r="BG870" i="1"/>
  <c r="BY869" i="1"/>
  <c r="BG869" i="1"/>
  <c r="BY868" i="1"/>
  <c r="BG868" i="1"/>
  <c r="BY867" i="1"/>
  <c r="BG867" i="1"/>
  <c r="BX870" i="1"/>
  <c r="BX869" i="1"/>
  <c r="BX868" i="1"/>
  <c r="BX867" i="1"/>
  <c r="BW870" i="1"/>
  <c r="BV870" i="1"/>
  <c r="BW869" i="1"/>
  <c r="BV869" i="1"/>
  <c r="BW868" i="1"/>
  <c r="BV868" i="1"/>
  <c r="BW867" i="1"/>
  <c r="BV867" i="1"/>
  <c r="BZ870" i="1"/>
  <c r="BZ869" i="1"/>
  <c r="BZ868" i="1"/>
  <c r="BZ867" i="1"/>
  <c r="BY858" i="1"/>
  <c r="BG858" i="1"/>
  <c r="BY857" i="1"/>
  <c r="BG857" i="1"/>
  <c r="BY856" i="1"/>
  <c r="BG856" i="1"/>
  <c r="BY855" i="1"/>
  <c r="BG855" i="1"/>
  <c r="BX858" i="1"/>
  <c r="BX857" i="1"/>
  <c r="BX856" i="1"/>
  <c r="BX855" i="1"/>
  <c r="BW858" i="1"/>
  <c r="BV858" i="1"/>
  <c r="BW857" i="1"/>
  <c r="BV857" i="1"/>
  <c r="BW856" i="1"/>
  <c r="BV856" i="1"/>
  <c r="BW855" i="1"/>
  <c r="BV855" i="1"/>
  <c r="BZ858" i="1"/>
  <c r="BZ857" i="1"/>
  <c r="BZ856" i="1"/>
  <c r="BZ855" i="1"/>
  <c r="BY852" i="1"/>
  <c r="BG852" i="1"/>
  <c r="BY851" i="1"/>
  <c r="BG851" i="1"/>
  <c r="BY850" i="1"/>
  <c r="BG850" i="1"/>
  <c r="BY849" i="1"/>
  <c r="BG849" i="1"/>
  <c r="BY848" i="1"/>
  <c r="BG848" i="1"/>
  <c r="BY847" i="1"/>
  <c r="BG847" i="1"/>
  <c r="BX852" i="1"/>
  <c r="BX851" i="1"/>
  <c r="BX850" i="1"/>
  <c r="BX849" i="1"/>
  <c r="BX848" i="1"/>
  <c r="BX847" i="1"/>
  <c r="BW852" i="1"/>
  <c r="BV852" i="1"/>
  <c r="BW851" i="1"/>
  <c r="BV851" i="1"/>
  <c r="BW850" i="1"/>
  <c r="BV850" i="1"/>
  <c r="BW849" i="1"/>
  <c r="BV849" i="1"/>
  <c r="BW848" i="1"/>
  <c r="BV848" i="1"/>
  <c r="BW847" i="1"/>
  <c r="BV847" i="1"/>
  <c r="BZ852" i="1"/>
  <c r="BZ851" i="1"/>
  <c r="BZ850" i="1"/>
  <c r="BZ849" i="1"/>
  <c r="BZ848" i="1"/>
  <c r="BZ847" i="1"/>
  <c r="BY871" i="1"/>
  <c r="BG871" i="1"/>
  <c r="BY854" i="1"/>
  <c r="BG854" i="1"/>
  <c r="BY853" i="1"/>
  <c r="BG853" i="1"/>
  <c r="BX871" i="1"/>
  <c r="BX854" i="1"/>
  <c r="BX853" i="1"/>
  <c r="BW871" i="1"/>
  <c r="BV871" i="1"/>
  <c r="BW854" i="1"/>
  <c r="BV854" i="1"/>
  <c r="BW853" i="1"/>
  <c r="BV853" i="1"/>
  <c r="BZ871" i="1"/>
  <c r="BZ854" i="1"/>
  <c r="BZ853" i="1"/>
  <c r="BY882" i="1"/>
  <c r="BG882" i="1"/>
  <c r="BY846" i="1"/>
  <c r="BG846" i="1"/>
  <c r="BY845" i="1"/>
  <c r="BG845" i="1"/>
  <c r="BY844" i="1"/>
  <c r="BG844" i="1"/>
  <c r="BX882" i="1"/>
  <c r="BX846" i="1"/>
  <c r="BX845" i="1"/>
  <c r="BX844" i="1"/>
  <c r="BW882" i="1"/>
  <c r="BV882" i="1"/>
  <c r="BW846" i="1"/>
  <c r="BV846" i="1"/>
  <c r="BW845" i="1"/>
  <c r="BV845" i="1"/>
  <c r="BW844" i="1"/>
  <c r="BV844" i="1"/>
  <c r="BZ882" i="1"/>
  <c r="BZ846" i="1"/>
  <c r="BZ845" i="1"/>
  <c r="BZ844" i="1"/>
  <c r="BY840" i="1"/>
  <c r="BG840" i="1"/>
  <c r="BY839" i="1"/>
  <c r="BG839" i="1"/>
  <c r="BY838" i="1"/>
  <c r="BG838" i="1"/>
  <c r="BY837" i="1"/>
  <c r="BG837" i="1"/>
  <c r="BX840" i="1"/>
  <c r="BX839" i="1"/>
  <c r="BX838" i="1"/>
  <c r="BX837" i="1"/>
  <c r="BW840" i="1"/>
  <c r="BV840" i="1"/>
  <c r="BW839" i="1"/>
  <c r="BV839" i="1"/>
  <c r="BW838" i="1"/>
  <c r="BV838" i="1"/>
  <c r="BW837" i="1"/>
  <c r="BV837" i="1"/>
  <c r="BZ840" i="1"/>
  <c r="BZ839" i="1"/>
  <c r="BZ838" i="1"/>
  <c r="BZ837" i="1"/>
  <c r="BY843" i="1"/>
  <c r="BG843" i="1"/>
  <c r="BY842" i="1"/>
  <c r="BG842" i="1"/>
  <c r="BY841" i="1"/>
  <c r="BG841" i="1"/>
  <c r="BX843" i="1"/>
  <c r="BX842" i="1"/>
  <c r="BX841" i="1"/>
  <c r="BW843" i="1"/>
  <c r="BV843" i="1"/>
  <c r="BW842" i="1"/>
  <c r="BV842" i="1"/>
  <c r="BW841" i="1"/>
  <c r="BV841" i="1"/>
  <c r="BZ843" i="1"/>
  <c r="BZ842" i="1"/>
  <c r="BZ841" i="1"/>
  <c r="BY835" i="1"/>
  <c r="BG835" i="1"/>
  <c r="BY834" i="1"/>
  <c r="BG834" i="1"/>
  <c r="BY833" i="1"/>
  <c r="BG833" i="1"/>
  <c r="BY832" i="1"/>
  <c r="BG832" i="1"/>
  <c r="BX835" i="1"/>
  <c r="BX834" i="1"/>
  <c r="BX833" i="1"/>
  <c r="BX832" i="1"/>
  <c r="BW835" i="1"/>
  <c r="BV835" i="1"/>
  <c r="BW834" i="1"/>
  <c r="BV834" i="1"/>
  <c r="BW833" i="1"/>
  <c r="BV833" i="1"/>
  <c r="BW832" i="1"/>
  <c r="BV832" i="1"/>
  <c r="BZ835" i="1"/>
  <c r="BZ834" i="1"/>
  <c r="BZ833" i="1"/>
  <c r="BZ832" i="1"/>
  <c r="BY830" i="1"/>
  <c r="BG830" i="1"/>
  <c r="BY829" i="1"/>
  <c r="BG829" i="1"/>
  <c r="BY828" i="1"/>
  <c r="BG828" i="1"/>
  <c r="BY827" i="1"/>
  <c r="BG827" i="1"/>
  <c r="BY826" i="1"/>
  <c r="BG826" i="1"/>
  <c r="BX830" i="1"/>
  <c r="BX829" i="1"/>
  <c r="BX828" i="1"/>
  <c r="BX827" i="1"/>
  <c r="BX826" i="1"/>
  <c r="BW830" i="1"/>
  <c r="BV830" i="1"/>
  <c r="BW829" i="1"/>
  <c r="BV829" i="1"/>
  <c r="BW828" i="1"/>
  <c r="BV828" i="1"/>
  <c r="BW827" i="1"/>
  <c r="BV827" i="1"/>
  <c r="BW826" i="1"/>
  <c r="BV826" i="1"/>
  <c r="BZ830" i="1"/>
  <c r="BZ829" i="1"/>
  <c r="BZ828" i="1"/>
  <c r="BZ827" i="1"/>
  <c r="BZ826" i="1"/>
  <c r="BY831" i="1"/>
  <c r="BG831" i="1"/>
  <c r="BY825" i="1"/>
  <c r="BG825" i="1"/>
  <c r="BY824" i="1"/>
  <c r="BG824" i="1"/>
  <c r="BY823" i="1"/>
  <c r="BG823" i="1"/>
  <c r="BX831" i="1"/>
  <c r="BX825" i="1"/>
  <c r="BX824" i="1"/>
  <c r="BX823" i="1"/>
  <c r="BW831" i="1"/>
  <c r="BV831" i="1"/>
  <c r="BW825" i="1"/>
  <c r="BV825" i="1"/>
  <c r="BW824" i="1"/>
  <c r="BV824" i="1"/>
  <c r="BW823" i="1"/>
  <c r="BV823" i="1"/>
  <c r="BZ831" i="1"/>
  <c r="BZ825" i="1"/>
  <c r="BZ824" i="1"/>
  <c r="BZ823" i="1"/>
  <c r="BY820" i="1"/>
  <c r="BG820" i="1"/>
  <c r="BY819" i="1"/>
  <c r="BG819" i="1"/>
  <c r="BY818" i="1"/>
  <c r="BG818" i="1"/>
  <c r="BY817" i="1"/>
  <c r="BG817" i="1"/>
  <c r="BY816" i="1"/>
  <c r="BG816" i="1"/>
  <c r="BX820" i="1"/>
  <c r="BX819" i="1"/>
  <c r="BX818" i="1"/>
  <c r="BX817" i="1"/>
  <c r="BX816" i="1"/>
  <c r="BW820" i="1"/>
  <c r="BV820" i="1"/>
  <c r="BW819" i="1"/>
  <c r="BV819" i="1"/>
  <c r="BW818" i="1"/>
  <c r="BV818" i="1"/>
  <c r="BW817" i="1"/>
  <c r="BV817" i="1"/>
  <c r="BW816" i="1"/>
  <c r="BV816" i="1"/>
  <c r="BZ820" i="1"/>
  <c r="BZ819" i="1"/>
  <c r="BZ818" i="1"/>
  <c r="BZ817" i="1"/>
  <c r="BZ816" i="1"/>
  <c r="BY821" i="1"/>
  <c r="BG821" i="1"/>
  <c r="BY815" i="1"/>
  <c r="BG815" i="1"/>
  <c r="BY814" i="1"/>
  <c r="BG814" i="1"/>
  <c r="BY813" i="1"/>
  <c r="BG813" i="1"/>
  <c r="BY812" i="1"/>
  <c r="BG812" i="1"/>
  <c r="BY811" i="1"/>
  <c r="BG811" i="1"/>
  <c r="BX821" i="1"/>
  <c r="BX815" i="1"/>
  <c r="BX814" i="1"/>
  <c r="BX813" i="1"/>
  <c r="BX812" i="1"/>
  <c r="BX811" i="1"/>
  <c r="BW821" i="1"/>
  <c r="BV821" i="1"/>
  <c r="BW815" i="1"/>
  <c r="BV815" i="1"/>
  <c r="BW814" i="1"/>
  <c r="BV814" i="1"/>
  <c r="BW813" i="1"/>
  <c r="BV813" i="1"/>
  <c r="BW812" i="1"/>
  <c r="BV812" i="1"/>
  <c r="BW811" i="1"/>
  <c r="BV811" i="1"/>
  <c r="BZ821" i="1"/>
  <c r="BZ815" i="1"/>
  <c r="BZ814" i="1"/>
  <c r="BZ813" i="1"/>
  <c r="BZ812" i="1"/>
  <c r="BZ811" i="1"/>
  <c r="BY822" i="1"/>
  <c r="BG822" i="1"/>
  <c r="BY810" i="1"/>
  <c r="BG810" i="1"/>
  <c r="BY809" i="1"/>
  <c r="BG809" i="1"/>
  <c r="BY808" i="1"/>
  <c r="BG808" i="1"/>
  <c r="BY807" i="1"/>
  <c r="BG807" i="1"/>
  <c r="BX822" i="1"/>
  <c r="BX810" i="1"/>
  <c r="BX809" i="1"/>
  <c r="BX808" i="1"/>
  <c r="BX807" i="1"/>
  <c r="BW822" i="1"/>
  <c r="BV822" i="1"/>
  <c r="BW810" i="1"/>
  <c r="BV810" i="1"/>
  <c r="BW809" i="1"/>
  <c r="BV809" i="1"/>
  <c r="BW808" i="1"/>
  <c r="BV808" i="1"/>
  <c r="BW807" i="1"/>
  <c r="BV807" i="1"/>
  <c r="BZ822" i="1"/>
  <c r="BZ810" i="1"/>
  <c r="BZ809" i="1"/>
  <c r="BZ808" i="1"/>
  <c r="BZ807" i="1"/>
  <c r="BY892" i="1"/>
  <c r="BG892" i="1"/>
  <c r="BX892" i="1"/>
  <c r="BW892" i="1"/>
  <c r="BV892" i="1"/>
  <c r="BZ892" i="1"/>
  <c r="BY806" i="1"/>
  <c r="BG806" i="1"/>
  <c r="BY805" i="1"/>
  <c r="BG805" i="1"/>
  <c r="BY804" i="1"/>
  <c r="BG804" i="1"/>
  <c r="BX806" i="1"/>
  <c r="BX805" i="1"/>
  <c r="BX804" i="1"/>
  <c r="BW806" i="1"/>
  <c r="BV806" i="1"/>
  <c r="BW805" i="1"/>
  <c r="BV805" i="1"/>
  <c r="BW804" i="1"/>
  <c r="BV804" i="1"/>
  <c r="BZ806" i="1"/>
  <c r="BZ805" i="1"/>
  <c r="BZ804" i="1"/>
  <c r="BY801" i="1"/>
  <c r="BG801" i="1"/>
  <c r="BY800" i="1"/>
  <c r="BG800" i="1"/>
  <c r="BY799" i="1"/>
  <c r="BG799" i="1"/>
  <c r="BY798" i="1"/>
  <c r="BG798" i="1"/>
  <c r="BY797" i="1"/>
  <c r="BG797" i="1"/>
  <c r="BX801" i="1"/>
  <c r="BX800" i="1"/>
  <c r="BX799" i="1"/>
  <c r="BX798" i="1"/>
  <c r="BX797" i="1"/>
  <c r="BW801" i="1"/>
  <c r="BV801" i="1"/>
  <c r="BW800" i="1"/>
  <c r="BV800" i="1"/>
  <c r="BW799" i="1"/>
  <c r="BV799" i="1"/>
  <c r="BW798" i="1"/>
  <c r="BV798" i="1"/>
  <c r="BW797" i="1"/>
  <c r="BV797" i="1"/>
  <c r="BZ801" i="1"/>
  <c r="BZ800" i="1"/>
  <c r="BZ799" i="1"/>
  <c r="BZ798" i="1"/>
  <c r="BZ797" i="1"/>
  <c r="BY802" i="1"/>
  <c r="BG802" i="1"/>
  <c r="BY796" i="1"/>
  <c r="BG796" i="1"/>
  <c r="BY795" i="1"/>
  <c r="BG795" i="1"/>
  <c r="BY794" i="1"/>
  <c r="BG794" i="1"/>
  <c r="BX802" i="1"/>
  <c r="BX796" i="1"/>
  <c r="BX795" i="1"/>
  <c r="BX794" i="1"/>
  <c r="BW802" i="1"/>
  <c r="BV802" i="1"/>
  <c r="BW796" i="1"/>
  <c r="BV796" i="1"/>
  <c r="BW795" i="1"/>
  <c r="BV795" i="1"/>
  <c r="BW794" i="1"/>
  <c r="BV794" i="1"/>
  <c r="BZ802" i="1"/>
  <c r="BZ796" i="1"/>
  <c r="BZ795" i="1"/>
  <c r="BZ794" i="1"/>
  <c r="BY789" i="1"/>
  <c r="BG789" i="1"/>
  <c r="BY788" i="1"/>
  <c r="BG788" i="1"/>
  <c r="BY787" i="1"/>
  <c r="BG787" i="1"/>
  <c r="BY786" i="1"/>
  <c r="BG786" i="1"/>
  <c r="BY785" i="1"/>
  <c r="BG785" i="1"/>
  <c r="BY784" i="1"/>
  <c r="BG784" i="1"/>
  <c r="BX789" i="1"/>
  <c r="BX788" i="1"/>
  <c r="BX787" i="1"/>
  <c r="BX786" i="1"/>
  <c r="BX785" i="1"/>
  <c r="BX784" i="1"/>
  <c r="BW789" i="1"/>
  <c r="BV789" i="1"/>
  <c r="BW788" i="1"/>
  <c r="BV788" i="1"/>
  <c r="BW787" i="1"/>
  <c r="BV787" i="1"/>
  <c r="BW786" i="1"/>
  <c r="BV786" i="1"/>
  <c r="BW785" i="1"/>
  <c r="BV785" i="1"/>
  <c r="BW784" i="1"/>
  <c r="BV784" i="1"/>
  <c r="BZ789" i="1"/>
  <c r="BZ788" i="1"/>
  <c r="BZ787" i="1"/>
  <c r="BZ786" i="1"/>
  <c r="BZ785" i="1"/>
  <c r="BZ784" i="1"/>
  <c r="BY793" i="1"/>
  <c r="BG793" i="1"/>
  <c r="BY792" i="1"/>
  <c r="BG792" i="1"/>
  <c r="BY791" i="1"/>
  <c r="BG791" i="1"/>
  <c r="BY790" i="1"/>
  <c r="BG790" i="1"/>
  <c r="BX793" i="1"/>
  <c r="BX792" i="1"/>
  <c r="BX791" i="1"/>
  <c r="BX790" i="1"/>
  <c r="BW793" i="1"/>
  <c r="BV793" i="1"/>
  <c r="BW792" i="1"/>
  <c r="BV792" i="1"/>
  <c r="BW791" i="1"/>
  <c r="BV791" i="1"/>
  <c r="BW790" i="1"/>
  <c r="BV790" i="1"/>
  <c r="BZ793" i="1"/>
  <c r="BZ792" i="1"/>
  <c r="BZ791" i="1"/>
  <c r="BZ790" i="1"/>
  <c r="BY778" i="1"/>
  <c r="BG778" i="1"/>
  <c r="BY777" i="1"/>
  <c r="BG777" i="1"/>
  <c r="BY776" i="1"/>
  <c r="BG776" i="1"/>
  <c r="BY775" i="1"/>
  <c r="BG775" i="1"/>
  <c r="BY774" i="1"/>
  <c r="BG774" i="1"/>
  <c r="BY773" i="1"/>
  <c r="BG773" i="1"/>
  <c r="BY772" i="1"/>
  <c r="BG772" i="1"/>
  <c r="BY771" i="1"/>
  <c r="BG771" i="1"/>
  <c r="BX778" i="1"/>
  <c r="BX777" i="1"/>
  <c r="BX776" i="1"/>
  <c r="BX775" i="1"/>
  <c r="BX774" i="1"/>
  <c r="BX773" i="1"/>
  <c r="BX772" i="1"/>
  <c r="BX771" i="1"/>
  <c r="BW778" i="1"/>
  <c r="BV778" i="1"/>
  <c r="BW777" i="1"/>
  <c r="BV777" i="1"/>
  <c r="BW776" i="1"/>
  <c r="BV776" i="1"/>
  <c r="BW775" i="1"/>
  <c r="BV775" i="1"/>
  <c r="BW774" i="1"/>
  <c r="BV774" i="1"/>
  <c r="BW773" i="1"/>
  <c r="BV773" i="1"/>
  <c r="BW772" i="1"/>
  <c r="BV772" i="1"/>
  <c r="BW771" i="1"/>
  <c r="BV771" i="1"/>
  <c r="BZ778" i="1"/>
  <c r="BZ777" i="1"/>
  <c r="BZ776" i="1"/>
  <c r="BZ775" i="1"/>
  <c r="BZ774" i="1"/>
  <c r="BZ773" i="1"/>
  <c r="BZ772" i="1"/>
  <c r="BZ771" i="1"/>
  <c r="BY782" i="1"/>
  <c r="BG782" i="1"/>
  <c r="BY781" i="1"/>
  <c r="BG781" i="1"/>
  <c r="BY780" i="1"/>
  <c r="BG780" i="1"/>
  <c r="BY779" i="1"/>
  <c r="BG779" i="1"/>
  <c r="BX782" i="1"/>
  <c r="BX781" i="1"/>
  <c r="BX780" i="1"/>
  <c r="BX779" i="1"/>
  <c r="BW782" i="1"/>
  <c r="BV782" i="1"/>
  <c r="BW781" i="1"/>
  <c r="BV781" i="1"/>
  <c r="BW780" i="1"/>
  <c r="BV780" i="1"/>
  <c r="BW779" i="1"/>
  <c r="BV779" i="1"/>
  <c r="BZ782" i="1"/>
  <c r="BZ781" i="1"/>
  <c r="BZ780" i="1"/>
  <c r="BZ779" i="1"/>
  <c r="BY730" i="1"/>
  <c r="BG730" i="1"/>
  <c r="BY729" i="1"/>
  <c r="BG729" i="1"/>
  <c r="BY728" i="1"/>
  <c r="BG728" i="1"/>
  <c r="BY727" i="1"/>
  <c r="BG727" i="1"/>
  <c r="BX730" i="1"/>
  <c r="BX729" i="1"/>
  <c r="BX728" i="1"/>
  <c r="BX727" i="1"/>
  <c r="BW730" i="1"/>
  <c r="BV730" i="1"/>
  <c r="BW729" i="1"/>
  <c r="BV729" i="1"/>
  <c r="BW728" i="1"/>
  <c r="BV728" i="1"/>
  <c r="BW727" i="1"/>
  <c r="BV727" i="1"/>
  <c r="BZ730" i="1"/>
  <c r="BZ729" i="1"/>
  <c r="BZ728" i="1"/>
  <c r="BZ727" i="1"/>
  <c r="BY764" i="1"/>
  <c r="BG764" i="1"/>
  <c r="BY763" i="1"/>
  <c r="BG763" i="1"/>
  <c r="BY762" i="1"/>
  <c r="BG762" i="1"/>
  <c r="BY761" i="1"/>
  <c r="BG761" i="1"/>
  <c r="BY760" i="1"/>
  <c r="BG760" i="1"/>
  <c r="BY759" i="1"/>
  <c r="BG759" i="1"/>
  <c r="BY758" i="1"/>
  <c r="BG758" i="1"/>
  <c r="BY757" i="1"/>
  <c r="BG757" i="1"/>
  <c r="BY756" i="1"/>
  <c r="BG756" i="1"/>
  <c r="BY755" i="1"/>
  <c r="BG755" i="1"/>
  <c r="BX764" i="1"/>
  <c r="BX763" i="1"/>
  <c r="BX762" i="1"/>
  <c r="BX761" i="1"/>
  <c r="BX760" i="1"/>
  <c r="BX759" i="1"/>
  <c r="BX758" i="1"/>
  <c r="BX757" i="1"/>
  <c r="BX756" i="1"/>
  <c r="BX755" i="1"/>
  <c r="BW764" i="1"/>
  <c r="BV764" i="1"/>
  <c r="BW763" i="1"/>
  <c r="BV763" i="1"/>
  <c r="BW762" i="1"/>
  <c r="BV762" i="1"/>
  <c r="BW761" i="1"/>
  <c r="BV761" i="1"/>
  <c r="BW760" i="1"/>
  <c r="BV760" i="1"/>
  <c r="BW759" i="1"/>
  <c r="BV759" i="1"/>
  <c r="BW758" i="1"/>
  <c r="BV758" i="1"/>
  <c r="BW757" i="1"/>
  <c r="BV757" i="1"/>
  <c r="BW756" i="1"/>
  <c r="BV756" i="1"/>
  <c r="BW755" i="1"/>
  <c r="BV755" i="1"/>
  <c r="BZ764" i="1"/>
  <c r="BZ763" i="1"/>
  <c r="BZ762" i="1"/>
  <c r="BZ761" i="1"/>
  <c r="BZ760" i="1"/>
  <c r="BZ759" i="1"/>
  <c r="BZ758" i="1"/>
  <c r="BZ757" i="1"/>
  <c r="BZ756" i="1"/>
  <c r="BZ755" i="1"/>
  <c r="BY769" i="1"/>
  <c r="BG769" i="1"/>
  <c r="BY768" i="1"/>
  <c r="BG768" i="1"/>
  <c r="BY767" i="1"/>
  <c r="BG767" i="1"/>
  <c r="BY766" i="1"/>
  <c r="BG766" i="1"/>
  <c r="BY765" i="1"/>
  <c r="BG765" i="1"/>
  <c r="BX769" i="1"/>
  <c r="BX768" i="1"/>
  <c r="BX767" i="1"/>
  <c r="BX766" i="1"/>
  <c r="BX765" i="1"/>
  <c r="BW769" i="1"/>
  <c r="BV769" i="1"/>
  <c r="BW768" i="1"/>
  <c r="BV768" i="1"/>
  <c r="BW767" i="1"/>
  <c r="BV767" i="1"/>
  <c r="BW766" i="1"/>
  <c r="BV766" i="1"/>
  <c r="BW765" i="1"/>
  <c r="BV765" i="1"/>
  <c r="BZ769" i="1"/>
  <c r="BZ768" i="1"/>
  <c r="BZ767" i="1"/>
  <c r="BZ766" i="1"/>
  <c r="BZ765" i="1"/>
  <c r="BY726" i="1"/>
  <c r="BG726" i="1"/>
  <c r="BY725" i="1"/>
  <c r="BG725" i="1"/>
  <c r="BY724" i="1"/>
  <c r="BG724" i="1"/>
  <c r="BX726" i="1"/>
  <c r="BX725" i="1"/>
  <c r="BX724" i="1"/>
  <c r="BW726" i="1"/>
  <c r="BV726" i="1"/>
  <c r="BW725" i="1"/>
  <c r="BV725" i="1"/>
  <c r="BW724" i="1"/>
  <c r="BV724" i="1"/>
  <c r="BZ726" i="1"/>
  <c r="BZ725" i="1"/>
  <c r="BZ724" i="1"/>
  <c r="BY733" i="1"/>
  <c r="BG733" i="1"/>
  <c r="BY732" i="1"/>
  <c r="BG732" i="1"/>
  <c r="BY731" i="1"/>
  <c r="BG731" i="1"/>
  <c r="BY723" i="1"/>
  <c r="BG723" i="1"/>
  <c r="BX733" i="1"/>
  <c r="BX732" i="1"/>
  <c r="BX731" i="1"/>
  <c r="BX723" i="1"/>
  <c r="BW733" i="1"/>
  <c r="BV733" i="1"/>
  <c r="BW732" i="1"/>
  <c r="BV732" i="1"/>
  <c r="BW731" i="1"/>
  <c r="BV731" i="1"/>
  <c r="BW723" i="1"/>
  <c r="BV723" i="1"/>
  <c r="BZ733" i="1"/>
  <c r="BZ732" i="1"/>
  <c r="BZ731" i="1"/>
  <c r="BZ723" i="1"/>
  <c r="BY722" i="1"/>
  <c r="BG722" i="1"/>
  <c r="BY721" i="1"/>
  <c r="BG721" i="1"/>
  <c r="BY720" i="1"/>
  <c r="BG720" i="1"/>
  <c r="BX722" i="1"/>
  <c r="BX721" i="1"/>
  <c r="BX720" i="1"/>
  <c r="BW722" i="1"/>
  <c r="BV722" i="1"/>
  <c r="BW721" i="1"/>
  <c r="BV721" i="1"/>
  <c r="BW720" i="1"/>
  <c r="BV720" i="1"/>
  <c r="BZ722" i="1"/>
  <c r="BZ721" i="1"/>
  <c r="BZ720" i="1"/>
  <c r="BY716" i="1"/>
  <c r="BG716" i="1"/>
  <c r="BY715" i="1"/>
  <c r="BG715" i="1"/>
  <c r="BY714" i="1"/>
  <c r="BG714" i="1"/>
  <c r="BY713" i="1"/>
  <c r="BG713" i="1"/>
  <c r="BY712" i="1"/>
  <c r="BG712" i="1"/>
  <c r="BY711" i="1"/>
  <c r="BG711" i="1"/>
  <c r="BX716" i="1"/>
  <c r="BX715" i="1"/>
  <c r="BX714" i="1"/>
  <c r="BX713" i="1"/>
  <c r="BX712" i="1"/>
  <c r="BX711" i="1"/>
  <c r="BW716" i="1"/>
  <c r="BV716" i="1"/>
  <c r="BW715" i="1"/>
  <c r="BV715" i="1"/>
  <c r="BW714" i="1"/>
  <c r="BV714" i="1"/>
  <c r="BW713" i="1"/>
  <c r="BV713" i="1"/>
  <c r="BW712" i="1"/>
  <c r="BV712" i="1"/>
  <c r="BW711" i="1"/>
  <c r="BV711" i="1"/>
  <c r="BZ716" i="1"/>
  <c r="BZ715" i="1"/>
  <c r="BZ714" i="1"/>
  <c r="BZ713" i="1"/>
  <c r="BZ712" i="1"/>
  <c r="BZ711" i="1"/>
  <c r="BY719" i="1"/>
  <c r="BG719" i="1"/>
  <c r="BY718" i="1"/>
  <c r="BG718" i="1"/>
  <c r="BY717" i="1"/>
  <c r="BG717" i="1"/>
  <c r="BX719" i="1"/>
  <c r="BX718" i="1"/>
  <c r="BX717" i="1"/>
  <c r="BW719" i="1"/>
  <c r="BV719" i="1"/>
  <c r="BW718" i="1"/>
  <c r="BV718" i="1"/>
  <c r="BW717" i="1"/>
  <c r="BV717" i="1"/>
  <c r="BZ719" i="1"/>
  <c r="BZ718" i="1"/>
  <c r="BZ717" i="1"/>
  <c r="BY708" i="1"/>
  <c r="BG708" i="1"/>
  <c r="BY707" i="1"/>
  <c r="BG707" i="1"/>
  <c r="BX708" i="1"/>
  <c r="BX707" i="1"/>
  <c r="BW708" i="1"/>
  <c r="BV708" i="1"/>
  <c r="BW707" i="1"/>
  <c r="BV707" i="1"/>
  <c r="BZ708" i="1"/>
  <c r="BZ707" i="1"/>
  <c r="BY701" i="1"/>
  <c r="BG701" i="1"/>
  <c r="BY700" i="1"/>
  <c r="BG700" i="1"/>
  <c r="BY699" i="1"/>
  <c r="BG699" i="1"/>
  <c r="BY698" i="1"/>
  <c r="BG698" i="1"/>
  <c r="BY697" i="1"/>
  <c r="BG697" i="1"/>
  <c r="BY696" i="1"/>
  <c r="BG696" i="1"/>
  <c r="BY695" i="1"/>
  <c r="BG695" i="1"/>
  <c r="BY694" i="1"/>
  <c r="BG694" i="1"/>
  <c r="BY693" i="1"/>
  <c r="BG693" i="1"/>
  <c r="BY692" i="1"/>
  <c r="BG692" i="1"/>
  <c r="BX701" i="1"/>
  <c r="BX700" i="1"/>
  <c r="BX699" i="1"/>
  <c r="BX698" i="1"/>
  <c r="BX697" i="1"/>
  <c r="BX696" i="1"/>
  <c r="BX695" i="1"/>
  <c r="BX694" i="1"/>
  <c r="BX693" i="1"/>
  <c r="BX692" i="1"/>
  <c r="BW701" i="1"/>
  <c r="BV701" i="1"/>
  <c r="BW700" i="1"/>
  <c r="BV700" i="1"/>
  <c r="BW699" i="1"/>
  <c r="BV699" i="1"/>
  <c r="BW698" i="1"/>
  <c r="BV698" i="1"/>
  <c r="BW697" i="1"/>
  <c r="BV697" i="1"/>
  <c r="BW696" i="1"/>
  <c r="BV696" i="1"/>
  <c r="BW695" i="1"/>
  <c r="BV695" i="1"/>
  <c r="BW694" i="1"/>
  <c r="BV694" i="1"/>
  <c r="BW693" i="1"/>
  <c r="BV693" i="1"/>
  <c r="BW692" i="1"/>
  <c r="BV692" i="1"/>
  <c r="BZ701" i="1"/>
  <c r="BZ700" i="1"/>
  <c r="BZ699" i="1"/>
  <c r="BZ698" i="1"/>
  <c r="BZ697" i="1"/>
  <c r="BZ696" i="1"/>
  <c r="BZ695" i="1"/>
  <c r="BZ694" i="1"/>
  <c r="BZ693" i="1"/>
  <c r="BZ692" i="1"/>
  <c r="BY706" i="1"/>
  <c r="BG706" i="1"/>
  <c r="BY705" i="1"/>
  <c r="BG705" i="1"/>
  <c r="BY704" i="1"/>
  <c r="BG704" i="1"/>
  <c r="BY703" i="1"/>
  <c r="BG703" i="1"/>
  <c r="BY702" i="1"/>
  <c r="BG702" i="1"/>
  <c r="BX706" i="1"/>
  <c r="BX705" i="1"/>
  <c r="BX704" i="1"/>
  <c r="BX703" i="1"/>
  <c r="BX702" i="1"/>
  <c r="BW706" i="1"/>
  <c r="BV706" i="1"/>
  <c r="BW705" i="1"/>
  <c r="BV705" i="1"/>
  <c r="BW704" i="1"/>
  <c r="BV704" i="1"/>
  <c r="BW703" i="1"/>
  <c r="BV703" i="1"/>
  <c r="BW702" i="1"/>
  <c r="BV702" i="1"/>
  <c r="BZ706" i="1"/>
  <c r="BZ705" i="1"/>
  <c r="BZ704" i="1"/>
  <c r="BZ703" i="1"/>
  <c r="BZ702" i="1"/>
  <c r="BY754" i="1"/>
  <c r="BG754" i="1"/>
  <c r="BY753" i="1"/>
  <c r="BG753" i="1"/>
  <c r="BY752" i="1"/>
  <c r="BG752" i="1"/>
  <c r="BY751" i="1"/>
  <c r="BG751" i="1"/>
  <c r="BY750" i="1"/>
  <c r="BG750" i="1"/>
  <c r="BX754" i="1"/>
  <c r="BX753" i="1"/>
  <c r="BX752" i="1"/>
  <c r="BX751" i="1"/>
  <c r="BX750" i="1"/>
  <c r="BW754" i="1"/>
  <c r="BV754" i="1"/>
  <c r="BW753" i="1"/>
  <c r="BV753" i="1"/>
  <c r="BW752" i="1"/>
  <c r="BV752" i="1"/>
  <c r="BW751" i="1"/>
  <c r="BV751" i="1"/>
  <c r="BW750" i="1"/>
  <c r="BV750" i="1"/>
  <c r="BZ754" i="1"/>
  <c r="BZ753" i="1"/>
  <c r="BZ752" i="1"/>
  <c r="BZ751" i="1"/>
  <c r="BZ750" i="1"/>
  <c r="BY1006" i="1"/>
  <c r="BG1006" i="1"/>
  <c r="BY1005" i="1"/>
  <c r="BG1005" i="1"/>
  <c r="BY1004" i="1"/>
  <c r="BG1004" i="1"/>
  <c r="BY1003" i="1"/>
  <c r="BG1003" i="1"/>
  <c r="BY1002" i="1"/>
  <c r="BG1002" i="1"/>
  <c r="BY1001" i="1"/>
  <c r="BG1001" i="1"/>
  <c r="BY1000" i="1"/>
  <c r="BG1000" i="1"/>
  <c r="BY999" i="1"/>
  <c r="BG999" i="1"/>
  <c r="BY998" i="1"/>
  <c r="BG998" i="1"/>
  <c r="BX1006" i="1"/>
  <c r="BX1005" i="1"/>
  <c r="BX1004" i="1"/>
  <c r="BX1003" i="1"/>
  <c r="BX1002" i="1"/>
  <c r="BX1001" i="1"/>
  <c r="BX1000" i="1"/>
  <c r="BX999" i="1"/>
  <c r="BX998" i="1"/>
  <c r="BW1006" i="1"/>
  <c r="BV1006" i="1"/>
  <c r="BW1005" i="1"/>
  <c r="BV1005" i="1"/>
  <c r="BW1004" i="1"/>
  <c r="BV1004" i="1"/>
  <c r="BW1003" i="1"/>
  <c r="BV1003" i="1"/>
  <c r="BW1002" i="1"/>
  <c r="BV1002" i="1"/>
  <c r="BW1001" i="1"/>
  <c r="BV1001" i="1"/>
  <c r="BW1000" i="1"/>
  <c r="BV1000" i="1"/>
  <c r="BW999" i="1"/>
  <c r="BV999" i="1"/>
  <c r="BW998" i="1"/>
  <c r="BV998" i="1"/>
  <c r="BZ1006" i="1"/>
  <c r="BZ1005" i="1"/>
  <c r="BZ1004" i="1"/>
  <c r="BZ1003" i="1"/>
  <c r="BZ1002" i="1"/>
  <c r="BZ1001" i="1"/>
  <c r="BZ1000" i="1"/>
  <c r="BZ999" i="1"/>
  <c r="BZ998" i="1"/>
  <c r="BY1011" i="1"/>
  <c r="BG1011" i="1"/>
  <c r="BY1010" i="1"/>
  <c r="BG1010" i="1"/>
  <c r="BY1009" i="1"/>
  <c r="BG1009" i="1"/>
  <c r="BY1008" i="1"/>
  <c r="BG1008" i="1"/>
  <c r="BY1007" i="1"/>
  <c r="BG1007" i="1"/>
  <c r="BX1011" i="1"/>
  <c r="BX1010" i="1"/>
  <c r="BX1009" i="1"/>
  <c r="BX1008" i="1"/>
  <c r="BX1007" i="1"/>
  <c r="BW1011" i="1"/>
  <c r="BV1011" i="1"/>
  <c r="BW1010" i="1"/>
  <c r="BV1010" i="1"/>
  <c r="BW1009" i="1"/>
  <c r="BV1009" i="1"/>
  <c r="BW1008" i="1"/>
  <c r="BV1008" i="1"/>
  <c r="BW1007" i="1"/>
  <c r="BV1007" i="1"/>
  <c r="BZ1011" i="1"/>
  <c r="BZ1010" i="1"/>
  <c r="BZ1009" i="1"/>
  <c r="BZ1008" i="1"/>
  <c r="BZ1007" i="1"/>
  <c r="BY906" i="1"/>
  <c r="BG906" i="1"/>
  <c r="BY905" i="1"/>
  <c r="BG905" i="1"/>
  <c r="BY904" i="1"/>
  <c r="BG904" i="1"/>
  <c r="BY903" i="1"/>
  <c r="BG903" i="1"/>
  <c r="BY902" i="1"/>
  <c r="BG902" i="1"/>
  <c r="BY901" i="1"/>
  <c r="BG901" i="1"/>
  <c r="BY900" i="1"/>
  <c r="BG900" i="1"/>
  <c r="BY899" i="1"/>
  <c r="BG899" i="1"/>
  <c r="BY898" i="1"/>
  <c r="BG898" i="1"/>
  <c r="BY897" i="1"/>
  <c r="BG897" i="1"/>
  <c r="BX906" i="1"/>
  <c r="BX905" i="1"/>
  <c r="BX904" i="1"/>
  <c r="BX903" i="1"/>
  <c r="BX902" i="1"/>
  <c r="BX901" i="1"/>
  <c r="BX900" i="1"/>
  <c r="BX899" i="1"/>
  <c r="BX898" i="1"/>
  <c r="BX897" i="1"/>
  <c r="BW906" i="1"/>
  <c r="BV906" i="1"/>
  <c r="BW905" i="1"/>
  <c r="BV905" i="1"/>
  <c r="BW904" i="1"/>
  <c r="BV904" i="1"/>
  <c r="BW903" i="1"/>
  <c r="BV903" i="1"/>
  <c r="BW902" i="1"/>
  <c r="BV902" i="1"/>
  <c r="BW901" i="1"/>
  <c r="BV901" i="1"/>
  <c r="BW900" i="1"/>
  <c r="BV900" i="1"/>
  <c r="BW899" i="1"/>
  <c r="BV899" i="1"/>
  <c r="BW898" i="1"/>
  <c r="BV898" i="1"/>
  <c r="BW897" i="1"/>
  <c r="BV897" i="1"/>
  <c r="BZ906" i="1"/>
  <c r="BZ905" i="1"/>
  <c r="BZ904" i="1"/>
  <c r="BZ903" i="1"/>
  <c r="BZ902" i="1"/>
  <c r="BZ901" i="1"/>
  <c r="BZ900" i="1"/>
  <c r="BZ899" i="1"/>
  <c r="BZ898" i="1"/>
  <c r="BZ897" i="1"/>
  <c r="BY937" i="1"/>
  <c r="BG937" i="1"/>
  <c r="BY910" i="1"/>
  <c r="BG910" i="1"/>
  <c r="BY909" i="1"/>
  <c r="BG909" i="1"/>
  <c r="BY908" i="1"/>
  <c r="BG908" i="1"/>
  <c r="BY907" i="1"/>
  <c r="BG907" i="1"/>
  <c r="BX937" i="1"/>
  <c r="BX910" i="1"/>
  <c r="BX909" i="1"/>
  <c r="BX908" i="1"/>
  <c r="BX907" i="1"/>
  <c r="BW937" i="1"/>
  <c r="BV937" i="1"/>
  <c r="BW910" i="1"/>
  <c r="BV910" i="1"/>
  <c r="BW909" i="1"/>
  <c r="BV909" i="1"/>
  <c r="BW908" i="1"/>
  <c r="BV908" i="1"/>
  <c r="BW907" i="1"/>
  <c r="BV907" i="1"/>
  <c r="BZ937" i="1"/>
  <c r="BZ910" i="1"/>
  <c r="BZ909" i="1"/>
  <c r="BZ908" i="1"/>
  <c r="BZ907" i="1"/>
  <c r="BG997" i="1"/>
  <c r="BW997" i="1"/>
  <c r="BY995" i="1"/>
  <c r="BG995" i="1"/>
  <c r="BY994" i="1"/>
  <c r="BG994" i="1"/>
  <c r="BY993" i="1"/>
  <c r="BG993" i="1"/>
  <c r="BY938" i="1"/>
  <c r="BG938" i="1"/>
  <c r="BG896" i="1"/>
  <c r="BX995" i="1"/>
  <c r="BX994" i="1"/>
  <c r="BX993" i="1"/>
  <c r="BX938" i="1"/>
  <c r="BW995" i="1"/>
  <c r="BV995" i="1"/>
  <c r="BW994" i="1"/>
  <c r="BV994" i="1"/>
  <c r="BW993" i="1"/>
  <c r="BV993" i="1"/>
  <c r="BW938" i="1"/>
  <c r="BV938" i="1"/>
  <c r="BW896" i="1"/>
  <c r="BZ995" i="1"/>
  <c r="BZ994" i="1"/>
  <c r="BZ993" i="1"/>
  <c r="BZ938" i="1"/>
  <c r="BY836" i="1"/>
  <c r="BG836" i="1"/>
  <c r="BY803" i="1"/>
  <c r="BG803" i="1"/>
  <c r="BY783" i="1"/>
  <c r="BG783" i="1"/>
  <c r="BY770" i="1"/>
  <c r="BG770" i="1"/>
  <c r="BY749" i="1"/>
  <c r="BG749" i="1"/>
  <c r="BY748" i="1"/>
  <c r="BG748" i="1"/>
  <c r="BY747" i="1"/>
  <c r="BG747" i="1"/>
  <c r="BX836" i="1"/>
  <c r="BX803" i="1"/>
  <c r="BX783" i="1"/>
  <c r="BX770" i="1"/>
  <c r="BX749" i="1"/>
  <c r="BX748" i="1"/>
  <c r="BX747" i="1"/>
  <c r="BW836" i="1"/>
  <c r="BV836" i="1"/>
  <c r="BW803" i="1"/>
  <c r="BV803" i="1"/>
  <c r="BW783" i="1"/>
  <c r="BV783" i="1"/>
  <c r="BW770" i="1"/>
  <c r="BV770" i="1"/>
  <c r="BW749" i="1"/>
  <c r="BV749" i="1"/>
  <c r="BW748" i="1"/>
  <c r="BV748" i="1"/>
  <c r="BW747" i="1"/>
  <c r="BV747" i="1"/>
  <c r="BZ836" i="1"/>
  <c r="BZ803" i="1"/>
  <c r="BZ783" i="1"/>
  <c r="BZ770" i="1"/>
  <c r="BZ749" i="1"/>
  <c r="BZ748" i="1"/>
  <c r="BZ747" i="1"/>
  <c r="BY893" i="1"/>
  <c r="BG893" i="1"/>
  <c r="BY746" i="1"/>
  <c r="BG746" i="1"/>
  <c r="BY745" i="1"/>
  <c r="BG745" i="1"/>
  <c r="BY744" i="1"/>
  <c r="BG744" i="1"/>
  <c r="BY743" i="1"/>
  <c r="BG743" i="1"/>
  <c r="BY742" i="1"/>
  <c r="BG742" i="1"/>
  <c r="BY741" i="1"/>
  <c r="BG741" i="1"/>
  <c r="BX893" i="1"/>
  <c r="BX746" i="1"/>
  <c r="BX745" i="1"/>
  <c r="BX744" i="1"/>
  <c r="BX743" i="1"/>
  <c r="BX742" i="1"/>
  <c r="BX741" i="1"/>
  <c r="BW893" i="1"/>
  <c r="BV893" i="1"/>
  <c r="BW746" i="1"/>
  <c r="BV746" i="1"/>
  <c r="BW745" i="1"/>
  <c r="BV745" i="1"/>
  <c r="BW744" i="1"/>
  <c r="BV744" i="1"/>
  <c r="BW743" i="1"/>
  <c r="BV743" i="1"/>
  <c r="BW742" i="1"/>
  <c r="BV742" i="1"/>
  <c r="BW741" i="1"/>
  <c r="BV741" i="1"/>
  <c r="BZ893" i="1"/>
  <c r="BZ746" i="1"/>
  <c r="BZ745" i="1"/>
  <c r="BZ744" i="1"/>
  <c r="BZ743" i="1"/>
  <c r="BZ742" i="1"/>
  <c r="BZ741" i="1"/>
  <c r="BY895" i="1"/>
  <c r="BG895" i="1"/>
  <c r="BY894" i="1"/>
  <c r="BG894" i="1"/>
  <c r="BY740" i="1"/>
  <c r="BG740" i="1"/>
  <c r="BX895" i="1"/>
  <c r="BX894" i="1"/>
  <c r="BX740" i="1"/>
  <c r="BW895" i="1"/>
  <c r="BV895" i="1"/>
  <c r="BW894" i="1"/>
  <c r="BV894" i="1"/>
  <c r="BW740" i="1"/>
  <c r="BV740" i="1"/>
  <c r="BZ895" i="1"/>
  <c r="BZ894" i="1"/>
  <c r="BZ740" i="1"/>
  <c r="BY689" i="1"/>
  <c r="BG689" i="1"/>
  <c r="BY688" i="1"/>
  <c r="BG688" i="1"/>
  <c r="BY687" i="1"/>
  <c r="BG687" i="1"/>
  <c r="BY686" i="1"/>
  <c r="BG686" i="1"/>
  <c r="BY685" i="1"/>
  <c r="BG685" i="1"/>
  <c r="BY684" i="1"/>
  <c r="BG684" i="1"/>
  <c r="BY683" i="1"/>
  <c r="BG683" i="1"/>
  <c r="BX689" i="1"/>
  <c r="BX688" i="1"/>
  <c r="BX687" i="1"/>
  <c r="BX686" i="1"/>
  <c r="BX685" i="1"/>
  <c r="BX684" i="1"/>
  <c r="BX683" i="1"/>
  <c r="BW689" i="1"/>
  <c r="BV689" i="1"/>
  <c r="BW688" i="1"/>
  <c r="BV688" i="1"/>
  <c r="BW687" i="1"/>
  <c r="BV687" i="1"/>
  <c r="BW686" i="1"/>
  <c r="BV686" i="1"/>
  <c r="BW685" i="1"/>
  <c r="BV685" i="1"/>
  <c r="BW684" i="1"/>
  <c r="BV684" i="1"/>
  <c r="BW683" i="1"/>
  <c r="BV683" i="1"/>
  <c r="BZ689" i="1"/>
  <c r="BZ688" i="1"/>
  <c r="BZ687" i="1"/>
  <c r="BZ686" i="1"/>
  <c r="BZ685" i="1"/>
  <c r="BZ684" i="1"/>
  <c r="BZ683" i="1"/>
  <c r="BY709" i="1"/>
  <c r="BG709" i="1"/>
  <c r="BY691" i="1"/>
  <c r="BG691" i="1"/>
  <c r="BY690" i="1"/>
  <c r="BG690" i="1"/>
  <c r="BX709" i="1"/>
  <c r="BX691" i="1"/>
  <c r="BX690" i="1"/>
  <c r="BW709" i="1"/>
  <c r="BV709" i="1"/>
  <c r="BW691" i="1"/>
  <c r="BV691" i="1"/>
  <c r="BW690" i="1"/>
  <c r="BV690" i="1"/>
  <c r="BZ709" i="1"/>
  <c r="BZ691" i="1"/>
  <c r="BZ690" i="1"/>
  <c r="BY682" i="1"/>
  <c r="BG682" i="1"/>
  <c r="BY681" i="1"/>
  <c r="BG681" i="1"/>
  <c r="BY680" i="1"/>
  <c r="BG680" i="1"/>
  <c r="BY679" i="1"/>
  <c r="BG679" i="1"/>
  <c r="BX682" i="1"/>
  <c r="BX681" i="1"/>
  <c r="BX680" i="1"/>
  <c r="BX679" i="1"/>
  <c r="BW682" i="1"/>
  <c r="BV682" i="1"/>
  <c r="BW681" i="1"/>
  <c r="BV681" i="1"/>
  <c r="BW680" i="1"/>
  <c r="BV680" i="1"/>
  <c r="BW679" i="1"/>
  <c r="BV679" i="1"/>
  <c r="BZ682" i="1"/>
  <c r="BZ681" i="1"/>
  <c r="BZ680" i="1"/>
  <c r="BZ679" i="1"/>
  <c r="BY678" i="1"/>
  <c r="BG678" i="1"/>
  <c r="BY677" i="1"/>
  <c r="BG677" i="1"/>
  <c r="BY676" i="1"/>
  <c r="BG676" i="1"/>
  <c r="BY675" i="1"/>
  <c r="BG675" i="1"/>
  <c r="BX678" i="1"/>
  <c r="BX677" i="1"/>
  <c r="BX676" i="1"/>
  <c r="BX675" i="1"/>
  <c r="BW678" i="1"/>
  <c r="BV678" i="1"/>
  <c r="BW677" i="1"/>
  <c r="BV677" i="1"/>
  <c r="BW676" i="1"/>
  <c r="BV676" i="1"/>
  <c r="BW675" i="1"/>
  <c r="BV675" i="1"/>
  <c r="BZ678" i="1"/>
  <c r="BZ677" i="1"/>
  <c r="BZ676" i="1"/>
  <c r="BZ675" i="1"/>
  <c r="BY734" i="1"/>
  <c r="BG734" i="1"/>
  <c r="BY710" i="1"/>
  <c r="BG710" i="1"/>
  <c r="BX734" i="1"/>
  <c r="BX710" i="1"/>
  <c r="BW734" i="1"/>
  <c r="BV734" i="1"/>
  <c r="BW710" i="1"/>
  <c r="BV710" i="1"/>
  <c r="BZ734" i="1"/>
  <c r="BZ710" i="1"/>
  <c r="BG658" i="1"/>
  <c r="BY739" i="1"/>
  <c r="BG739" i="1"/>
  <c r="BY658" i="1"/>
  <c r="BX739" i="1"/>
  <c r="BX658" i="1"/>
  <c r="BW739" i="1"/>
  <c r="BV739" i="1"/>
  <c r="BV658" i="1"/>
  <c r="BW658" i="1"/>
  <c r="BZ739" i="1"/>
  <c r="BZ658" i="1"/>
  <c r="BY669" i="1"/>
  <c r="BG669" i="1"/>
  <c r="BY668" i="1"/>
  <c r="BG668" i="1"/>
  <c r="BY667" i="1"/>
  <c r="BG667" i="1"/>
  <c r="BY666" i="1"/>
  <c r="BG666" i="1"/>
  <c r="BY665" i="1"/>
  <c r="BG665" i="1"/>
  <c r="BY664" i="1"/>
  <c r="BG664" i="1"/>
  <c r="BY663" i="1"/>
  <c r="BG663" i="1"/>
  <c r="BY662" i="1"/>
  <c r="BG662" i="1"/>
  <c r="BY661" i="1"/>
  <c r="BG661" i="1"/>
  <c r="BY660" i="1"/>
  <c r="BG660" i="1"/>
  <c r="BY659" i="1"/>
  <c r="BG659" i="1"/>
  <c r="BY657" i="1"/>
  <c r="BG657" i="1"/>
  <c r="BY656" i="1"/>
  <c r="BG656" i="1"/>
  <c r="BX669" i="1"/>
  <c r="BX668" i="1"/>
  <c r="BX667" i="1"/>
  <c r="BX666" i="1"/>
  <c r="BX665" i="1"/>
  <c r="BX664" i="1"/>
  <c r="BX663" i="1"/>
  <c r="BX662" i="1"/>
  <c r="BX661" i="1"/>
  <c r="BX660" i="1"/>
  <c r="BX659" i="1"/>
  <c r="BX657" i="1"/>
  <c r="BX656" i="1"/>
  <c r="BW669" i="1"/>
  <c r="BV669" i="1"/>
  <c r="BW668" i="1"/>
  <c r="BV668" i="1"/>
  <c r="BW667" i="1"/>
  <c r="BV667" i="1"/>
  <c r="BW666" i="1"/>
  <c r="BV666" i="1"/>
  <c r="BW665" i="1"/>
  <c r="BV665" i="1"/>
  <c r="BW664" i="1"/>
  <c r="BV664" i="1"/>
  <c r="BW663" i="1"/>
  <c r="BV663" i="1"/>
  <c r="BW662" i="1"/>
  <c r="BV662" i="1"/>
  <c r="BW661" i="1"/>
  <c r="BV661" i="1"/>
  <c r="BW660" i="1"/>
  <c r="BV660" i="1"/>
  <c r="BW659" i="1"/>
  <c r="BV659" i="1"/>
  <c r="BW657" i="1"/>
  <c r="BV657" i="1"/>
  <c r="BW656" i="1"/>
  <c r="BV656" i="1"/>
  <c r="BZ669" i="1"/>
  <c r="BZ668" i="1"/>
  <c r="BZ667" i="1"/>
  <c r="BZ666" i="1"/>
  <c r="BZ665" i="1"/>
  <c r="BZ664" i="1"/>
  <c r="BZ663" i="1"/>
  <c r="BZ662" i="1"/>
  <c r="BZ661" i="1"/>
  <c r="BZ660" i="1"/>
  <c r="BZ659" i="1"/>
  <c r="BZ657" i="1"/>
  <c r="BZ656" i="1"/>
  <c r="BY736" i="1"/>
  <c r="BG736" i="1"/>
  <c r="BY735" i="1"/>
  <c r="BG735" i="1"/>
  <c r="BY674" i="1"/>
  <c r="BG674" i="1"/>
  <c r="BY673" i="1"/>
  <c r="BG673" i="1"/>
  <c r="BY672" i="1"/>
  <c r="BG672" i="1"/>
  <c r="BY671" i="1"/>
  <c r="BG671" i="1"/>
  <c r="BY670" i="1"/>
  <c r="BG670" i="1"/>
  <c r="BX736" i="1"/>
  <c r="BX735" i="1"/>
  <c r="BX674" i="1"/>
  <c r="BX673" i="1"/>
  <c r="BX672" i="1"/>
  <c r="BX671" i="1"/>
  <c r="BX670" i="1"/>
  <c r="BW736" i="1"/>
  <c r="BV736" i="1"/>
  <c r="BW735" i="1"/>
  <c r="BV735" i="1"/>
  <c r="BW674" i="1"/>
  <c r="BV674" i="1"/>
  <c r="BW673" i="1"/>
  <c r="BV673" i="1"/>
  <c r="BW672" i="1"/>
  <c r="BV672" i="1"/>
  <c r="BW671" i="1"/>
  <c r="BV671" i="1"/>
  <c r="BW670" i="1"/>
  <c r="BV670" i="1"/>
  <c r="BZ736" i="1"/>
  <c r="BZ735" i="1"/>
  <c r="BZ674" i="1"/>
  <c r="BZ673" i="1"/>
  <c r="BZ672" i="1"/>
  <c r="BZ671" i="1"/>
  <c r="BZ670" i="1"/>
  <c r="BY738" i="1"/>
  <c r="BG738" i="1"/>
  <c r="BY737" i="1"/>
  <c r="BG737" i="1"/>
  <c r="BY655" i="1"/>
  <c r="BG655" i="1"/>
  <c r="BY654" i="1"/>
  <c r="BG654" i="1"/>
  <c r="BX738" i="1"/>
  <c r="BX737" i="1"/>
  <c r="BX655" i="1"/>
  <c r="BX654" i="1"/>
  <c r="BW738" i="1"/>
  <c r="BV738" i="1"/>
  <c r="BW737" i="1"/>
  <c r="BV737" i="1"/>
  <c r="BW655" i="1"/>
  <c r="BV655" i="1"/>
  <c r="BW654" i="1"/>
  <c r="BV654" i="1"/>
  <c r="BZ738" i="1"/>
  <c r="BZ737" i="1"/>
  <c r="BZ655" i="1"/>
  <c r="BZ654" i="1"/>
  <c r="BY653" i="1"/>
  <c r="BG653" i="1"/>
  <c r="BY652" i="1"/>
  <c r="BG652" i="1"/>
  <c r="BY651" i="1"/>
  <c r="BG651" i="1"/>
  <c r="BX653" i="1"/>
  <c r="BX652" i="1"/>
  <c r="BX651" i="1"/>
  <c r="BW653" i="1"/>
  <c r="BV653" i="1"/>
  <c r="BW652" i="1"/>
  <c r="BV652" i="1"/>
  <c r="BW651" i="1"/>
  <c r="BV651" i="1"/>
  <c r="BZ653" i="1"/>
  <c r="BZ652" i="1"/>
  <c r="BZ651" i="1"/>
  <c r="BY650" i="1"/>
  <c r="BG650" i="1"/>
  <c r="BY649" i="1"/>
  <c r="BG649" i="1"/>
  <c r="BY648" i="1"/>
  <c r="BG648" i="1"/>
  <c r="BX650" i="1"/>
  <c r="BX649" i="1"/>
  <c r="BX648" i="1"/>
  <c r="BW650" i="1"/>
  <c r="BV650" i="1"/>
  <c r="BW649" i="1"/>
  <c r="BV649" i="1"/>
  <c r="BW648" i="1"/>
  <c r="BV648" i="1"/>
  <c r="BZ650" i="1"/>
  <c r="BZ649" i="1"/>
  <c r="BZ648" i="1"/>
  <c r="BY643" i="1"/>
  <c r="BG643" i="1"/>
  <c r="BY642" i="1"/>
  <c r="BG642" i="1"/>
  <c r="BY641" i="1"/>
  <c r="BG641" i="1"/>
  <c r="BY640" i="1"/>
  <c r="BG640" i="1"/>
  <c r="BY639" i="1"/>
  <c r="BG639" i="1"/>
  <c r="BY638" i="1"/>
  <c r="BG638" i="1"/>
  <c r="BY637" i="1"/>
  <c r="BG637" i="1"/>
  <c r="BY636" i="1"/>
  <c r="BG636" i="1"/>
  <c r="BX643" i="1"/>
  <c r="BX642" i="1"/>
  <c r="BX641" i="1"/>
  <c r="BX640" i="1"/>
  <c r="BX639" i="1"/>
  <c r="BX638" i="1"/>
  <c r="BX637" i="1"/>
  <c r="BX636" i="1"/>
  <c r="BW643" i="1"/>
  <c r="BV643" i="1"/>
  <c r="BW642" i="1"/>
  <c r="BV642" i="1"/>
  <c r="BW641" i="1"/>
  <c r="BV641" i="1"/>
  <c r="BW640" i="1"/>
  <c r="BV640" i="1"/>
  <c r="BW639" i="1"/>
  <c r="BV639" i="1"/>
  <c r="BW638" i="1"/>
  <c r="BV638" i="1"/>
  <c r="BW637" i="1"/>
  <c r="BV637" i="1"/>
  <c r="BW636" i="1"/>
  <c r="BV636" i="1"/>
  <c r="BZ643" i="1"/>
  <c r="BZ642" i="1"/>
  <c r="BZ641" i="1"/>
  <c r="BZ640" i="1"/>
  <c r="BZ639" i="1"/>
  <c r="BZ638" i="1"/>
  <c r="BZ637" i="1"/>
  <c r="BZ636" i="1"/>
  <c r="BY647" i="1"/>
  <c r="BG647" i="1"/>
  <c r="BY646" i="1"/>
  <c r="BG646" i="1"/>
  <c r="BY645" i="1"/>
  <c r="BG645" i="1"/>
  <c r="BY644" i="1"/>
  <c r="BG644" i="1"/>
  <c r="BX647" i="1"/>
  <c r="BX646" i="1"/>
  <c r="BX645" i="1"/>
  <c r="BX644" i="1"/>
  <c r="BW647" i="1"/>
  <c r="BV647" i="1"/>
  <c r="BW646" i="1"/>
  <c r="BV646" i="1"/>
  <c r="BW645" i="1"/>
  <c r="BV645" i="1"/>
  <c r="BW644" i="1"/>
  <c r="BV644" i="1"/>
  <c r="BZ647" i="1"/>
  <c r="BZ646" i="1"/>
  <c r="BZ645" i="1"/>
  <c r="BZ644" i="1"/>
  <c r="BY633" i="1"/>
  <c r="BG633" i="1"/>
  <c r="BY632" i="1"/>
  <c r="BG632" i="1"/>
  <c r="BY631" i="1"/>
  <c r="BG631" i="1"/>
  <c r="BY630" i="1"/>
  <c r="BG630" i="1"/>
  <c r="BY629" i="1"/>
  <c r="BG629" i="1"/>
  <c r="BX633" i="1"/>
  <c r="BX632" i="1"/>
  <c r="BX631" i="1"/>
  <c r="BX630" i="1"/>
  <c r="BX629" i="1"/>
  <c r="BW633" i="1"/>
  <c r="BV633" i="1"/>
  <c r="BW632" i="1"/>
  <c r="BV632" i="1"/>
  <c r="BW631" i="1"/>
  <c r="BV631" i="1"/>
  <c r="BW630" i="1"/>
  <c r="BV630" i="1"/>
  <c r="BW629" i="1"/>
  <c r="BV629" i="1"/>
  <c r="BZ633" i="1"/>
  <c r="BZ632" i="1"/>
  <c r="BZ631" i="1"/>
  <c r="BZ630" i="1"/>
  <c r="BZ629" i="1"/>
  <c r="BY996" i="1"/>
  <c r="BG996" i="1"/>
  <c r="BY635" i="1"/>
  <c r="BG635" i="1"/>
  <c r="BY634" i="1"/>
  <c r="BG634" i="1"/>
  <c r="BX996" i="1"/>
  <c r="BX635" i="1"/>
  <c r="BX634" i="1"/>
  <c r="BW996" i="1"/>
  <c r="BV996" i="1"/>
  <c r="BW635" i="1"/>
  <c r="BV635" i="1"/>
  <c r="BW634" i="1"/>
  <c r="BV634" i="1"/>
  <c r="BZ996" i="1"/>
  <c r="BZ635" i="1"/>
  <c r="BZ634" i="1"/>
  <c r="BY627" i="1"/>
  <c r="BG627" i="1"/>
  <c r="BY626" i="1"/>
  <c r="BG626" i="1"/>
  <c r="BY625" i="1"/>
  <c r="BG625" i="1"/>
  <c r="BY624" i="1"/>
  <c r="BG624" i="1"/>
  <c r="BX627" i="1"/>
  <c r="BX626" i="1"/>
  <c r="BX625" i="1"/>
  <c r="BX624" i="1"/>
  <c r="BW627" i="1"/>
  <c r="BV627" i="1"/>
  <c r="BW626" i="1"/>
  <c r="BV626" i="1"/>
  <c r="BW625" i="1"/>
  <c r="BV625" i="1"/>
  <c r="BW624" i="1"/>
  <c r="BV624" i="1"/>
  <c r="BZ627" i="1"/>
  <c r="BZ626" i="1"/>
  <c r="BZ625" i="1"/>
  <c r="BZ624" i="1"/>
  <c r="BY617" i="1"/>
  <c r="BG617" i="1"/>
  <c r="BY616" i="1"/>
  <c r="BG616" i="1"/>
  <c r="BY615" i="1"/>
  <c r="BG615" i="1"/>
  <c r="BY614" i="1"/>
  <c r="BG614" i="1"/>
  <c r="BY613" i="1"/>
  <c r="BG613" i="1"/>
  <c r="BY612" i="1"/>
  <c r="BG612" i="1"/>
  <c r="BY611" i="1"/>
  <c r="BG611" i="1"/>
  <c r="BY610" i="1"/>
  <c r="BG610" i="1"/>
  <c r="BY609" i="1"/>
  <c r="BG609" i="1"/>
  <c r="BY608" i="1"/>
  <c r="BG608" i="1"/>
  <c r="BX617" i="1"/>
  <c r="BX616" i="1"/>
  <c r="BX615" i="1"/>
  <c r="BX614" i="1"/>
  <c r="BX613" i="1"/>
  <c r="BX612" i="1"/>
  <c r="BX611" i="1"/>
  <c r="BX610" i="1"/>
  <c r="BX609" i="1"/>
  <c r="BX608" i="1"/>
  <c r="BW617" i="1"/>
  <c r="BV617" i="1"/>
  <c r="BW616" i="1"/>
  <c r="BV616" i="1"/>
  <c r="BW615" i="1"/>
  <c r="BV615" i="1"/>
  <c r="BW614" i="1"/>
  <c r="BV614" i="1"/>
  <c r="BW613" i="1"/>
  <c r="BV613" i="1"/>
  <c r="BW612" i="1"/>
  <c r="BV612" i="1"/>
  <c r="BW611" i="1"/>
  <c r="BV611" i="1"/>
  <c r="BW610" i="1"/>
  <c r="BV610" i="1"/>
  <c r="BW609" i="1"/>
  <c r="BV609" i="1"/>
  <c r="BW608" i="1"/>
  <c r="BV608" i="1"/>
  <c r="BZ617" i="1"/>
  <c r="BZ616" i="1"/>
  <c r="BZ615" i="1"/>
  <c r="BZ614" i="1"/>
  <c r="BZ613" i="1"/>
  <c r="BZ612" i="1"/>
  <c r="BZ611" i="1"/>
  <c r="BZ610" i="1"/>
  <c r="BZ609" i="1"/>
  <c r="BZ608" i="1"/>
  <c r="BY622" i="1"/>
  <c r="BG622" i="1"/>
  <c r="BY621" i="1"/>
  <c r="BG621" i="1"/>
  <c r="BY620" i="1"/>
  <c r="BG620" i="1"/>
  <c r="BY619" i="1"/>
  <c r="BG619" i="1"/>
  <c r="BY618" i="1"/>
  <c r="BG618" i="1"/>
  <c r="BX622" i="1"/>
  <c r="BX621" i="1"/>
  <c r="BX620" i="1"/>
  <c r="BX619" i="1"/>
  <c r="BX618" i="1"/>
  <c r="BW622" i="1"/>
  <c r="BV622" i="1"/>
  <c r="BW621" i="1"/>
  <c r="BV621" i="1"/>
  <c r="BW620" i="1"/>
  <c r="BV620" i="1"/>
  <c r="BW619" i="1"/>
  <c r="BV619" i="1"/>
  <c r="BW618" i="1"/>
  <c r="BV618" i="1"/>
  <c r="BZ622" i="1"/>
  <c r="BZ621" i="1"/>
  <c r="BZ620" i="1"/>
  <c r="BZ619" i="1"/>
  <c r="BZ618" i="1"/>
  <c r="BY602" i="1"/>
  <c r="BG602" i="1"/>
  <c r="BY601" i="1"/>
  <c r="BG601" i="1"/>
  <c r="BY600" i="1"/>
  <c r="BG600" i="1"/>
  <c r="BY599" i="1"/>
  <c r="BG599" i="1"/>
  <c r="BY598" i="1"/>
  <c r="BG598" i="1"/>
  <c r="BY597" i="1"/>
  <c r="BG597" i="1"/>
  <c r="BY596" i="1"/>
  <c r="BG596" i="1"/>
  <c r="BY595" i="1"/>
  <c r="BG595" i="1"/>
  <c r="BX602" i="1"/>
  <c r="BX601" i="1"/>
  <c r="BX600" i="1"/>
  <c r="BX599" i="1"/>
  <c r="BX598" i="1"/>
  <c r="BX597" i="1"/>
  <c r="BX596" i="1"/>
  <c r="BX595" i="1"/>
  <c r="BW602" i="1"/>
  <c r="BV602" i="1"/>
  <c r="BW601" i="1"/>
  <c r="BV601" i="1"/>
  <c r="BW600" i="1"/>
  <c r="BV600" i="1"/>
  <c r="BW599" i="1"/>
  <c r="BV599" i="1"/>
  <c r="BW598" i="1"/>
  <c r="BV598" i="1"/>
  <c r="BW597" i="1"/>
  <c r="BV597" i="1"/>
  <c r="BW596" i="1"/>
  <c r="BV596" i="1"/>
  <c r="BW595" i="1"/>
  <c r="BV595" i="1"/>
  <c r="BZ602" i="1"/>
  <c r="BZ601" i="1"/>
  <c r="BZ600" i="1"/>
  <c r="BZ599" i="1"/>
  <c r="BZ598" i="1"/>
  <c r="BZ597" i="1"/>
  <c r="BZ596" i="1"/>
  <c r="BZ595" i="1"/>
  <c r="BY605" i="1"/>
  <c r="BG605" i="1"/>
  <c r="BY604" i="1"/>
  <c r="BG604" i="1"/>
  <c r="BY603" i="1"/>
  <c r="BG603" i="1"/>
  <c r="BY594" i="1"/>
  <c r="BG594" i="1"/>
  <c r="BY593" i="1"/>
  <c r="BG593" i="1"/>
  <c r="BY592" i="1"/>
  <c r="BG592" i="1"/>
  <c r="BX605" i="1"/>
  <c r="BX604" i="1"/>
  <c r="BX603" i="1"/>
  <c r="BX594" i="1"/>
  <c r="BX593" i="1"/>
  <c r="BX592" i="1"/>
  <c r="BW605" i="1"/>
  <c r="BV605" i="1"/>
  <c r="BW604" i="1"/>
  <c r="BV604" i="1"/>
  <c r="BW603" i="1"/>
  <c r="BV603" i="1"/>
  <c r="BW594" i="1"/>
  <c r="BV594" i="1"/>
  <c r="BW593" i="1"/>
  <c r="BV593" i="1"/>
  <c r="BW592" i="1"/>
  <c r="BV592" i="1"/>
  <c r="BZ605" i="1"/>
  <c r="BZ604" i="1"/>
  <c r="BZ603" i="1"/>
  <c r="BZ594" i="1"/>
  <c r="BZ593" i="1"/>
  <c r="BZ592" i="1"/>
  <c r="BY623" i="1"/>
  <c r="BG623" i="1"/>
  <c r="BY607" i="1"/>
  <c r="BG607" i="1"/>
  <c r="BY606" i="1"/>
  <c r="BG606" i="1"/>
  <c r="BY584" i="1"/>
  <c r="BG584" i="1"/>
  <c r="BX623" i="1"/>
  <c r="BX607" i="1"/>
  <c r="BX606" i="1"/>
  <c r="BX584" i="1"/>
  <c r="BW623" i="1"/>
  <c r="BV623" i="1"/>
  <c r="BW607" i="1"/>
  <c r="BV607" i="1"/>
  <c r="BW606" i="1"/>
  <c r="BV606" i="1"/>
  <c r="BW584" i="1"/>
  <c r="BV584" i="1"/>
  <c r="BZ623" i="1"/>
  <c r="BZ607" i="1"/>
  <c r="BZ606" i="1"/>
  <c r="BZ584" i="1"/>
  <c r="BY589" i="1"/>
  <c r="BG589" i="1"/>
  <c r="BY588" i="1"/>
  <c r="BG588" i="1"/>
  <c r="BY587" i="1"/>
  <c r="BG587" i="1"/>
  <c r="BY586" i="1"/>
  <c r="BG586" i="1"/>
  <c r="BY585" i="1"/>
  <c r="BG585" i="1"/>
  <c r="BX589" i="1"/>
  <c r="BX588" i="1"/>
  <c r="BX587" i="1"/>
  <c r="BX586" i="1"/>
  <c r="BX585" i="1"/>
  <c r="BW589" i="1"/>
  <c r="BV589" i="1"/>
  <c r="BW588" i="1"/>
  <c r="BV588" i="1"/>
  <c r="BW587" i="1"/>
  <c r="BV587" i="1"/>
  <c r="BW586" i="1"/>
  <c r="BV586" i="1"/>
  <c r="BW585" i="1"/>
  <c r="BV585" i="1"/>
  <c r="BZ589" i="1"/>
  <c r="BZ588" i="1"/>
  <c r="BZ587" i="1"/>
  <c r="BZ586" i="1"/>
  <c r="BZ585" i="1"/>
  <c r="BY628" i="1"/>
  <c r="BG628" i="1"/>
  <c r="BY591" i="1"/>
  <c r="BG591" i="1"/>
  <c r="BY590" i="1"/>
  <c r="BG590" i="1"/>
  <c r="BX628" i="1"/>
  <c r="BX591" i="1"/>
  <c r="BX590" i="1"/>
  <c r="BW628" i="1"/>
  <c r="BV628" i="1"/>
  <c r="BW591" i="1"/>
  <c r="BV591" i="1"/>
  <c r="BW590" i="1"/>
  <c r="BV590" i="1"/>
  <c r="BZ628" i="1"/>
  <c r="BZ591" i="1"/>
  <c r="BZ590" i="1"/>
  <c r="BY583" i="1"/>
  <c r="BG583" i="1"/>
  <c r="BY582" i="1"/>
  <c r="BG582" i="1"/>
  <c r="BY581" i="1"/>
  <c r="BG581" i="1"/>
  <c r="BY580" i="1"/>
  <c r="BG580" i="1"/>
  <c r="BX583" i="1"/>
  <c r="BX582" i="1"/>
  <c r="BX581" i="1"/>
  <c r="BX580" i="1"/>
  <c r="BW583" i="1"/>
  <c r="BV583" i="1"/>
  <c r="BW582" i="1"/>
  <c r="BV582" i="1"/>
  <c r="BW581" i="1"/>
  <c r="BV581" i="1"/>
  <c r="BW580" i="1"/>
  <c r="BV580" i="1"/>
  <c r="BZ583" i="1"/>
  <c r="BZ582" i="1"/>
  <c r="BZ581" i="1"/>
  <c r="BZ580" i="1"/>
  <c r="BY579" i="1"/>
  <c r="BG579" i="1"/>
  <c r="BY578" i="1"/>
  <c r="BG578" i="1"/>
  <c r="BY577" i="1"/>
  <c r="BG577" i="1"/>
  <c r="BY567" i="1"/>
  <c r="BX579" i="1"/>
  <c r="BX578" i="1"/>
  <c r="BX577" i="1"/>
  <c r="BW579" i="1"/>
  <c r="BV579" i="1"/>
  <c r="BW578" i="1"/>
  <c r="BV578" i="1"/>
  <c r="BW577" i="1"/>
  <c r="BV577" i="1"/>
  <c r="BW567" i="1"/>
  <c r="BV567" i="1"/>
  <c r="BZ579" i="1"/>
  <c r="BZ578" i="1"/>
  <c r="BZ577" i="1"/>
  <c r="BX567" i="1"/>
  <c r="BZ567" i="1"/>
  <c r="BG567" i="1"/>
  <c r="BY571" i="1"/>
  <c r="BG571" i="1"/>
  <c r="BY570" i="1"/>
  <c r="BG570" i="1"/>
  <c r="BY569" i="1"/>
  <c r="BG569" i="1"/>
  <c r="BY568" i="1"/>
  <c r="BG568" i="1"/>
  <c r="BY566" i="1"/>
  <c r="BG566" i="1"/>
  <c r="BY565" i="1"/>
  <c r="BG565" i="1"/>
  <c r="BY564" i="1"/>
  <c r="BG564" i="1"/>
  <c r="BX571" i="1"/>
  <c r="BX570" i="1"/>
  <c r="BX569" i="1"/>
  <c r="BX568" i="1"/>
  <c r="BX566" i="1"/>
  <c r="BX565" i="1"/>
  <c r="BX564" i="1"/>
  <c r="BW571" i="1"/>
  <c r="BV571" i="1"/>
  <c r="BW570" i="1"/>
  <c r="BV570" i="1"/>
  <c r="BW569" i="1"/>
  <c r="BV569" i="1"/>
  <c r="BW568" i="1"/>
  <c r="BV568" i="1"/>
  <c r="BW566" i="1"/>
  <c r="BV566" i="1"/>
  <c r="BW565" i="1"/>
  <c r="BV565" i="1"/>
  <c r="BW564" i="1"/>
  <c r="BV564" i="1"/>
  <c r="BZ571" i="1"/>
  <c r="BZ570" i="1"/>
  <c r="BZ569" i="1"/>
  <c r="BZ568" i="1"/>
  <c r="BZ566" i="1"/>
  <c r="BZ565" i="1"/>
  <c r="BZ564" i="1"/>
  <c r="BY575" i="1"/>
  <c r="BG575" i="1"/>
  <c r="BY574" i="1"/>
  <c r="BG574" i="1"/>
  <c r="BY573" i="1"/>
  <c r="BG573" i="1"/>
  <c r="BY572" i="1"/>
  <c r="BG572" i="1"/>
  <c r="BX575" i="1"/>
  <c r="BX574" i="1"/>
  <c r="BX573" i="1"/>
  <c r="BX572" i="1"/>
  <c r="BW575" i="1"/>
  <c r="BV575" i="1"/>
  <c r="BW574" i="1"/>
  <c r="BV574" i="1"/>
  <c r="BW573" i="1"/>
  <c r="BV573" i="1"/>
  <c r="BW572" i="1"/>
  <c r="BV572" i="1"/>
  <c r="BZ575" i="1"/>
  <c r="BZ574" i="1"/>
  <c r="BZ573" i="1"/>
  <c r="BZ572" i="1"/>
  <c r="BY576" i="1"/>
  <c r="BG576" i="1"/>
  <c r="BX576" i="1"/>
  <c r="BW576" i="1"/>
  <c r="BV576" i="1"/>
  <c r="BZ576" i="1"/>
  <c r="BY560" i="1"/>
  <c r="BG560" i="1"/>
  <c r="BY559" i="1"/>
  <c r="BG559" i="1"/>
  <c r="BY558" i="1"/>
  <c r="BG558" i="1"/>
  <c r="BY557" i="1"/>
  <c r="BG557" i="1"/>
  <c r="BY556" i="1"/>
  <c r="BG556" i="1"/>
  <c r="BG267" i="1"/>
  <c r="BY267" i="1"/>
  <c r="BG268" i="1"/>
  <c r="BY268" i="1"/>
  <c r="BG269" i="1"/>
  <c r="BY269" i="1"/>
  <c r="BG270" i="1"/>
  <c r="BY270" i="1"/>
  <c r="BG271" i="1"/>
  <c r="BY271" i="1"/>
  <c r="BG272" i="1"/>
  <c r="BY272" i="1"/>
  <c r="BG273" i="1"/>
  <c r="BY273" i="1"/>
  <c r="BG274" i="1"/>
  <c r="BY274" i="1"/>
  <c r="BG275" i="1"/>
  <c r="BY275" i="1"/>
  <c r="BG276" i="1"/>
  <c r="BY276" i="1"/>
  <c r="BG277" i="1"/>
  <c r="BY277" i="1"/>
  <c r="BG278" i="1"/>
  <c r="BY278" i="1"/>
  <c r="BG279" i="1"/>
  <c r="BY279" i="1"/>
  <c r="BG280" i="1"/>
  <c r="BY280" i="1"/>
  <c r="BG281" i="1"/>
  <c r="BY281" i="1"/>
  <c r="BG282" i="1"/>
  <c r="BY282" i="1"/>
  <c r="BG283" i="1"/>
  <c r="BY283" i="1"/>
  <c r="BG284" i="1"/>
  <c r="BY284" i="1"/>
  <c r="BG285" i="1"/>
  <c r="BY285" i="1"/>
  <c r="BG286" i="1"/>
  <c r="BY286" i="1"/>
  <c r="BG287" i="1"/>
  <c r="BY287" i="1"/>
  <c r="BG288" i="1"/>
  <c r="BY288" i="1"/>
  <c r="BG289" i="1"/>
  <c r="BY289" i="1"/>
  <c r="BG290" i="1"/>
  <c r="BY290" i="1"/>
  <c r="BG291" i="1"/>
  <c r="BY291" i="1"/>
  <c r="BG292" i="1"/>
  <c r="BY292" i="1"/>
  <c r="BG293" i="1"/>
  <c r="BY293" i="1"/>
  <c r="BG294" i="1"/>
  <c r="BY294" i="1"/>
  <c r="BG295" i="1"/>
  <c r="BY295" i="1"/>
  <c r="BG296" i="1"/>
  <c r="BY296" i="1"/>
  <c r="BG297" i="1"/>
  <c r="BY297" i="1"/>
  <c r="BG298" i="1"/>
  <c r="BY298" i="1"/>
  <c r="BG299" i="1"/>
  <c r="BY299" i="1"/>
  <c r="BG300" i="1"/>
  <c r="BY300" i="1"/>
  <c r="BG301" i="1"/>
  <c r="BY301" i="1"/>
  <c r="BG302" i="1"/>
  <c r="BY302" i="1"/>
  <c r="BG303" i="1"/>
  <c r="BY303" i="1"/>
  <c r="BG304" i="1"/>
  <c r="BY304" i="1"/>
  <c r="BG305" i="1"/>
  <c r="BY305" i="1"/>
  <c r="BG306" i="1"/>
  <c r="BY306" i="1"/>
  <c r="BG307" i="1"/>
  <c r="BY307" i="1"/>
  <c r="BG308" i="1"/>
  <c r="BY308" i="1"/>
  <c r="BG309" i="1"/>
  <c r="BY309" i="1"/>
  <c r="BG310" i="1"/>
  <c r="BY310" i="1"/>
  <c r="BG311" i="1"/>
  <c r="BY311" i="1"/>
  <c r="BG312" i="1"/>
  <c r="BY312" i="1"/>
  <c r="BG313" i="1"/>
  <c r="BY313" i="1"/>
  <c r="BG314" i="1"/>
  <c r="BY314" i="1"/>
  <c r="BG315" i="1"/>
  <c r="BY315" i="1"/>
  <c r="BG316" i="1"/>
  <c r="BY316" i="1"/>
  <c r="BG317" i="1"/>
  <c r="BY317" i="1"/>
  <c r="BG318" i="1"/>
  <c r="BY318" i="1"/>
  <c r="BG319" i="1"/>
  <c r="BY319" i="1"/>
  <c r="BG320" i="1"/>
  <c r="BY320" i="1"/>
  <c r="BG321" i="1"/>
  <c r="BY321" i="1"/>
  <c r="BG322" i="1"/>
  <c r="BY322" i="1"/>
  <c r="BG323" i="1"/>
  <c r="BY323" i="1"/>
  <c r="BG324" i="1"/>
  <c r="BY324" i="1"/>
  <c r="BG325" i="1"/>
  <c r="BY325" i="1"/>
  <c r="BG326" i="1"/>
  <c r="BY326" i="1"/>
  <c r="BG327" i="1"/>
  <c r="BY327" i="1"/>
  <c r="BG328" i="1"/>
  <c r="BY328" i="1"/>
  <c r="BG329" i="1"/>
  <c r="BY329" i="1"/>
  <c r="BG330" i="1"/>
  <c r="BY330" i="1"/>
  <c r="BG331" i="1"/>
  <c r="BY331" i="1"/>
  <c r="BG332" i="1"/>
  <c r="BY332" i="1"/>
  <c r="BG333" i="1"/>
  <c r="BY333" i="1"/>
  <c r="BG334" i="1"/>
  <c r="BY334" i="1"/>
  <c r="BG335" i="1"/>
  <c r="BY335" i="1"/>
  <c r="BG336" i="1"/>
  <c r="BY336" i="1"/>
  <c r="BG337" i="1"/>
  <c r="BY337" i="1"/>
  <c r="BG338" i="1"/>
  <c r="BY338" i="1"/>
  <c r="BG339" i="1"/>
  <c r="BY339" i="1"/>
  <c r="BG340" i="1"/>
  <c r="BY340" i="1"/>
  <c r="BG341" i="1"/>
  <c r="BY341" i="1"/>
  <c r="BG342" i="1"/>
  <c r="BY342" i="1"/>
  <c r="BG343" i="1"/>
  <c r="BY343" i="1"/>
  <c r="BG344" i="1"/>
  <c r="BY344" i="1"/>
  <c r="BG345" i="1"/>
  <c r="BY345" i="1"/>
  <c r="BG346" i="1"/>
  <c r="BY346" i="1"/>
  <c r="BG347" i="1"/>
  <c r="BY347" i="1"/>
  <c r="BG348" i="1"/>
  <c r="BY348" i="1"/>
  <c r="BG349" i="1"/>
  <c r="BY349" i="1"/>
  <c r="BG350" i="1"/>
  <c r="BY350" i="1"/>
  <c r="BG351" i="1"/>
  <c r="BY351" i="1"/>
  <c r="BG352" i="1"/>
  <c r="BY352" i="1"/>
  <c r="BG353" i="1"/>
  <c r="BY353" i="1"/>
  <c r="BG354" i="1"/>
  <c r="BY354" i="1"/>
  <c r="BG355" i="1"/>
  <c r="BY355" i="1"/>
  <c r="BG356" i="1"/>
  <c r="BY356" i="1"/>
  <c r="BG357" i="1"/>
  <c r="BY357" i="1"/>
  <c r="BG358" i="1"/>
  <c r="BY358" i="1"/>
  <c r="BG359" i="1"/>
  <c r="BY359" i="1"/>
  <c r="BG360" i="1"/>
  <c r="BY360" i="1"/>
  <c r="BG361" i="1"/>
  <c r="BY361" i="1"/>
  <c r="BG362" i="1"/>
  <c r="BY362" i="1"/>
  <c r="BG363" i="1"/>
  <c r="BY363" i="1"/>
  <c r="BG364" i="1"/>
  <c r="BY364" i="1"/>
  <c r="BG365" i="1"/>
  <c r="BY365" i="1"/>
  <c r="BG366" i="1"/>
  <c r="BY366" i="1"/>
  <c r="BG367" i="1"/>
  <c r="BY367" i="1"/>
  <c r="BG368" i="1"/>
  <c r="BY368" i="1"/>
  <c r="BG369" i="1"/>
  <c r="BY369" i="1"/>
  <c r="BG370" i="1"/>
  <c r="BY370" i="1"/>
  <c r="BG371" i="1"/>
  <c r="BY371" i="1"/>
  <c r="BG372" i="1"/>
  <c r="BY372" i="1"/>
  <c r="BG373" i="1"/>
  <c r="BY373" i="1"/>
  <c r="BG374" i="1"/>
  <c r="BY374" i="1"/>
  <c r="BG375" i="1"/>
  <c r="BY375" i="1"/>
  <c r="BG376" i="1"/>
  <c r="BY376" i="1"/>
  <c r="BG377" i="1"/>
  <c r="BY377" i="1"/>
  <c r="BG378" i="1"/>
  <c r="BY378" i="1"/>
  <c r="BG379" i="1"/>
  <c r="BY379" i="1"/>
  <c r="BG380" i="1"/>
  <c r="BY380" i="1"/>
  <c r="BG381" i="1"/>
  <c r="BY381" i="1"/>
  <c r="BG382" i="1"/>
  <c r="BY382" i="1"/>
  <c r="BG383" i="1"/>
  <c r="BY383" i="1"/>
  <c r="BG384" i="1"/>
  <c r="BY384" i="1"/>
  <c r="BG385" i="1"/>
  <c r="BY385" i="1"/>
  <c r="BG386" i="1"/>
  <c r="BY386" i="1"/>
  <c r="BG387" i="1"/>
  <c r="BY387" i="1"/>
  <c r="BG388" i="1"/>
  <c r="BY388" i="1"/>
  <c r="BG389" i="1"/>
  <c r="BY389" i="1"/>
  <c r="BG390" i="1"/>
  <c r="BY390" i="1"/>
  <c r="BG391" i="1"/>
  <c r="BY391" i="1"/>
  <c r="BG392" i="1"/>
  <c r="BY392" i="1"/>
  <c r="BG393" i="1"/>
  <c r="BY393" i="1"/>
  <c r="BG394" i="1"/>
  <c r="BY394" i="1"/>
  <c r="BG395" i="1"/>
  <c r="BY395" i="1"/>
  <c r="BG396" i="1"/>
  <c r="BY396" i="1"/>
  <c r="BG397" i="1"/>
  <c r="BY397" i="1"/>
  <c r="BG398" i="1"/>
  <c r="BY398" i="1"/>
  <c r="BG399" i="1"/>
  <c r="BY399" i="1"/>
  <c r="BG400" i="1"/>
  <c r="BY400" i="1"/>
  <c r="BG401" i="1"/>
  <c r="BY401" i="1"/>
  <c r="BG402" i="1"/>
  <c r="BY402" i="1"/>
  <c r="BG403" i="1"/>
  <c r="BY403" i="1"/>
  <c r="BG404" i="1"/>
  <c r="BY404" i="1"/>
  <c r="BG405" i="1"/>
  <c r="BY405" i="1"/>
  <c r="BG406" i="1"/>
  <c r="BY406" i="1"/>
  <c r="BG407" i="1"/>
  <c r="BY407" i="1"/>
  <c r="BG408" i="1"/>
  <c r="BY408" i="1"/>
  <c r="BG409" i="1"/>
  <c r="BY409" i="1"/>
  <c r="BG410" i="1"/>
  <c r="BY410" i="1"/>
  <c r="BG411" i="1"/>
  <c r="BY411" i="1"/>
  <c r="BG412" i="1"/>
  <c r="BY412" i="1"/>
  <c r="BG413" i="1"/>
  <c r="BY413" i="1"/>
  <c r="BG414" i="1"/>
  <c r="BY414" i="1"/>
  <c r="BG415" i="1"/>
  <c r="BY415" i="1"/>
  <c r="BG416" i="1"/>
  <c r="BY416" i="1"/>
  <c r="BG417" i="1"/>
  <c r="BY417" i="1"/>
  <c r="BG418" i="1"/>
  <c r="BY418" i="1"/>
  <c r="BG419" i="1"/>
  <c r="BY419" i="1"/>
  <c r="BG420" i="1"/>
  <c r="BY420" i="1"/>
  <c r="BG421" i="1"/>
  <c r="BY421" i="1"/>
  <c r="BG422" i="1"/>
  <c r="BY422" i="1"/>
  <c r="BG423" i="1"/>
  <c r="BY423" i="1"/>
  <c r="BG424" i="1"/>
  <c r="BY424" i="1"/>
  <c r="BG425" i="1"/>
  <c r="BY425" i="1"/>
  <c r="BG426" i="1"/>
  <c r="BY426" i="1"/>
  <c r="BG427" i="1"/>
  <c r="BY427" i="1"/>
  <c r="BG428" i="1"/>
  <c r="BY428" i="1"/>
  <c r="BG429" i="1"/>
  <c r="BY429" i="1"/>
  <c r="BG430" i="1"/>
  <c r="BY430" i="1"/>
  <c r="BG431" i="1"/>
  <c r="BY431" i="1"/>
  <c r="BG432" i="1"/>
  <c r="BY432" i="1"/>
  <c r="BG433" i="1"/>
  <c r="BY433" i="1"/>
  <c r="BG434" i="1"/>
  <c r="BY434" i="1"/>
  <c r="BG435" i="1"/>
  <c r="BY435" i="1"/>
  <c r="BG436" i="1"/>
  <c r="BY436" i="1"/>
  <c r="BG437" i="1"/>
  <c r="BY437" i="1"/>
  <c r="BG438" i="1"/>
  <c r="BY438" i="1"/>
  <c r="BG439" i="1"/>
  <c r="BY439" i="1"/>
  <c r="BG440" i="1"/>
  <c r="BY440" i="1"/>
  <c r="BG441" i="1"/>
  <c r="BY441" i="1"/>
  <c r="BG442" i="1"/>
  <c r="BY442" i="1"/>
  <c r="BG443" i="1"/>
  <c r="BY443" i="1"/>
  <c r="BG444" i="1"/>
  <c r="BY444" i="1"/>
  <c r="BG445" i="1"/>
  <c r="BY445" i="1"/>
  <c r="BG446" i="1"/>
  <c r="BY446" i="1"/>
  <c r="BG447" i="1"/>
  <c r="BY447" i="1"/>
  <c r="BG448" i="1"/>
  <c r="BY448" i="1"/>
  <c r="BG449" i="1"/>
  <c r="BY449" i="1"/>
  <c r="BG450" i="1"/>
  <c r="BY450" i="1"/>
  <c r="BG451" i="1"/>
  <c r="BY451" i="1"/>
  <c r="BG452" i="1"/>
  <c r="BY452" i="1"/>
  <c r="BG453" i="1"/>
  <c r="BY453" i="1"/>
  <c r="BG454" i="1"/>
  <c r="BY454" i="1"/>
  <c r="BG455" i="1"/>
  <c r="BY455" i="1"/>
  <c r="BG456" i="1"/>
  <c r="BY456" i="1"/>
  <c r="BG457" i="1"/>
  <c r="BY457" i="1"/>
  <c r="BG458" i="1"/>
  <c r="BY458" i="1"/>
  <c r="BG459" i="1"/>
  <c r="BY459" i="1"/>
  <c r="BG460" i="1"/>
  <c r="BY460" i="1"/>
  <c r="BG461" i="1"/>
  <c r="BY461" i="1"/>
  <c r="BG462" i="1"/>
  <c r="BY462" i="1"/>
  <c r="BG463" i="1"/>
  <c r="BY463" i="1"/>
  <c r="BG464" i="1"/>
  <c r="BY464" i="1"/>
  <c r="BG465" i="1"/>
  <c r="BY465" i="1"/>
  <c r="BG466" i="1"/>
  <c r="BY466" i="1"/>
  <c r="BG467" i="1"/>
  <c r="BY467" i="1"/>
  <c r="BG468" i="1"/>
  <c r="BY468" i="1"/>
  <c r="BG469" i="1"/>
  <c r="BY469" i="1"/>
  <c r="BG470" i="1"/>
  <c r="BY470" i="1"/>
  <c r="BG471" i="1"/>
  <c r="BY471" i="1"/>
  <c r="BG472" i="1"/>
  <c r="BY472" i="1"/>
  <c r="BG473" i="1"/>
  <c r="BY473" i="1"/>
  <c r="BG474" i="1"/>
  <c r="BY474" i="1"/>
  <c r="BG475" i="1"/>
  <c r="BY475" i="1"/>
  <c r="BG476" i="1"/>
  <c r="BY476" i="1"/>
  <c r="BG477" i="1"/>
  <c r="BY477" i="1"/>
  <c r="BG478" i="1"/>
  <c r="BY478" i="1"/>
  <c r="BG479" i="1"/>
  <c r="BY479" i="1"/>
  <c r="BG480" i="1"/>
  <c r="BY480" i="1"/>
  <c r="BG481" i="1"/>
  <c r="BY481" i="1"/>
  <c r="BG482" i="1"/>
  <c r="BY482" i="1"/>
  <c r="BG483" i="1"/>
  <c r="BY483" i="1"/>
  <c r="BG484" i="1"/>
  <c r="BY484" i="1"/>
  <c r="BG485" i="1"/>
  <c r="BY485" i="1"/>
  <c r="BG486" i="1"/>
  <c r="BY486" i="1"/>
  <c r="BG487" i="1"/>
  <c r="BY487" i="1"/>
  <c r="BG488" i="1"/>
  <c r="BY488" i="1"/>
  <c r="BG489" i="1"/>
  <c r="BY489" i="1"/>
  <c r="BG490" i="1"/>
  <c r="BY490" i="1"/>
  <c r="BG491" i="1"/>
  <c r="BY491" i="1"/>
  <c r="BG492" i="1"/>
  <c r="BY492" i="1"/>
  <c r="BG493" i="1"/>
  <c r="BY493" i="1"/>
  <c r="BG494" i="1"/>
  <c r="BY494" i="1"/>
  <c r="BG495" i="1"/>
  <c r="BY495" i="1"/>
  <c r="BG496" i="1"/>
  <c r="BY496" i="1"/>
  <c r="BG497" i="1"/>
  <c r="BY497" i="1"/>
  <c r="BG498" i="1"/>
  <c r="BY498" i="1"/>
  <c r="BG499" i="1"/>
  <c r="BY499" i="1"/>
  <c r="BG500" i="1"/>
  <c r="BY500" i="1"/>
  <c r="BG501" i="1"/>
  <c r="BY501" i="1"/>
  <c r="BG502" i="1"/>
  <c r="BY502" i="1"/>
  <c r="BG503" i="1"/>
  <c r="BY503" i="1"/>
  <c r="BG504" i="1"/>
  <c r="BY504" i="1"/>
  <c r="BG505" i="1"/>
  <c r="BY505" i="1"/>
  <c r="BG506" i="1"/>
  <c r="BY506" i="1"/>
  <c r="BG507" i="1"/>
  <c r="BY507" i="1"/>
  <c r="BG508" i="1"/>
  <c r="BY508" i="1"/>
  <c r="BG509" i="1"/>
  <c r="BY509" i="1"/>
  <c r="BG510" i="1"/>
  <c r="BY510" i="1"/>
  <c r="BG511" i="1"/>
  <c r="BY511" i="1"/>
  <c r="BG512" i="1"/>
  <c r="BY512" i="1"/>
  <c r="BG513" i="1"/>
  <c r="BY513" i="1"/>
  <c r="BG514" i="1"/>
  <c r="BY514" i="1"/>
  <c r="BY515" i="1"/>
  <c r="BY516" i="1"/>
  <c r="BY517" i="1"/>
  <c r="BY518" i="1"/>
  <c r="BY519" i="1"/>
  <c r="BY520" i="1"/>
  <c r="BY521" i="1"/>
  <c r="BY522" i="1"/>
  <c r="BY523" i="1"/>
  <c r="BY524" i="1"/>
  <c r="BY525" i="1"/>
  <c r="BY526" i="1"/>
  <c r="BY527" i="1"/>
  <c r="BY528" i="1"/>
  <c r="BY529" i="1"/>
  <c r="BY530" i="1"/>
  <c r="BY531" i="1"/>
  <c r="BY532" i="1"/>
  <c r="BY533" i="1"/>
  <c r="BY534" i="1"/>
  <c r="BY535" i="1"/>
  <c r="BY536" i="1"/>
  <c r="BY537" i="1"/>
  <c r="BY538" i="1"/>
  <c r="BY539" i="1"/>
  <c r="BY540" i="1"/>
  <c r="BY541" i="1"/>
  <c r="BY542" i="1"/>
  <c r="BY543" i="1"/>
  <c r="BY544" i="1"/>
  <c r="BY545" i="1"/>
  <c r="BY546" i="1"/>
  <c r="BY547" i="1"/>
  <c r="BY548" i="1"/>
  <c r="BY549" i="1"/>
  <c r="BY550" i="1"/>
  <c r="BY551" i="1"/>
  <c r="BY552" i="1"/>
  <c r="BY553" i="1"/>
  <c r="BY554" i="1"/>
  <c r="BY555" i="1"/>
  <c r="BY561" i="1"/>
  <c r="BY562" i="1"/>
  <c r="BY563" i="1"/>
  <c r="BY260" i="1"/>
  <c r="BX560" i="1"/>
  <c r="BX559" i="1"/>
  <c r="BX558" i="1"/>
  <c r="BX557" i="1"/>
  <c r="BX556" i="1"/>
  <c r="BX267" i="1"/>
  <c r="BX268" i="1"/>
  <c r="BX269" i="1"/>
  <c r="BX270" i="1"/>
  <c r="BX271" i="1"/>
  <c r="BX272" i="1"/>
  <c r="BX273" i="1"/>
  <c r="BX274" i="1"/>
  <c r="BX275" i="1"/>
  <c r="BX276" i="1"/>
  <c r="BX277" i="1"/>
  <c r="BX278" i="1"/>
  <c r="BX279" i="1"/>
  <c r="BX280" i="1"/>
  <c r="BX281" i="1"/>
  <c r="BX282" i="1"/>
  <c r="BX283" i="1"/>
  <c r="BX284" i="1"/>
  <c r="BX285" i="1"/>
  <c r="BX286" i="1"/>
  <c r="BX287" i="1"/>
  <c r="BX288" i="1"/>
  <c r="BX289" i="1"/>
  <c r="BX290" i="1"/>
  <c r="BX291" i="1"/>
  <c r="BX292" i="1"/>
  <c r="BX293" i="1"/>
  <c r="BX294" i="1"/>
  <c r="BX295" i="1"/>
  <c r="BX296" i="1"/>
  <c r="BX297" i="1"/>
  <c r="BX298" i="1"/>
  <c r="BX299" i="1"/>
  <c r="BX300" i="1"/>
  <c r="BX301" i="1"/>
  <c r="BX302" i="1"/>
  <c r="BX303" i="1"/>
  <c r="BX304" i="1"/>
  <c r="BX305" i="1"/>
  <c r="BX306" i="1"/>
  <c r="BX307" i="1"/>
  <c r="BX308" i="1"/>
  <c r="BX309" i="1"/>
  <c r="BX310" i="1"/>
  <c r="BX311" i="1"/>
  <c r="BX312" i="1"/>
  <c r="BX313" i="1"/>
  <c r="BX314" i="1"/>
  <c r="BX315" i="1"/>
  <c r="BX316" i="1"/>
  <c r="BX317" i="1"/>
  <c r="BX318" i="1"/>
  <c r="BX319" i="1"/>
  <c r="BX320" i="1"/>
  <c r="BX321" i="1"/>
  <c r="BX322" i="1"/>
  <c r="BX323" i="1"/>
  <c r="BX324" i="1"/>
  <c r="BX325" i="1"/>
  <c r="BX326" i="1"/>
  <c r="BX327" i="1"/>
  <c r="BX328" i="1"/>
  <c r="BX329" i="1"/>
  <c r="BX330" i="1"/>
  <c r="BX331" i="1"/>
  <c r="BX332" i="1"/>
  <c r="BX333" i="1"/>
  <c r="BX334" i="1"/>
  <c r="BX335" i="1"/>
  <c r="BX336" i="1"/>
  <c r="BX337" i="1"/>
  <c r="BX338" i="1"/>
  <c r="BX339" i="1"/>
  <c r="BX340" i="1"/>
  <c r="BX341" i="1"/>
  <c r="BX342" i="1"/>
  <c r="BX343" i="1"/>
  <c r="BX344" i="1"/>
  <c r="BX345" i="1"/>
  <c r="BX346" i="1"/>
  <c r="BX347" i="1"/>
  <c r="BX348" i="1"/>
  <c r="BX349" i="1"/>
  <c r="BX350" i="1"/>
  <c r="BX351" i="1"/>
  <c r="BX352" i="1"/>
  <c r="BX353" i="1"/>
  <c r="BX354" i="1"/>
  <c r="BX355" i="1"/>
  <c r="BX356" i="1"/>
  <c r="BX357" i="1"/>
  <c r="BX358" i="1"/>
  <c r="BX359" i="1"/>
  <c r="BX360" i="1"/>
  <c r="BX361" i="1"/>
  <c r="BX362" i="1"/>
  <c r="BX363" i="1"/>
  <c r="BX364" i="1"/>
  <c r="BX365" i="1"/>
  <c r="BX366" i="1"/>
  <c r="BX367" i="1"/>
  <c r="BX368" i="1"/>
  <c r="BX369" i="1"/>
  <c r="BX370" i="1"/>
  <c r="BX371" i="1"/>
  <c r="BX372" i="1"/>
  <c r="BX373" i="1"/>
  <c r="BX374" i="1"/>
  <c r="BX375" i="1"/>
  <c r="BX376" i="1"/>
  <c r="BX377" i="1"/>
  <c r="BX378" i="1"/>
  <c r="BX379" i="1"/>
  <c r="BX380" i="1"/>
  <c r="BX381" i="1"/>
  <c r="BX382" i="1"/>
  <c r="BX383" i="1"/>
  <c r="BX384" i="1"/>
  <c r="BX385" i="1"/>
  <c r="BX386" i="1"/>
  <c r="BX387" i="1"/>
  <c r="BX388" i="1"/>
  <c r="BX389" i="1"/>
  <c r="BX390" i="1"/>
  <c r="BX391" i="1"/>
  <c r="BX392" i="1"/>
  <c r="BX393" i="1"/>
  <c r="BX394" i="1"/>
  <c r="BX395" i="1"/>
  <c r="BX396" i="1"/>
  <c r="BX397" i="1"/>
  <c r="BX398" i="1"/>
  <c r="BX399" i="1"/>
  <c r="BX400" i="1"/>
  <c r="BX401" i="1"/>
  <c r="BX402" i="1"/>
  <c r="BX403" i="1"/>
  <c r="BX404" i="1"/>
  <c r="BX405" i="1"/>
  <c r="BX406" i="1"/>
  <c r="BX407" i="1"/>
  <c r="BX408" i="1"/>
  <c r="BX409" i="1"/>
  <c r="BX410" i="1"/>
  <c r="BX411" i="1"/>
  <c r="BX412" i="1"/>
  <c r="BX413" i="1"/>
  <c r="BX414" i="1"/>
  <c r="BX415" i="1"/>
  <c r="BX416" i="1"/>
  <c r="BX417" i="1"/>
  <c r="BX418" i="1"/>
  <c r="BX419" i="1"/>
  <c r="BX420" i="1"/>
  <c r="BX421" i="1"/>
  <c r="BX422" i="1"/>
  <c r="BX423" i="1"/>
  <c r="BX424" i="1"/>
  <c r="BX425" i="1"/>
  <c r="BX426" i="1"/>
  <c r="BX427" i="1"/>
  <c r="BX428" i="1"/>
  <c r="BX429" i="1"/>
  <c r="BX430" i="1"/>
  <c r="BX431" i="1"/>
  <c r="BX432" i="1"/>
  <c r="BX433" i="1"/>
  <c r="BX434" i="1"/>
  <c r="BX435" i="1"/>
  <c r="BX436" i="1"/>
  <c r="BX437" i="1"/>
  <c r="BX438" i="1"/>
  <c r="BX439" i="1"/>
  <c r="BX440" i="1"/>
  <c r="BX441" i="1"/>
  <c r="BX442" i="1"/>
  <c r="BX443" i="1"/>
  <c r="BX444" i="1"/>
  <c r="BX445" i="1"/>
  <c r="BX446" i="1"/>
  <c r="BX447" i="1"/>
  <c r="BX448" i="1"/>
  <c r="BX449" i="1"/>
  <c r="BX450" i="1"/>
  <c r="BX451" i="1"/>
  <c r="BX452" i="1"/>
  <c r="BX453" i="1"/>
  <c r="BX454" i="1"/>
  <c r="BX455" i="1"/>
  <c r="BX456" i="1"/>
  <c r="BX457" i="1"/>
  <c r="BX458" i="1"/>
  <c r="BX459" i="1"/>
  <c r="BX460" i="1"/>
  <c r="BX461" i="1"/>
  <c r="BX462" i="1"/>
  <c r="BX463" i="1"/>
  <c r="BX464" i="1"/>
  <c r="BX465" i="1"/>
  <c r="BX466" i="1"/>
  <c r="BX467" i="1"/>
  <c r="BX468" i="1"/>
  <c r="BX469" i="1"/>
  <c r="BX470" i="1"/>
  <c r="BX471" i="1"/>
  <c r="BX472" i="1"/>
  <c r="BX473" i="1"/>
  <c r="BX474" i="1"/>
  <c r="BX475" i="1"/>
  <c r="BX476" i="1"/>
  <c r="BX477" i="1"/>
  <c r="BX478" i="1"/>
  <c r="BX479" i="1"/>
  <c r="BX480" i="1"/>
  <c r="BX481" i="1"/>
  <c r="BX482" i="1"/>
  <c r="BX483" i="1"/>
  <c r="BX484" i="1"/>
  <c r="BX485" i="1"/>
  <c r="BX486" i="1"/>
  <c r="BX487" i="1"/>
  <c r="BX488" i="1"/>
  <c r="BX489" i="1"/>
  <c r="BX490" i="1"/>
  <c r="BX491" i="1"/>
  <c r="BX492" i="1"/>
  <c r="BX493" i="1"/>
  <c r="BX494" i="1"/>
  <c r="BX495" i="1"/>
  <c r="BX496" i="1"/>
  <c r="BX497" i="1"/>
  <c r="BX498" i="1"/>
  <c r="BX499" i="1"/>
  <c r="BX500" i="1"/>
  <c r="BX501" i="1"/>
  <c r="BX502" i="1"/>
  <c r="BX503" i="1"/>
  <c r="BX504" i="1"/>
  <c r="BX505" i="1"/>
  <c r="BX506" i="1"/>
  <c r="BX507" i="1"/>
  <c r="BX508" i="1"/>
  <c r="BX509" i="1"/>
  <c r="BX510" i="1"/>
  <c r="BX511" i="1"/>
  <c r="BX512" i="1"/>
  <c r="BX513" i="1"/>
  <c r="BX260" i="1"/>
  <c r="BW560" i="1"/>
  <c r="BV560" i="1"/>
  <c r="BW559" i="1"/>
  <c r="BV559" i="1"/>
  <c r="BW558" i="1"/>
  <c r="BV558" i="1"/>
  <c r="BW557" i="1"/>
  <c r="BV557" i="1"/>
  <c r="BW556" i="1"/>
  <c r="BV556" i="1"/>
  <c r="BV267" i="1"/>
  <c r="BW267" i="1"/>
  <c r="BV268" i="1"/>
  <c r="BW268" i="1"/>
  <c r="BV269" i="1"/>
  <c r="BW269" i="1"/>
  <c r="BV270" i="1"/>
  <c r="BW270" i="1"/>
  <c r="BV271" i="1"/>
  <c r="BW271" i="1"/>
  <c r="BV272" i="1"/>
  <c r="BW272" i="1"/>
  <c r="BV273" i="1"/>
  <c r="BW273" i="1"/>
  <c r="BV274" i="1"/>
  <c r="BW274" i="1"/>
  <c r="BV275" i="1"/>
  <c r="BW275" i="1"/>
  <c r="BV276" i="1"/>
  <c r="BW276" i="1"/>
  <c r="BV277" i="1"/>
  <c r="BW277" i="1"/>
  <c r="BV278" i="1"/>
  <c r="BW278" i="1"/>
  <c r="BV279" i="1"/>
  <c r="BW279" i="1"/>
  <c r="BV280" i="1"/>
  <c r="BW280" i="1"/>
  <c r="BV281" i="1"/>
  <c r="BW281" i="1"/>
  <c r="BV282" i="1"/>
  <c r="BW282" i="1"/>
  <c r="BV283" i="1"/>
  <c r="BW283" i="1"/>
  <c r="BV284" i="1"/>
  <c r="BW284" i="1"/>
  <c r="BV285" i="1"/>
  <c r="BW285" i="1"/>
  <c r="BV286" i="1"/>
  <c r="BW286" i="1"/>
  <c r="BV287" i="1"/>
  <c r="BW287" i="1"/>
  <c r="BV288" i="1"/>
  <c r="BW288" i="1"/>
  <c r="BV289" i="1"/>
  <c r="BW289" i="1"/>
  <c r="BV290" i="1"/>
  <c r="BW290" i="1"/>
  <c r="BV291" i="1"/>
  <c r="BW291" i="1"/>
  <c r="BV292" i="1"/>
  <c r="BW292" i="1"/>
  <c r="BV293" i="1"/>
  <c r="BW293" i="1"/>
  <c r="BV294" i="1"/>
  <c r="BW294" i="1"/>
  <c r="BV295" i="1"/>
  <c r="BW295" i="1"/>
  <c r="BV296" i="1"/>
  <c r="BW296" i="1"/>
  <c r="BV297" i="1"/>
  <c r="BW297" i="1"/>
  <c r="BV298" i="1"/>
  <c r="BW298" i="1"/>
  <c r="BV299" i="1"/>
  <c r="BW299" i="1"/>
  <c r="BV300" i="1"/>
  <c r="BW300" i="1"/>
  <c r="BV301" i="1"/>
  <c r="BW301" i="1"/>
  <c r="BV302" i="1"/>
  <c r="BW302" i="1"/>
  <c r="BV303" i="1"/>
  <c r="BW303" i="1"/>
  <c r="BV304" i="1"/>
  <c r="BW304" i="1"/>
  <c r="BV305" i="1"/>
  <c r="BW305" i="1"/>
  <c r="BV306" i="1"/>
  <c r="BW306" i="1"/>
  <c r="BV307" i="1"/>
  <c r="BW307" i="1"/>
  <c r="BV308" i="1"/>
  <c r="BW308" i="1"/>
  <c r="BV309" i="1"/>
  <c r="BW309" i="1"/>
  <c r="BV310" i="1"/>
  <c r="BW310" i="1"/>
  <c r="BV311" i="1"/>
  <c r="BW311" i="1"/>
  <c r="BV312" i="1"/>
  <c r="BW312" i="1"/>
  <c r="BV313" i="1"/>
  <c r="BW313" i="1"/>
  <c r="BV314" i="1"/>
  <c r="BW314" i="1"/>
  <c r="BV315" i="1"/>
  <c r="BW315" i="1"/>
  <c r="BV316" i="1"/>
  <c r="BW316" i="1"/>
  <c r="BV317" i="1"/>
  <c r="BW317" i="1"/>
  <c r="BV318" i="1"/>
  <c r="BW318" i="1"/>
  <c r="BV319" i="1"/>
  <c r="BW319" i="1"/>
  <c r="BV320" i="1"/>
  <c r="BW320" i="1"/>
  <c r="BV321" i="1"/>
  <c r="BW321" i="1"/>
  <c r="BV322" i="1"/>
  <c r="BW322" i="1"/>
  <c r="BV323" i="1"/>
  <c r="BW323" i="1"/>
  <c r="BV324" i="1"/>
  <c r="BW324" i="1"/>
  <c r="BV325" i="1"/>
  <c r="BW325" i="1"/>
  <c r="BV326" i="1"/>
  <c r="BW326" i="1"/>
  <c r="BV327" i="1"/>
  <c r="BW327" i="1"/>
  <c r="BV328" i="1"/>
  <c r="BW328" i="1"/>
  <c r="BV329" i="1"/>
  <c r="BW329" i="1"/>
  <c r="BV330" i="1"/>
  <c r="BW330" i="1"/>
  <c r="BV331" i="1"/>
  <c r="BW331" i="1"/>
  <c r="BV332" i="1"/>
  <c r="BW332" i="1"/>
  <c r="BV333" i="1"/>
  <c r="BW333" i="1"/>
  <c r="BV334" i="1"/>
  <c r="BW334" i="1"/>
  <c r="BV335" i="1"/>
  <c r="BW335" i="1"/>
  <c r="BV336" i="1"/>
  <c r="BW336" i="1"/>
  <c r="BV337" i="1"/>
  <c r="BW337" i="1"/>
  <c r="BV338" i="1"/>
  <c r="BW338" i="1"/>
  <c r="BV339" i="1"/>
  <c r="BW339" i="1"/>
  <c r="BV340" i="1"/>
  <c r="BW340" i="1"/>
  <c r="BV341" i="1"/>
  <c r="BW341" i="1"/>
  <c r="BV342" i="1"/>
  <c r="BW342" i="1"/>
  <c r="BV343" i="1"/>
  <c r="BW343" i="1"/>
  <c r="BV344" i="1"/>
  <c r="BW344" i="1"/>
  <c r="BV345" i="1"/>
  <c r="BW345" i="1"/>
  <c r="BV346" i="1"/>
  <c r="BW346" i="1"/>
  <c r="BV347" i="1"/>
  <c r="BW347" i="1"/>
  <c r="BV348" i="1"/>
  <c r="BW348" i="1"/>
  <c r="BV349" i="1"/>
  <c r="BW349" i="1"/>
  <c r="BV350" i="1"/>
  <c r="BW350" i="1"/>
  <c r="BV351" i="1"/>
  <c r="BW351" i="1"/>
  <c r="BV352" i="1"/>
  <c r="BW352" i="1"/>
  <c r="BV353" i="1"/>
  <c r="BW353" i="1"/>
  <c r="BV354" i="1"/>
  <c r="BW354" i="1"/>
  <c r="BV355" i="1"/>
  <c r="BW355" i="1"/>
  <c r="BV356" i="1"/>
  <c r="BW356" i="1"/>
  <c r="BV357" i="1"/>
  <c r="BW357" i="1"/>
  <c r="BV358" i="1"/>
  <c r="BW358" i="1"/>
  <c r="BV359" i="1"/>
  <c r="BW359" i="1"/>
  <c r="BV360" i="1"/>
  <c r="BW360" i="1"/>
  <c r="BV361" i="1"/>
  <c r="BW361" i="1"/>
  <c r="BV362" i="1"/>
  <c r="BW362" i="1"/>
  <c r="BV363" i="1"/>
  <c r="BW363" i="1"/>
  <c r="BV364" i="1"/>
  <c r="BW364" i="1"/>
  <c r="BV365" i="1"/>
  <c r="BW365" i="1"/>
  <c r="BV366" i="1"/>
  <c r="BW366" i="1"/>
  <c r="BV367" i="1"/>
  <c r="BW367" i="1"/>
  <c r="BV368" i="1"/>
  <c r="BW368" i="1"/>
  <c r="BV369" i="1"/>
  <c r="BW369" i="1"/>
  <c r="BV370" i="1"/>
  <c r="BW370" i="1"/>
  <c r="BV371" i="1"/>
  <c r="BW371" i="1"/>
  <c r="BV372" i="1"/>
  <c r="BW372" i="1"/>
  <c r="BV373" i="1"/>
  <c r="BW373" i="1"/>
  <c r="BV374" i="1"/>
  <c r="BW374" i="1"/>
  <c r="BV375" i="1"/>
  <c r="BW375" i="1"/>
  <c r="BV376" i="1"/>
  <c r="BW376" i="1"/>
  <c r="BV377" i="1"/>
  <c r="BW377" i="1"/>
  <c r="BV378" i="1"/>
  <c r="BW378" i="1"/>
  <c r="BV379" i="1"/>
  <c r="BW379" i="1"/>
  <c r="BV380" i="1"/>
  <c r="BW380" i="1"/>
  <c r="BV381" i="1"/>
  <c r="BW381" i="1"/>
  <c r="BV382" i="1"/>
  <c r="BW382" i="1"/>
  <c r="BV383" i="1"/>
  <c r="BW383" i="1"/>
  <c r="BV384" i="1"/>
  <c r="BW384" i="1"/>
  <c r="BV385" i="1"/>
  <c r="BW385" i="1"/>
  <c r="BV386" i="1"/>
  <c r="BW386" i="1"/>
  <c r="BV387" i="1"/>
  <c r="BW387" i="1"/>
  <c r="BV388" i="1"/>
  <c r="BW388" i="1"/>
  <c r="BV389" i="1"/>
  <c r="BW389" i="1"/>
  <c r="BV390" i="1"/>
  <c r="BW390" i="1"/>
  <c r="BV391" i="1"/>
  <c r="BW391" i="1"/>
  <c r="BV392" i="1"/>
  <c r="BW392" i="1"/>
  <c r="BV393" i="1"/>
  <c r="BW393" i="1"/>
  <c r="BV394" i="1"/>
  <c r="BW394" i="1"/>
  <c r="BV395" i="1"/>
  <c r="BW395" i="1"/>
  <c r="BV396" i="1"/>
  <c r="BW396" i="1"/>
  <c r="BV397" i="1"/>
  <c r="BW397" i="1"/>
  <c r="BV398" i="1"/>
  <c r="BW398" i="1"/>
  <c r="BV399" i="1"/>
  <c r="BW399" i="1"/>
  <c r="BV400" i="1"/>
  <c r="BW400" i="1"/>
  <c r="BV401" i="1"/>
  <c r="BW401" i="1"/>
  <c r="BV402" i="1"/>
  <c r="BW402" i="1"/>
  <c r="BV403" i="1"/>
  <c r="BW403" i="1"/>
  <c r="BV404" i="1"/>
  <c r="BW404" i="1"/>
  <c r="BV405" i="1"/>
  <c r="BW405" i="1"/>
  <c r="BV406" i="1"/>
  <c r="BW406" i="1"/>
  <c r="BV407" i="1"/>
  <c r="BW407" i="1"/>
  <c r="BV408" i="1"/>
  <c r="BW408" i="1"/>
  <c r="BV409" i="1"/>
  <c r="BW409" i="1"/>
  <c r="BV410" i="1"/>
  <c r="BW410" i="1"/>
  <c r="BV411" i="1"/>
  <c r="BW411" i="1"/>
  <c r="BV412" i="1"/>
  <c r="BW412" i="1"/>
  <c r="BV413" i="1"/>
  <c r="BW413" i="1"/>
  <c r="BV414" i="1"/>
  <c r="BW414" i="1"/>
  <c r="BV415" i="1"/>
  <c r="BW415" i="1"/>
  <c r="BV416" i="1"/>
  <c r="BW416" i="1"/>
  <c r="BV417" i="1"/>
  <c r="BW417" i="1"/>
  <c r="BV418" i="1"/>
  <c r="BW418" i="1"/>
  <c r="BV419" i="1"/>
  <c r="BW419" i="1"/>
  <c r="BV420" i="1"/>
  <c r="BW420" i="1"/>
  <c r="BV421" i="1"/>
  <c r="BW421" i="1"/>
  <c r="BV422" i="1"/>
  <c r="BW422" i="1"/>
  <c r="BV423" i="1"/>
  <c r="BW423" i="1"/>
  <c r="BV424" i="1"/>
  <c r="BW424" i="1"/>
  <c r="BV425" i="1"/>
  <c r="BW425" i="1"/>
  <c r="BV426" i="1"/>
  <c r="BW426" i="1"/>
  <c r="BV427" i="1"/>
  <c r="BW427" i="1"/>
  <c r="BV428" i="1"/>
  <c r="BW428" i="1"/>
  <c r="BV429" i="1"/>
  <c r="BW429" i="1"/>
  <c r="BV430" i="1"/>
  <c r="BW430" i="1"/>
  <c r="BV431" i="1"/>
  <c r="BW431" i="1"/>
  <c r="BV432" i="1"/>
  <c r="BW432" i="1"/>
  <c r="BV433" i="1"/>
  <c r="BW433" i="1"/>
  <c r="BV434" i="1"/>
  <c r="BW434" i="1"/>
  <c r="BV435" i="1"/>
  <c r="BW435" i="1"/>
  <c r="BV436" i="1"/>
  <c r="BW436" i="1"/>
  <c r="BV437" i="1"/>
  <c r="BW437" i="1"/>
  <c r="BV438" i="1"/>
  <c r="BW438" i="1"/>
  <c r="BV439" i="1"/>
  <c r="BW439" i="1"/>
  <c r="BV440" i="1"/>
  <c r="BW440" i="1"/>
  <c r="BV441" i="1"/>
  <c r="BW441" i="1"/>
  <c r="BV442" i="1"/>
  <c r="BW442" i="1"/>
  <c r="BV443" i="1"/>
  <c r="BW443" i="1"/>
  <c r="BV444" i="1"/>
  <c r="BW444" i="1"/>
  <c r="BV445" i="1"/>
  <c r="BW445" i="1"/>
  <c r="BV446" i="1"/>
  <c r="BW446" i="1"/>
  <c r="BV447" i="1"/>
  <c r="BW447" i="1"/>
  <c r="BV448" i="1"/>
  <c r="BW448" i="1"/>
  <c r="BV449" i="1"/>
  <c r="BW449" i="1"/>
  <c r="BV450" i="1"/>
  <c r="BW450" i="1"/>
  <c r="BV451" i="1"/>
  <c r="BW451" i="1"/>
  <c r="BV452" i="1"/>
  <c r="BW452" i="1"/>
  <c r="BV453" i="1"/>
  <c r="BW453" i="1"/>
  <c r="BV454" i="1"/>
  <c r="BW454" i="1"/>
  <c r="BV455" i="1"/>
  <c r="BW455" i="1"/>
  <c r="BV456" i="1"/>
  <c r="BW456" i="1"/>
  <c r="BV457" i="1"/>
  <c r="BW457" i="1"/>
  <c r="BV458" i="1"/>
  <c r="BW458" i="1"/>
  <c r="BV459" i="1"/>
  <c r="BW459" i="1"/>
  <c r="BV460" i="1"/>
  <c r="BW460" i="1"/>
  <c r="BV461" i="1"/>
  <c r="BW461" i="1"/>
  <c r="BV462" i="1"/>
  <c r="BW462" i="1"/>
  <c r="BV463" i="1"/>
  <c r="BW463" i="1"/>
  <c r="BV464" i="1"/>
  <c r="BW464" i="1"/>
  <c r="BV465" i="1"/>
  <c r="BW465" i="1"/>
  <c r="BV466" i="1"/>
  <c r="BW466" i="1"/>
  <c r="BV467" i="1"/>
  <c r="BW467" i="1"/>
  <c r="BV468" i="1"/>
  <c r="BW468" i="1"/>
  <c r="BV469" i="1"/>
  <c r="BW469" i="1"/>
  <c r="BV470" i="1"/>
  <c r="BW470" i="1"/>
  <c r="BV471" i="1"/>
  <c r="BW471" i="1"/>
  <c r="BV472" i="1"/>
  <c r="BW472" i="1"/>
  <c r="BV473" i="1"/>
  <c r="BW473" i="1"/>
  <c r="BV474" i="1"/>
  <c r="BW474" i="1"/>
  <c r="BV475" i="1"/>
  <c r="BW475" i="1"/>
  <c r="BV476" i="1"/>
  <c r="BW476" i="1"/>
  <c r="BV477" i="1"/>
  <c r="BW477" i="1"/>
  <c r="BV478" i="1"/>
  <c r="BW478" i="1"/>
  <c r="BV479" i="1"/>
  <c r="BW479" i="1"/>
  <c r="BV480" i="1"/>
  <c r="BW480" i="1"/>
  <c r="BV481" i="1"/>
  <c r="BW481" i="1"/>
  <c r="BV482" i="1"/>
  <c r="BW482" i="1"/>
  <c r="BV483" i="1"/>
  <c r="BW483" i="1"/>
  <c r="BV484" i="1"/>
  <c r="BW484" i="1"/>
  <c r="BV485" i="1"/>
  <c r="BW485" i="1"/>
  <c r="BV486" i="1"/>
  <c r="BW486" i="1"/>
  <c r="BV487" i="1"/>
  <c r="BW487" i="1"/>
  <c r="BV488" i="1"/>
  <c r="BW488" i="1"/>
  <c r="BV489" i="1"/>
  <c r="BW489" i="1"/>
  <c r="BV490" i="1"/>
  <c r="BW490" i="1"/>
  <c r="BV491" i="1"/>
  <c r="BW491" i="1"/>
  <c r="BV492" i="1"/>
  <c r="BW492" i="1"/>
  <c r="BV493" i="1"/>
  <c r="BW493" i="1"/>
  <c r="BV494" i="1"/>
  <c r="BW494" i="1"/>
  <c r="BV495" i="1"/>
  <c r="BW495" i="1"/>
  <c r="BV496" i="1"/>
  <c r="BW496" i="1"/>
  <c r="BV497" i="1"/>
  <c r="BW497" i="1"/>
  <c r="BV498" i="1"/>
  <c r="BW498" i="1"/>
  <c r="BV499" i="1"/>
  <c r="BW499" i="1"/>
  <c r="BV500" i="1"/>
  <c r="BW500" i="1"/>
  <c r="BV501" i="1"/>
  <c r="BW501" i="1"/>
  <c r="BV502" i="1"/>
  <c r="BW502" i="1"/>
  <c r="BV503" i="1"/>
  <c r="BW503" i="1"/>
  <c r="BV504" i="1"/>
  <c r="BW504" i="1"/>
  <c r="BV505" i="1"/>
  <c r="BW505" i="1"/>
  <c r="BV506" i="1"/>
  <c r="BW506" i="1"/>
  <c r="BV507" i="1"/>
  <c r="BW507" i="1"/>
  <c r="BV508" i="1"/>
  <c r="BW508" i="1"/>
  <c r="BV509" i="1"/>
  <c r="BW509" i="1"/>
  <c r="BV510" i="1"/>
  <c r="BW510" i="1"/>
  <c r="BV511" i="1"/>
  <c r="BW511" i="1"/>
  <c r="BV512" i="1"/>
  <c r="BW512" i="1"/>
  <c r="BV513" i="1"/>
  <c r="BW513" i="1"/>
  <c r="BV514" i="1"/>
  <c r="BW514" i="1"/>
  <c r="BV515" i="1"/>
  <c r="BW515" i="1"/>
  <c r="BV516" i="1"/>
  <c r="BW516" i="1"/>
  <c r="BV517" i="1"/>
  <c r="BW517" i="1"/>
  <c r="BV518" i="1"/>
  <c r="BW518" i="1"/>
  <c r="BV519" i="1"/>
  <c r="BW519" i="1"/>
  <c r="BV520" i="1"/>
  <c r="BW520" i="1"/>
  <c r="BV521" i="1"/>
  <c r="BW521" i="1"/>
  <c r="BV522" i="1"/>
  <c r="BW522" i="1"/>
  <c r="BV523" i="1"/>
  <c r="BW523" i="1"/>
  <c r="BV524" i="1"/>
  <c r="BW524" i="1"/>
  <c r="BV525" i="1"/>
  <c r="BW525" i="1"/>
  <c r="BV526" i="1"/>
  <c r="BW526" i="1"/>
  <c r="BV527" i="1"/>
  <c r="BW527" i="1"/>
  <c r="BV528" i="1"/>
  <c r="BW528" i="1"/>
  <c r="BV529" i="1"/>
  <c r="BW529" i="1"/>
  <c r="BV530" i="1"/>
  <c r="BW530" i="1"/>
  <c r="BV531" i="1"/>
  <c r="BW531" i="1"/>
  <c r="BV532" i="1"/>
  <c r="BW532" i="1"/>
  <c r="BV533" i="1"/>
  <c r="BW533" i="1"/>
  <c r="BV534" i="1"/>
  <c r="BW534" i="1"/>
  <c r="BV535" i="1"/>
  <c r="BW535" i="1"/>
  <c r="BV536" i="1"/>
  <c r="BW536" i="1"/>
  <c r="BV537" i="1"/>
  <c r="BW537" i="1"/>
  <c r="BV538" i="1"/>
  <c r="BW538" i="1"/>
  <c r="BV539" i="1"/>
  <c r="BW539" i="1"/>
  <c r="BV540" i="1"/>
  <c r="BW540" i="1"/>
  <c r="BV541" i="1"/>
  <c r="BW541" i="1"/>
  <c r="BV542" i="1"/>
  <c r="BW542" i="1"/>
  <c r="BV543" i="1"/>
  <c r="BW543" i="1"/>
  <c r="BV544" i="1"/>
  <c r="BW544" i="1"/>
  <c r="BV545" i="1"/>
  <c r="BW545" i="1"/>
  <c r="BV546" i="1"/>
  <c r="BW546" i="1"/>
  <c r="BV547" i="1"/>
  <c r="BW547" i="1"/>
  <c r="BV548" i="1"/>
  <c r="BW548" i="1"/>
  <c r="BV549" i="1"/>
  <c r="BW549" i="1"/>
  <c r="BV550" i="1"/>
  <c r="BW550" i="1"/>
  <c r="BV551" i="1"/>
  <c r="BW551" i="1"/>
  <c r="BV552" i="1"/>
  <c r="BW552" i="1"/>
  <c r="BV553" i="1"/>
  <c r="BW553" i="1"/>
  <c r="BV554" i="1"/>
  <c r="BW554" i="1"/>
  <c r="BV555" i="1"/>
  <c r="BW555" i="1"/>
  <c r="BV561" i="1"/>
  <c r="BW561" i="1"/>
  <c r="BV562" i="1"/>
  <c r="BW562" i="1"/>
  <c r="BV563" i="1"/>
  <c r="BW563" i="1"/>
  <c r="BV260" i="1"/>
  <c r="BW260" i="1"/>
  <c r="BZ560" i="1"/>
  <c r="BZ559" i="1"/>
  <c r="BZ558" i="1"/>
  <c r="BZ557" i="1"/>
  <c r="BZ556" i="1"/>
  <c r="BZ267" i="1"/>
  <c r="BZ268" i="1"/>
  <c r="BZ269" i="1"/>
  <c r="BZ270" i="1"/>
  <c r="BZ271" i="1"/>
  <c r="BZ272" i="1"/>
  <c r="BZ273" i="1"/>
  <c r="BZ274" i="1"/>
  <c r="BZ275" i="1"/>
  <c r="BZ276" i="1"/>
  <c r="BZ277" i="1"/>
  <c r="BZ278" i="1"/>
  <c r="BZ279" i="1"/>
  <c r="BZ280" i="1"/>
  <c r="BZ281" i="1"/>
  <c r="BZ282" i="1"/>
  <c r="BZ283" i="1"/>
  <c r="BZ284" i="1"/>
  <c r="BZ285" i="1"/>
  <c r="BZ286" i="1"/>
  <c r="BZ287" i="1"/>
  <c r="BZ288" i="1"/>
  <c r="BZ289" i="1"/>
  <c r="BZ290" i="1"/>
  <c r="BZ291" i="1"/>
  <c r="BZ292" i="1"/>
  <c r="BZ293" i="1"/>
  <c r="BZ294" i="1"/>
  <c r="BZ295" i="1"/>
  <c r="BZ296" i="1"/>
  <c r="BZ297" i="1"/>
  <c r="BZ298" i="1"/>
  <c r="BZ299" i="1"/>
  <c r="BZ300" i="1"/>
  <c r="BZ301" i="1"/>
  <c r="BZ302" i="1"/>
  <c r="BZ303" i="1"/>
  <c r="BZ304" i="1"/>
  <c r="BZ305" i="1"/>
  <c r="BZ306" i="1"/>
  <c r="BZ307" i="1"/>
  <c r="BZ308" i="1"/>
  <c r="BZ309" i="1"/>
  <c r="BZ310" i="1"/>
  <c r="BZ311" i="1"/>
  <c r="BZ312" i="1"/>
  <c r="BZ313" i="1"/>
  <c r="BZ314" i="1"/>
  <c r="BZ315" i="1"/>
  <c r="BZ316" i="1"/>
  <c r="BZ317" i="1"/>
  <c r="BZ318" i="1"/>
  <c r="BZ319" i="1"/>
  <c r="BZ320" i="1"/>
  <c r="BZ321" i="1"/>
  <c r="BZ322" i="1"/>
  <c r="BZ323" i="1"/>
  <c r="BZ324" i="1"/>
  <c r="BZ325" i="1"/>
  <c r="BZ326" i="1"/>
  <c r="BZ327" i="1"/>
  <c r="BZ328" i="1"/>
  <c r="BZ329" i="1"/>
  <c r="BZ330" i="1"/>
  <c r="BZ331" i="1"/>
  <c r="BZ332" i="1"/>
  <c r="BZ333" i="1"/>
  <c r="BZ334" i="1"/>
  <c r="BZ335" i="1"/>
  <c r="BZ336" i="1"/>
  <c r="BZ337" i="1"/>
  <c r="BZ338" i="1"/>
  <c r="BZ339" i="1"/>
  <c r="BZ340" i="1"/>
  <c r="BZ341" i="1"/>
  <c r="BZ342" i="1"/>
  <c r="BZ343" i="1"/>
  <c r="BZ344" i="1"/>
  <c r="BZ345" i="1"/>
  <c r="BZ346" i="1"/>
  <c r="BZ347" i="1"/>
  <c r="BZ348" i="1"/>
  <c r="BZ349" i="1"/>
  <c r="BZ350" i="1"/>
  <c r="BZ351" i="1"/>
  <c r="BZ352" i="1"/>
  <c r="BZ353" i="1"/>
  <c r="BZ354" i="1"/>
  <c r="BZ355" i="1"/>
  <c r="BZ356" i="1"/>
  <c r="BZ357" i="1"/>
  <c r="BZ358" i="1"/>
  <c r="BZ359" i="1"/>
  <c r="BZ360" i="1"/>
  <c r="BZ361" i="1"/>
  <c r="BZ362" i="1"/>
  <c r="BZ363" i="1"/>
  <c r="BZ364" i="1"/>
  <c r="BZ365" i="1"/>
  <c r="BZ366" i="1"/>
  <c r="BZ367" i="1"/>
  <c r="BZ368" i="1"/>
  <c r="BZ369" i="1"/>
  <c r="BZ370" i="1"/>
  <c r="BZ371" i="1"/>
  <c r="BZ372" i="1"/>
  <c r="BZ373" i="1"/>
  <c r="BZ374" i="1"/>
  <c r="BZ375" i="1"/>
  <c r="BZ376" i="1"/>
  <c r="BZ377" i="1"/>
  <c r="BZ378" i="1"/>
  <c r="BZ379" i="1"/>
  <c r="BZ380" i="1"/>
  <c r="BZ381" i="1"/>
  <c r="BZ382" i="1"/>
  <c r="BZ383" i="1"/>
  <c r="BZ384" i="1"/>
  <c r="BZ385" i="1"/>
  <c r="BZ386" i="1"/>
  <c r="BZ387" i="1"/>
  <c r="BZ388" i="1"/>
  <c r="BZ389" i="1"/>
  <c r="BZ390" i="1"/>
  <c r="BZ391" i="1"/>
  <c r="BZ392" i="1"/>
  <c r="BZ393" i="1"/>
  <c r="BZ394" i="1"/>
  <c r="BZ395" i="1"/>
  <c r="BZ396" i="1"/>
  <c r="BZ397" i="1"/>
  <c r="BZ398" i="1"/>
  <c r="BZ399" i="1"/>
  <c r="BZ400" i="1"/>
  <c r="BZ401" i="1"/>
  <c r="BZ402" i="1"/>
  <c r="BZ403" i="1"/>
  <c r="BZ404" i="1"/>
  <c r="BZ405" i="1"/>
  <c r="BZ406" i="1"/>
  <c r="BZ407" i="1"/>
  <c r="BZ408" i="1"/>
  <c r="BZ409" i="1"/>
  <c r="BZ410" i="1"/>
  <c r="BZ411" i="1"/>
  <c r="BZ412" i="1"/>
  <c r="BZ413" i="1"/>
  <c r="BZ414" i="1"/>
  <c r="BZ415" i="1"/>
  <c r="BZ416" i="1"/>
  <c r="BZ417" i="1"/>
  <c r="BZ418" i="1"/>
  <c r="BZ419" i="1"/>
  <c r="BZ420" i="1"/>
  <c r="BZ421" i="1"/>
  <c r="BZ422" i="1"/>
  <c r="BZ423" i="1"/>
  <c r="BZ424" i="1"/>
  <c r="BZ425" i="1"/>
  <c r="BZ426" i="1"/>
  <c r="BZ427" i="1"/>
  <c r="BZ428" i="1"/>
  <c r="BZ429" i="1"/>
  <c r="BZ430" i="1"/>
  <c r="BZ431" i="1"/>
  <c r="BZ432" i="1"/>
  <c r="BZ433" i="1"/>
  <c r="BZ434" i="1"/>
  <c r="BZ435" i="1"/>
  <c r="BZ436" i="1"/>
  <c r="BZ437" i="1"/>
  <c r="BZ438" i="1"/>
  <c r="BZ439" i="1"/>
  <c r="BZ440" i="1"/>
  <c r="BZ441" i="1"/>
  <c r="BZ442" i="1"/>
  <c r="BZ443" i="1"/>
  <c r="BZ444" i="1"/>
  <c r="BZ445" i="1"/>
  <c r="BZ446" i="1"/>
  <c r="BZ447" i="1"/>
  <c r="BZ448" i="1"/>
  <c r="BZ449" i="1"/>
  <c r="BZ450" i="1"/>
  <c r="BZ451" i="1"/>
  <c r="BZ452" i="1"/>
  <c r="BZ453" i="1"/>
  <c r="BZ454" i="1"/>
  <c r="BZ455" i="1"/>
  <c r="BZ456" i="1"/>
  <c r="BZ457" i="1"/>
  <c r="BZ458" i="1"/>
  <c r="BZ459" i="1"/>
  <c r="BZ460" i="1"/>
  <c r="BZ461" i="1"/>
  <c r="BZ462" i="1"/>
  <c r="BZ463" i="1"/>
  <c r="BZ464" i="1"/>
  <c r="BZ465" i="1"/>
  <c r="BZ466" i="1"/>
  <c r="BZ467" i="1"/>
  <c r="BZ468" i="1"/>
  <c r="BZ469" i="1"/>
  <c r="BZ470" i="1"/>
  <c r="BZ471" i="1"/>
  <c r="BZ472" i="1"/>
  <c r="BZ473" i="1"/>
  <c r="BZ474" i="1"/>
  <c r="BZ475" i="1"/>
  <c r="BZ476" i="1"/>
  <c r="BZ477" i="1"/>
  <c r="BZ478" i="1"/>
  <c r="BZ479" i="1"/>
  <c r="BZ480" i="1"/>
  <c r="BZ481" i="1"/>
  <c r="BZ482" i="1"/>
  <c r="BZ483" i="1"/>
  <c r="BZ484" i="1"/>
  <c r="BZ485" i="1"/>
  <c r="BZ486" i="1"/>
  <c r="BZ487" i="1"/>
  <c r="BZ488" i="1"/>
  <c r="BZ489" i="1"/>
  <c r="BZ490" i="1"/>
  <c r="BZ491" i="1"/>
  <c r="BZ492" i="1"/>
  <c r="BZ493" i="1"/>
  <c r="BZ494" i="1"/>
  <c r="BZ495" i="1"/>
  <c r="BZ496" i="1"/>
  <c r="BZ497" i="1"/>
  <c r="BZ498" i="1"/>
  <c r="BZ499" i="1"/>
  <c r="BZ500" i="1"/>
  <c r="BZ501" i="1"/>
  <c r="BZ502" i="1"/>
  <c r="BZ503" i="1"/>
  <c r="BZ504" i="1"/>
  <c r="BZ505" i="1"/>
  <c r="BZ506" i="1"/>
  <c r="BZ507" i="1"/>
  <c r="BZ508" i="1"/>
  <c r="BZ509" i="1"/>
  <c r="BZ510" i="1"/>
  <c r="BZ511" i="1"/>
  <c r="BZ512" i="1"/>
  <c r="BZ513" i="1"/>
  <c r="BZ514" i="1"/>
  <c r="BZ260" i="1"/>
  <c r="BZ515" i="1"/>
  <c r="BZ516" i="1"/>
  <c r="BZ517" i="1"/>
  <c r="BZ518" i="1"/>
  <c r="BZ519" i="1"/>
  <c r="BZ520" i="1"/>
  <c r="BZ521" i="1"/>
  <c r="BZ522" i="1"/>
  <c r="BZ523" i="1"/>
  <c r="BZ524" i="1"/>
  <c r="BZ525" i="1"/>
  <c r="BZ526" i="1"/>
  <c r="BZ527" i="1"/>
  <c r="BZ528" i="1"/>
  <c r="BZ529" i="1"/>
  <c r="BZ530" i="1"/>
  <c r="BZ531" i="1"/>
  <c r="BZ532" i="1"/>
  <c r="BZ533" i="1"/>
  <c r="BZ534" i="1"/>
  <c r="BZ535" i="1"/>
  <c r="BZ536" i="1"/>
  <c r="BZ537" i="1"/>
  <c r="BZ538" i="1"/>
  <c r="BZ539" i="1"/>
  <c r="BZ540" i="1"/>
  <c r="BZ541" i="1"/>
  <c r="BZ542" i="1"/>
  <c r="BZ543" i="1"/>
  <c r="BZ544" i="1"/>
  <c r="BZ545" i="1"/>
  <c r="BZ546" i="1"/>
  <c r="BZ547" i="1"/>
  <c r="BZ548" i="1"/>
  <c r="BZ549" i="1"/>
  <c r="BZ550" i="1"/>
  <c r="BZ551" i="1"/>
  <c r="BZ552" i="1"/>
  <c r="BZ553" i="1"/>
  <c r="BZ554" i="1"/>
  <c r="BZ555" i="1"/>
  <c r="BZ561" i="1"/>
  <c r="BZ562" i="1"/>
  <c r="BZ563" i="1"/>
  <c r="AU515" i="1"/>
  <c r="BX514" i="1"/>
  <c r="BG515" i="1"/>
  <c r="BX515" i="1"/>
  <c r="BG516" i="1"/>
  <c r="BX516" i="1"/>
  <c r="BG517" i="1"/>
  <c r="BX517" i="1"/>
  <c r="BG518" i="1"/>
  <c r="BX518" i="1"/>
  <c r="BG519" i="1"/>
  <c r="BX519" i="1"/>
  <c r="BG520" i="1"/>
  <c r="BX520" i="1"/>
  <c r="BG521" i="1"/>
  <c r="BX521" i="1"/>
  <c r="BG522" i="1"/>
  <c r="BX522" i="1"/>
  <c r="BG523" i="1"/>
  <c r="BX523" i="1"/>
  <c r="BG524" i="1"/>
  <c r="BX524" i="1"/>
  <c r="BG525" i="1"/>
  <c r="BX525" i="1"/>
  <c r="BG526" i="1"/>
  <c r="BX526" i="1"/>
  <c r="BG527" i="1"/>
  <c r="BX527" i="1"/>
  <c r="BG528" i="1"/>
  <c r="BX528" i="1"/>
  <c r="BG529" i="1"/>
  <c r="BX529" i="1"/>
  <c r="BG530" i="1"/>
  <c r="BX530" i="1"/>
  <c r="BG531" i="1"/>
  <c r="BX531" i="1"/>
  <c r="BG532" i="1"/>
  <c r="BX532" i="1"/>
  <c r="BG533" i="1"/>
  <c r="BX533" i="1"/>
  <c r="BG534" i="1"/>
  <c r="BX534" i="1"/>
  <c r="BG535" i="1"/>
  <c r="BX535" i="1"/>
  <c r="BG536" i="1"/>
  <c r="BX536" i="1"/>
  <c r="BG537" i="1"/>
  <c r="BX537" i="1"/>
  <c r="BG538" i="1"/>
  <c r="BX538" i="1"/>
  <c r="BG539" i="1"/>
  <c r="BX539" i="1"/>
  <c r="BG540" i="1"/>
  <c r="BX540" i="1"/>
  <c r="BG541" i="1"/>
  <c r="BX541" i="1"/>
  <c r="BG542" i="1"/>
  <c r="BX542" i="1"/>
  <c r="BG543" i="1"/>
  <c r="BX543" i="1"/>
  <c r="BG544" i="1"/>
  <c r="BX544" i="1"/>
  <c r="BG545" i="1"/>
  <c r="BX545" i="1"/>
  <c r="BG546" i="1"/>
  <c r="BX546" i="1"/>
  <c r="BG547" i="1"/>
  <c r="BX547" i="1"/>
  <c r="BG548" i="1"/>
  <c r="BX548" i="1"/>
  <c r="BG549" i="1"/>
  <c r="BX549" i="1"/>
  <c r="BG550" i="1"/>
  <c r="BX550" i="1"/>
  <c r="BG551" i="1"/>
  <c r="BX551" i="1"/>
  <c r="BG552" i="1"/>
  <c r="BX552" i="1"/>
  <c r="BG553" i="1"/>
  <c r="BX553" i="1"/>
  <c r="BG554" i="1"/>
  <c r="BX554" i="1"/>
  <c r="BG555" i="1"/>
  <c r="BX555" i="1"/>
  <c r="BG561" i="1"/>
  <c r="BX561" i="1"/>
  <c r="BG562" i="1"/>
  <c r="BX562" i="1"/>
  <c r="BG563" i="1"/>
  <c r="BX563" i="1"/>
  <c r="AU400" i="1"/>
  <c r="BY254" i="1"/>
  <c r="BG254" i="1"/>
  <c r="BX254" i="1"/>
  <c r="BW254" i="1"/>
  <c r="BV254" i="1"/>
  <c r="BZ254" i="1"/>
  <c r="BY265" i="1"/>
  <c r="BG265" i="1"/>
  <c r="BY264" i="1"/>
  <c r="BG264" i="1"/>
  <c r="BY263" i="1"/>
  <c r="BG263" i="1"/>
  <c r="BY262" i="1"/>
  <c r="BG262" i="1"/>
  <c r="BY261" i="1"/>
  <c r="BG261" i="1"/>
  <c r="BX265" i="1"/>
  <c r="BX264" i="1"/>
  <c r="BX263" i="1"/>
  <c r="BX262" i="1"/>
  <c r="BX261" i="1"/>
  <c r="BW265" i="1"/>
  <c r="BV265" i="1"/>
  <c r="BW264" i="1"/>
  <c r="BV264" i="1"/>
  <c r="BW263" i="1"/>
  <c r="BV263" i="1"/>
  <c r="BW262" i="1"/>
  <c r="BV262" i="1"/>
  <c r="BW261" i="1"/>
  <c r="BV261" i="1"/>
  <c r="BZ265" i="1"/>
  <c r="BZ264" i="1"/>
  <c r="BZ263" i="1"/>
  <c r="BZ262" i="1"/>
  <c r="BZ261" i="1"/>
  <c r="BY266" i="1"/>
  <c r="BG266" i="1"/>
  <c r="BX266" i="1"/>
  <c r="BW266" i="1"/>
  <c r="BV266" i="1"/>
  <c r="BZ266" i="1"/>
  <c r="BG260" i="1"/>
  <c r="BY249" i="1"/>
  <c r="BG249" i="1"/>
  <c r="BY248" i="1"/>
  <c r="BG248" i="1"/>
  <c r="BY247" i="1"/>
  <c r="BG247" i="1"/>
  <c r="BY246" i="1"/>
  <c r="BG246" i="1"/>
  <c r="BY245" i="1"/>
  <c r="BG245" i="1"/>
  <c r="BY244" i="1"/>
  <c r="BG244" i="1"/>
  <c r="BG230" i="1"/>
  <c r="BY230" i="1"/>
  <c r="BG228" i="1"/>
  <c r="BY228" i="1"/>
  <c r="BG229" i="1"/>
  <c r="BY229" i="1"/>
  <c r="BX249" i="1"/>
  <c r="BX248" i="1"/>
  <c r="BX247" i="1"/>
  <c r="BX246" i="1"/>
  <c r="BX245" i="1"/>
  <c r="BX244" i="1"/>
  <c r="BX230" i="1"/>
  <c r="BX228" i="1"/>
  <c r="BX229" i="1"/>
  <c r="BW249" i="1"/>
  <c r="BV249" i="1"/>
  <c r="BW248" i="1"/>
  <c r="BV248" i="1"/>
  <c r="BW247" i="1"/>
  <c r="BV247" i="1"/>
  <c r="BW246" i="1"/>
  <c r="BV246" i="1"/>
  <c r="BW245" i="1"/>
  <c r="BV245" i="1"/>
  <c r="BW244" i="1"/>
  <c r="BV244" i="1"/>
  <c r="BV230" i="1"/>
  <c r="BW230" i="1"/>
  <c r="BV228" i="1"/>
  <c r="BW228" i="1"/>
  <c r="BV229" i="1"/>
  <c r="BW229" i="1"/>
  <c r="AU180" i="1"/>
  <c r="BZ249" i="1"/>
  <c r="BZ248" i="1"/>
  <c r="BZ247" i="1"/>
  <c r="BZ246" i="1"/>
  <c r="BZ245" i="1"/>
  <c r="BZ244" i="1"/>
  <c r="BZ230" i="1"/>
  <c r="BZ228" i="1"/>
  <c r="BZ229" i="1"/>
  <c r="BY250" i="1"/>
  <c r="BG250" i="1"/>
  <c r="BY243" i="1"/>
  <c r="BG243" i="1"/>
  <c r="BY242" i="1"/>
  <c r="BG242" i="1"/>
  <c r="BY241" i="1"/>
  <c r="BG241" i="1"/>
  <c r="BX250" i="1"/>
  <c r="BX243" i="1"/>
  <c r="BX242" i="1"/>
  <c r="BX241" i="1"/>
  <c r="BW250" i="1"/>
  <c r="BV250" i="1"/>
  <c r="BW243" i="1"/>
  <c r="BV243" i="1"/>
  <c r="BW242" i="1"/>
  <c r="BV242" i="1"/>
  <c r="BW241" i="1"/>
  <c r="BV241" i="1"/>
  <c r="BZ250" i="1"/>
  <c r="BZ243" i="1"/>
  <c r="BZ242" i="1"/>
  <c r="BZ241" i="1"/>
  <c r="BY251" i="1"/>
  <c r="BG251" i="1"/>
  <c r="BY240" i="1"/>
  <c r="BG240" i="1"/>
  <c r="BY239" i="1"/>
  <c r="BG239" i="1"/>
  <c r="BX251" i="1"/>
  <c r="BX240" i="1"/>
  <c r="BX239" i="1"/>
  <c r="BW251" i="1"/>
  <c r="BV251" i="1"/>
  <c r="BW240" i="1"/>
  <c r="BV240" i="1"/>
  <c r="BW239" i="1"/>
  <c r="BV239" i="1"/>
  <c r="BZ251" i="1"/>
  <c r="BZ240" i="1"/>
  <c r="BZ239" i="1"/>
  <c r="BY237" i="1"/>
  <c r="BG237" i="1"/>
  <c r="BY236" i="1"/>
  <c r="BG236" i="1"/>
  <c r="BY235" i="1"/>
  <c r="BG235" i="1"/>
  <c r="BX237" i="1"/>
  <c r="BX236" i="1"/>
  <c r="BX235" i="1"/>
  <c r="BW237" i="1"/>
  <c r="BV237" i="1"/>
  <c r="BW236" i="1"/>
  <c r="BV236" i="1"/>
  <c r="BW235" i="1"/>
  <c r="BV235" i="1"/>
  <c r="BZ237" i="1"/>
  <c r="BZ236" i="1"/>
  <c r="BZ235" i="1"/>
  <c r="BY225" i="1"/>
  <c r="BG225" i="1"/>
  <c r="BY224" i="1"/>
  <c r="BG224" i="1"/>
  <c r="BY223" i="1"/>
  <c r="BG223" i="1"/>
  <c r="BY222" i="1"/>
  <c r="BG222" i="1"/>
  <c r="BY221" i="1"/>
  <c r="BG221" i="1"/>
  <c r="BY220" i="1"/>
  <c r="BG220" i="1"/>
  <c r="BY219" i="1"/>
  <c r="BG219" i="1"/>
  <c r="BY218" i="1"/>
  <c r="BG218" i="1"/>
  <c r="BY217" i="1"/>
  <c r="BG217" i="1"/>
  <c r="BX225" i="1"/>
  <c r="BX224" i="1"/>
  <c r="BX223" i="1"/>
  <c r="BX222" i="1"/>
  <c r="BX221" i="1"/>
  <c r="BX220" i="1"/>
  <c r="BX219" i="1"/>
  <c r="BX218" i="1"/>
  <c r="BX217" i="1"/>
  <c r="BW225" i="1"/>
  <c r="BV225" i="1"/>
  <c r="BW224" i="1"/>
  <c r="BV224" i="1"/>
  <c r="BW223" i="1"/>
  <c r="BV223" i="1"/>
  <c r="BW222" i="1"/>
  <c r="BV222" i="1"/>
  <c r="BW221" i="1"/>
  <c r="BV221" i="1"/>
  <c r="BW220" i="1"/>
  <c r="BV220" i="1"/>
  <c r="BW219" i="1"/>
  <c r="BV219" i="1"/>
  <c r="BW218" i="1"/>
  <c r="BV218" i="1"/>
  <c r="BW217" i="1"/>
  <c r="BV217" i="1"/>
  <c r="BZ225" i="1"/>
  <c r="BZ224" i="1"/>
  <c r="BZ223" i="1"/>
  <c r="BZ222" i="1"/>
  <c r="BZ221" i="1"/>
  <c r="BZ220" i="1"/>
  <c r="BZ219" i="1"/>
  <c r="BZ218" i="1"/>
  <c r="BZ217" i="1"/>
  <c r="BY233" i="1"/>
  <c r="BG233" i="1"/>
  <c r="BY232" i="1"/>
  <c r="BG232" i="1"/>
  <c r="BY231" i="1"/>
  <c r="BG231" i="1"/>
  <c r="BY227" i="1"/>
  <c r="BG227" i="1"/>
  <c r="BY226" i="1"/>
  <c r="BG226" i="1"/>
  <c r="BY4" i="1"/>
  <c r="BY5" i="1"/>
  <c r="BY6" i="1"/>
  <c r="BY7" i="1"/>
  <c r="BY8" i="1"/>
  <c r="BY9" i="1"/>
  <c r="BY10" i="1"/>
  <c r="BY11" i="1"/>
  <c r="BY12" i="1"/>
  <c r="BY13" i="1"/>
  <c r="BY14" i="1"/>
  <c r="BY15" i="1"/>
  <c r="BY16" i="1"/>
  <c r="BY17" i="1"/>
  <c r="BY18" i="1"/>
  <c r="BY19" i="1"/>
  <c r="BY20" i="1"/>
  <c r="BY21" i="1"/>
  <c r="BY22" i="1"/>
  <c r="BY23" i="1"/>
  <c r="BY24" i="1"/>
  <c r="BY25" i="1"/>
  <c r="BY26" i="1"/>
  <c r="BY27" i="1"/>
  <c r="BY28" i="1"/>
  <c r="BY29" i="1"/>
  <c r="BY30" i="1"/>
  <c r="BY31" i="1"/>
  <c r="BY32" i="1"/>
  <c r="BY33" i="1"/>
  <c r="BY34" i="1"/>
  <c r="BY35" i="1"/>
  <c r="BY36" i="1"/>
  <c r="BY37" i="1"/>
  <c r="BY38" i="1"/>
  <c r="BY39" i="1"/>
  <c r="BY40" i="1"/>
  <c r="BY41" i="1"/>
  <c r="BY42" i="1"/>
  <c r="BY43" i="1"/>
  <c r="BY44" i="1"/>
  <c r="BY45" i="1"/>
  <c r="BY46" i="1"/>
  <c r="BY47" i="1"/>
  <c r="BY48" i="1"/>
  <c r="BY49" i="1"/>
  <c r="BY50" i="1"/>
  <c r="BY51" i="1"/>
  <c r="BY52" i="1"/>
  <c r="BY53" i="1"/>
  <c r="BY54" i="1"/>
  <c r="BY55" i="1"/>
  <c r="BY56" i="1"/>
  <c r="BY57" i="1"/>
  <c r="BY58" i="1"/>
  <c r="BY59" i="1"/>
  <c r="BY60" i="1"/>
  <c r="BY61" i="1"/>
  <c r="BY62" i="1"/>
  <c r="BY63" i="1"/>
  <c r="BY64" i="1"/>
  <c r="BY65" i="1"/>
  <c r="BY66" i="1"/>
  <c r="BY67" i="1"/>
  <c r="BY68" i="1"/>
  <c r="BY69" i="1"/>
  <c r="BY70" i="1"/>
  <c r="BY71" i="1"/>
  <c r="BY72" i="1"/>
  <c r="BY73" i="1"/>
  <c r="BY74" i="1"/>
  <c r="BY75" i="1"/>
  <c r="BY76" i="1"/>
  <c r="BY77" i="1"/>
  <c r="BY78" i="1"/>
  <c r="BY79" i="1"/>
  <c r="BY80" i="1"/>
  <c r="BY81" i="1"/>
  <c r="BY82" i="1"/>
  <c r="BY83" i="1"/>
  <c r="BY84" i="1"/>
  <c r="BY85" i="1"/>
  <c r="BY86" i="1"/>
  <c r="BY87" i="1"/>
  <c r="BY88" i="1"/>
  <c r="BY89" i="1"/>
  <c r="BY90" i="1"/>
  <c r="BY91" i="1"/>
  <c r="BY92" i="1"/>
  <c r="BY93" i="1"/>
  <c r="BY94" i="1"/>
  <c r="BY95" i="1"/>
  <c r="BY96" i="1"/>
  <c r="BY97" i="1"/>
  <c r="BY98" i="1"/>
  <c r="BY99" i="1"/>
  <c r="BY100" i="1"/>
  <c r="BY101" i="1"/>
  <c r="BY102" i="1"/>
  <c r="BY103" i="1"/>
  <c r="BY104" i="1"/>
  <c r="BY105" i="1"/>
  <c r="BY106" i="1"/>
  <c r="BY107" i="1"/>
  <c r="BY108" i="1"/>
  <c r="BY109" i="1"/>
  <c r="BY110" i="1"/>
  <c r="BY111" i="1"/>
  <c r="BY112" i="1"/>
  <c r="BY113" i="1"/>
  <c r="BY114" i="1"/>
  <c r="BY115" i="1"/>
  <c r="BY116" i="1"/>
  <c r="BY117" i="1"/>
  <c r="BY118" i="1"/>
  <c r="BY119" i="1"/>
  <c r="BY120" i="1"/>
  <c r="BY121" i="1"/>
  <c r="BY122" i="1"/>
  <c r="BY123" i="1"/>
  <c r="BY124" i="1"/>
  <c r="BY125" i="1"/>
  <c r="BY126" i="1"/>
  <c r="BY127" i="1"/>
  <c r="BY128" i="1"/>
  <c r="BY129" i="1"/>
  <c r="BY130" i="1"/>
  <c r="BY131" i="1"/>
  <c r="BY132" i="1"/>
  <c r="BY133" i="1"/>
  <c r="BY134" i="1"/>
  <c r="BY135" i="1"/>
  <c r="BY136" i="1"/>
  <c r="BY137" i="1"/>
  <c r="BY138" i="1"/>
  <c r="BY139" i="1"/>
  <c r="BY140" i="1"/>
  <c r="BY141" i="1"/>
  <c r="BY142" i="1"/>
  <c r="BY143" i="1"/>
  <c r="BY144" i="1"/>
  <c r="BY145" i="1"/>
  <c r="BY146" i="1"/>
  <c r="BY147" i="1"/>
  <c r="BY148" i="1"/>
  <c r="BY149" i="1"/>
  <c r="BY150" i="1"/>
  <c r="BY151" i="1"/>
  <c r="BY152" i="1"/>
  <c r="BY153" i="1"/>
  <c r="BY154" i="1"/>
  <c r="BY155" i="1"/>
  <c r="BY156" i="1"/>
  <c r="BY157" i="1"/>
  <c r="BY158" i="1"/>
  <c r="BY159" i="1"/>
  <c r="BY160" i="1"/>
  <c r="BY161" i="1"/>
  <c r="BY162" i="1"/>
  <c r="BY163" i="1"/>
  <c r="BY164" i="1"/>
  <c r="BY165" i="1"/>
  <c r="BY166" i="1"/>
  <c r="BY167" i="1"/>
  <c r="BY168" i="1"/>
  <c r="BY169" i="1"/>
  <c r="BY170" i="1"/>
  <c r="BY171" i="1"/>
  <c r="BY172" i="1"/>
  <c r="BY173" i="1"/>
  <c r="BY174" i="1"/>
  <c r="BY175" i="1"/>
  <c r="BY176" i="1"/>
  <c r="BY177" i="1"/>
  <c r="BY178" i="1"/>
  <c r="BY179" i="1"/>
  <c r="BY180" i="1"/>
  <c r="BY181" i="1"/>
  <c r="BY182" i="1"/>
  <c r="BY183" i="1"/>
  <c r="BY184" i="1"/>
  <c r="BY185" i="1"/>
  <c r="BY186" i="1"/>
  <c r="BY187" i="1"/>
  <c r="BY188" i="1"/>
  <c r="BY189" i="1"/>
  <c r="BY190" i="1"/>
  <c r="BY191" i="1"/>
  <c r="BY192" i="1"/>
  <c r="BY193" i="1"/>
  <c r="BY194" i="1"/>
  <c r="BY195" i="1"/>
  <c r="BY196" i="1"/>
  <c r="BY197" i="1"/>
  <c r="BY198" i="1"/>
  <c r="BY199" i="1"/>
  <c r="BY200" i="1"/>
  <c r="BY201" i="1"/>
  <c r="BY202" i="1"/>
  <c r="BY203" i="1"/>
  <c r="BY204" i="1"/>
  <c r="BY205" i="1"/>
  <c r="BY206" i="1"/>
  <c r="BY207" i="1"/>
  <c r="BY208" i="1"/>
  <c r="BY209" i="1"/>
  <c r="BY210" i="1"/>
  <c r="BY211" i="1"/>
  <c r="BY212" i="1"/>
  <c r="BY213" i="1"/>
  <c r="BY214" i="1"/>
  <c r="BY215" i="1"/>
  <c r="BY216" i="1"/>
  <c r="BY234" i="1"/>
  <c r="BY238" i="1"/>
  <c r="BY252" i="1"/>
  <c r="BY253" i="1"/>
  <c r="BY255" i="1"/>
  <c r="BY256" i="1"/>
  <c r="BY257" i="1"/>
  <c r="BY258" i="1"/>
  <c r="BY259" i="1"/>
  <c r="BY3" i="1"/>
  <c r="AU9" i="1"/>
  <c r="BI202" i="1" s="1"/>
  <c r="BX233" i="1"/>
  <c r="BX232" i="1"/>
  <c r="BX231" i="1"/>
  <c r="BX227" i="1"/>
  <c r="BX226" i="1"/>
  <c r="BX8" i="1"/>
  <c r="BX9" i="1"/>
  <c r="BX10" i="1"/>
  <c r="BX11" i="1"/>
  <c r="BX12" i="1"/>
  <c r="BX13" i="1"/>
  <c r="BX14" i="1"/>
  <c r="BX15" i="1"/>
  <c r="BX16" i="1"/>
  <c r="BX17" i="1"/>
  <c r="BX18" i="1"/>
  <c r="BX19" i="1"/>
  <c r="BX20" i="1"/>
  <c r="BX21" i="1"/>
  <c r="BX22" i="1"/>
  <c r="BX23" i="1"/>
  <c r="BX24" i="1"/>
  <c r="BX25" i="1"/>
  <c r="BX26" i="1"/>
  <c r="BX27" i="1"/>
  <c r="BX28" i="1"/>
  <c r="BX29" i="1"/>
  <c r="BX30" i="1"/>
  <c r="BX31" i="1"/>
  <c r="BX32" i="1"/>
  <c r="BX33" i="1"/>
  <c r="BX34" i="1"/>
  <c r="BX35" i="1"/>
  <c r="BX36" i="1"/>
  <c r="BX37" i="1"/>
  <c r="BX38" i="1"/>
  <c r="BX39" i="1"/>
  <c r="BX40" i="1"/>
  <c r="BX41" i="1"/>
  <c r="BX42" i="1"/>
  <c r="BX43" i="1"/>
  <c r="BX44" i="1"/>
  <c r="BX45" i="1"/>
  <c r="BX46" i="1"/>
  <c r="BX47" i="1"/>
  <c r="BX48" i="1"/>
  <c r="BX49" i="1"/>
  <c r="BX50" i="1"/>
  <c r="BX51" i="1"/>
  <c r="BX52" i="1"/>
  <c r="BX53" i="1"/>
  <c r="BX54" i="1"/>
  <c r="BX55" i="1"/>
  <c r="BX56" i="1"/>
  <c r="BX57" i="1"/>
  <c r="BX58" i="1"/>
  <c r="BX59" i="1"/>
  <c r="BX60" i="1"/>
  <c r="BX61" i="1"/>
  <c r="BX62" i="1"/>
  <c r="BX63" i="1"/>
  <c r="BX64" i="1"/>
  <c r="BX65" i="1"/>
  <c r="BX66" i="1"/>
  <c r="BX67" i="1"/>
  <c r="BX68" i="1"/>
  <c r="BX69" i="1"/>
  <c r="BX70" i="1"/>
  <c r="BX71" i="1"/>
  <c r="BX72" i="1"/>
  <c r="BX73" i="1"/>
  <c r="BX74" i="1"/>
  <c r="BX75" i="1"/>
  <c r="BX76" i="1"/>
  <c r="BX77" i="1"/>
  <c r="BX78" i="1"/>
  <c r="BX79" i="1"/>
  <c r="BX80" i="1"/>
  <c r="BX81" i="1"/>
  <c r="BX82" i="1"/>
  <c r="BX83" i="1"/>
  <c r="BX84" i="1"/>
  <c r="BX85" i="1"/>
  <c r="BX86" i="1"/>
  <c r="BX87" i="1"/>
  <c r="BX88" i="1"/>
  <c r="BX89" i="1"/>
  <c r="BX90" i="1"/>
  <c r="BX91" i="1"/>
  <c r="BX92" i="1"/>
  <c r="BX93" i="1"/>
  <c r="BX94" i="1"/>
  <c r="BX95" i="1"/>
  <c r="BX96" i="1"/>
  <c r="BX97" i="1"/>
  <c r="BX98" i="1"/>
  <c r="BX99" i="1"/>
  <c r="BX100" i="1"/>
  <c r="BX101" i="1"/>
  <c r="BX102" i="1"/>
  <c r="BX103" i="1"/>
  <c r="BX104" i="1"/>
  <c r="BX105" i="1"/>
  <c r="BX106" i="1"/>
  <c r="BX107" i="1"/>
  <c r="BX108" i="1"/>
  <c r="BX109" i="1"/>
  <c r="BX110" i="1"/>
  <c r="BX111" i="1"/>
  <c r="BX112" i="1"/>
  <c r="BX113" i="1"/>
  <c r="BX114" i="1"/>
  <c r="BX115" i="1"/>
  <c r="BX116" i="1"/>
  <c r="BX117" i="1"/>
  <c r="BX118" i="1"/>
  <c r="BX119" i="1"/>
  <c r="BX120" i="1"/>
  <c r="BX121" i="1"/>
  <c r="BX122" i="1"/>
  <c r="BX123" i="1"/>
  <c r="BX124" i="1"/>
  <c r="BX125" i="1"/>
  <c r="BX126" i="1"/>
  <c r="BX127" i="1"/>
  <c r="BX128" i="1"/>
  <c r="BX129" i="1"/>
  <c r="BX130" i="1"/>
  <c r="BX131" i="1"/>
  <c r="BX132" i="1"/>
  <c r="BX133" i="1"/>
  <c r="BX134" i="1"/>
  <c r="BX135" i="1"/>
  <c r="BX136" i="1"/>
  <c r="BX137" i="1"/>
  <c r="BX138" i="1"/>
  <c r="BX139" i="1"/>
  <c r="BX140" i="1"/>
  <c r="BX141" i="1"/>
  <c r="BX142" i="1"/>
  <c r="BX143" i="1"/>
  <c r="BX144" i="1"/>
  <c r="BX145" i="1"/>
  <c r="BX146" i="1"/>
  <c r="BX147" i="1"/>
  <c r="BX148" i="1"/>
  <c r="BX149" i="1"/>
  <c r="BX150" i="1"/>
  <c r="BX151" i="1"/>
  <c r="BX152" i="1"/>
  <c r="BX153" i="1"/>
  <c r="BX154" i="1"/>
  <c r="BX155" i="1"/>
  <c r="BX156" i="1"/>
  <c r="BX157" i="1"/>
  <c r="BX158" i="1"/>
  <c r="BX159" i="1"/>
  <c r="BX160" i="1"/>
  <c r="BX161" i="1"/>
  <c r="BX162" i="1"/>
  <c r="BX163" i="1"/>
  <c r="BX164" i="1"/>
  <c r="BX165" i="1"/>
  <c r="BX166" i="1"/>
  <c r="BX167" i="1"/>
  <c r="BX168" i="1"/>
  <c r="BX169" i="1"/>
  <c r="BX170" i="1"/>
  <c r="BX171" i="1"/>
  <c r="BX172" i="1"/>
  <c r="BX173" i="1"/>
  <c r="BX174" i="1"/>
  <c r="BX175" i="1"/>
  <c r="BX176" i="1"/>
  <c r="BX177" i="1"/>
  <c r="BX178" i="1"/>
  <c r="BX179" i="1"/>
  <c r="BX180" i="1"/>
  <c r="BX181" i="1"/>
  <c r="BX182" i="1"/>
  <c r="BX183" i="1"/>
  <c r="BX184" i="1"/>
  <c r="BX185" i="1"/>
  <c r="BX186" i="1"/>
  <c r="BX187" i="1"/>
  <c r="BX188" i="1"/>
  <c r="BX189" i="1"/>
  <c r="BX190" i="1"/>
  <c r="BX191" i="1"/>
  <c r="BX192" i="1"/>
  <c r="BX193" i="1"/>
  <c r="BX194" i="1"/>
  <c r="BX195" i="1"/>
  <c r="BX196" i="1"/>
  <c r="BX197" i="1"/>
  <c r="BX198" i="1"/>
  <c r="BX199" i="1"/>
  <c r="BX200" i="1"/>
  <c r="BX201" i="1"/>
  <c r="BX202" i="1"/>
  <c r="BX203" i="1"/>
  <c r="BX204" i="1"/>
  <c r="BX205" i="1"/>
  <c r="BX206" i="1"/>
  <c r="BX207" i="1"/>
  <c r="BX208" i="1"/>
  <c r="BX209" i="1"/>
  <c r="BX210" i="1"/>
  <c r="BX211" i="1"/>
  <c r="BX212" i="1"/>
  <c r="BX213" i="1"/>
  <c r="BX214" i="1"/>
  <c r="BX215" i="1"/>
  <c r="BX216" i="1"/>
  <c r="BX234" i="1"/>
  <c r="BX238" i="1"/>
  <c r="BX252" i="1"/>
  <c r="BX253" i="1"/>
  <c r="BX255" i="1"/>
  <c r="BX256" i="1"/>
  <c r="BX257" i="1"/>
  <c r="BX258" i="1"/>
  <c r="BX259" i="1"/>
  <c r="BW233" i="1"/>
  <c r="BV233" i="1"/>
  <c r="BW232" i="1"/>
  <c r="BV232" i="1"/>
  <c r="BW231" i="1"/>
  <c r="BV231" i="1"/>
  <c r="BW227" i="1"/>
  <c r="BV227" i="1"/>
  <c r="BW226" i="1"/>
  <c r="BV226" i="1"/>
  <c r="BM19" i="1"/>
  <c r="AU23" i="1"/>
  <c r="BU114" i="1" s="1"/>
  <c r="BZ233" i="1"/>
  <c r="BZ232" i="1"/>
  <c r="BZ231" i="1"/>
  <c r="BZ227" i="1"/>
  <c r="BZ226" i="1"/>
  <c r="BZ22" i="1"/>
  <c r="BZ23" i="1"/>
  <c r="BZ24" i="1"/>
  <c r="BZ25" i="1"/>
  <c r="BZ26" i="1"/>
  <c r="BZ27" i="1"/>
  <c r="BZ28" i="1"/>
  <c r="BZ29" i="1"/>
  <c r="BZ30" i="1"/>
  <c r="BZ31" i="1"/>
  <c r="BZ32" i="1"/>
  <c r="BZ33" i="1"/>
  <c r="BZ34" i="1"/>
  <c r="BZ35" i="1"/>
  <c r="BZ36" i="1"/>
  <c r="BZ37" i="1"/>
  <c r="BZ38" i="1"/>
  <c r="BZ39" i="1"/>
  <c r="BZ40" i="1"/>
  <c r="BZ41" i="1"/>
  <c r="BZ42" i="1"/>
  <c r="BZ43" i="1"/>
  <c r="BZ44" i="1"/>
  <c r="BZ45" i="1"/>
  <c r="BZ46" i="1"/>
  <c r="BZ47" i="1"/>
  <c r="BZ48" i="1"/>
  <c r="BZ49" i="1"/>
  <c r="BZ50" i="1"/>
  <c r="BZ51" i="1"/>
  <c r="BZ52" i="1"/>
  <c r="BZ53" i="1"/>
  <c r="BZ54" i="1"/>
  <c r="BZ55" i="1"/>
  <c r="BZ56" i="1"/>
  <c r="BZ57" i="1"/>
  <c r="BZ58" i="1"/>
  <c r="BZ59" i="1"/>
  <c r="BZ60" i="1"/>
  <c r="BZ61" i="1"/>
  <c r="BZ62" i="1"/>
  <c r="BZ63" i="1"/>
  <c r="BZ64" i="1"/>
  <c r="BZ65" i="1"/>
  <c r="BZ66" i="1"/>
  <c r="BZ67" i="1"/>
  <c r="BZ68" i="1"/>
  <c r="BZ69" i="1"/>
  <c r="BZ70" i="1"/>
  <c r="BZ71" i="1"/>
  <c r="BZ72" i="1"/>
  <c r="BZ73" i="1"/>
  <c r="BZ74" i="1"/>
  <c r="BZ75" i="1"/>
  <c r="BZ76" i="1"/>
  <c r="BZ77" i="1"/>
  <c r="BZ78" i="1"/>
  <c r="BZ79" i="1"/>
  <c r="BZ80" i="1"/>
  <c r="BZ81" i="1"/>
  <c r="BZ82" i="1"/>
  <c r="BZ83" i="1"/>
  <c r="BZ84" i="1"/>
  <c r="BZ85" i="1"/>
  <c r="BZ86" i="1"/>
  <c r="BZ87" i="1"/>
  <c r="BZ88" i="1"/>
  <c r="BZ89" i="1"/>
  <c r="BZ90" i="1"/>
  <c r="BZ91" i="1"/>
  <c r="BZ92" i="1"/>
  <c r="BZ93" i="1"/>
  <c r="BZ94" i="1"/>
  <c r="BZ95" i="1"/>
  <c r="BZ96" i="1"/>
  <c r="BZ97" i="1"/>
  <c r="BZ98" i="1"/>
  <c r="BZ99" i="1"/>
  <c r="BZ100" i="1"/>
  <c r="BZ101" i="1"/>
  <c r="BZ102" i="1"/>
  <c r="BZ103" i="1"/>
  <c r="BZ104" i="1"/>
  <c r="BZ105" i="1"/>
  <c r="BZ106" i="1"/>
  <c r="BZ107" i="1"/>
  <c r="BZ108" i="1"/>
  <c r="BZ109" i="1"/>
  <c r="BZ110" i="1"/>
  <c r="BZ111" i="1"/>
  <c r="BZ112" i="1"/>
  <c r="BZ113" i="1"/>
  <c r="BZ114" i="1"/>
  <c r="BZ115" i="1"/>
  <c r="BZ116" i="1"/>
  <c r="BZ117" i="1"/>
  <c r="BZ118" i="1"/>
  <c r="BZ119" i="1"/>
  <c r="BZ120" i="1"/>
  <c r="BZ121" i="1"/>
  <c r="BZ122" i="1"/>
  <c r="BZ123" i="1"/>
  <c r="BZ124" i="1"/>
  <c r="BZ125" i="1"/>
  <c r="BZ126" i="1"/>
  <c r="BZ127" i="1"/>
  <c r="BZ128" i="1"/>
  <c r="BZ129" i="1"/>
  <c r="BZ130" i="1"/>
  <c r="BZ131" i="1"/>
  <c r="BZ132" i="1"/>
  <c r="BZ133" i="1"/>
  <c r="BZ134" i="1"/>
  <c r="BZ135" i="1"/>
  <c r="BZ136" i="1"/>
  <c r="BZ137" i="1"/>
  <c r="BZ138" i="1"/>
  <c r="BZ139" i="1"/>
  <c r="BZ140" i="1"/>
  <c r="BZ141" i="1"/>
  <c r="BZ142" i="1"/>
  <c r="BZ143" i="1"/>
  <c r="BZ144" i="1"/>
  <c r="BZ145" i="1"/>
  <c r="BZ146" i="1"/>
  <c r="BZ147" i="1"/>
  <c r="BZ148" i="1"/>
  <c r="BZ149" i="1"/>
  <c r="BZ150" i="1"/>
  <c r="BZ151" i="1"/>
  <c r="BZ152" i="1"/>
  <c r="BZ153" i="1"/>
  <c r="BZ154" i="1"/>
  <c r="BZ155" i="1"/>
  <c r="BZ156" i="1"/>
  <c r="BZ157" i="1"/>
  <c r="BZ158" i="1"/>
  <c r="BZ159" i="1"/>
  <c r="BZ160" i="1"/>
  <c r="BZ161" i="1"/>
  <c r="BZ162" i="1"/>
  <c r="BZ163" i="1"/>
  <c r="BZ164" i="1"/>
  <c r="BZ165" i="1"/>
  <c r="BZ166" i="1"/>
  <c r="BZ167" i="1"/>
  <c r="BZ168" i="1"/>
  <c r="BZ169" i="1"/>
  <c r="BZ170" i="1"/>
  <c r="BZ171" i="1"/>
  <c r="BZ172" i="1"/>
  <c r="BZ173" i="1"/>
  <c r="BZ174" i="1"/>
  <c r="BZ175" i="1"/>
  <c r="BZ176" i="1"/>
  <c r="BZ177" i="1"/>
  <c r="BZ178" i="1"/>
  <c r="BZ179" i="1"/>
  <c r="BZ180" i="1"/>
  <c r="BZ181" i="1"/>
  <c r="BZ182" i="1"/>
  <c r="BZ183" i="1"/>
  <c r="BZ184" i="1"/>
  <c r="BZ185" i="1"/>
  <c r="BZ186" i="1"/>
  <c r="BZ187" i="1"/>
  <c r="BZ188" i="1"/>
  <c r="BZ189" i="1"/>
  <c r="BZ190" i="1"/>
  <c r="BZ191" i="1"/>
  <c r="BZ192" i="1"/>
  <c r="BZ193" i="1"/>
  <c r="BZ194" i="1"/>
  <c r="BZ195" i="1"/>
  <c r="BZ196" i="1"/>
  <c r="BZ197" i="1"/>
  <c r="BZ198" i="1"/>
  <c r="BZ199" i="1"/>
  <c r="BZ200" i="1"/>
  <c r="BZ201" i="1"/>
  <c r="BZ202" i="1"/>
  <c r="BZ203" i="1"/>
  <c r="BZ204" i="1"/>
  <c r="BZ205" i="1"/>
  <c r="BZ206" i="1"/>
  <c r="BZ207" i="1"/>
  <c r="BZ208" i="1"/>
  <c r="BZ209" i="1"/>
  <c r="BZ210" i="1"/>
  <c r="BZ211" i="1"/>
  <c r="BZ212" i="1"/>
  <c r="BZ213" i="1"/>
  <c r="BZ214" i="1"/>
  <c r="BZ215" i="1"/>
  <c r="BZ216" i="1"/>
  <c r="BZ234" i="1"/>
  <c r="BZ238" i="1"/>
  <c r="BZ252" i="1"/>
  <c r="BZ253" i="1"/>
  <c r="BZ255" i="1"/>
  <c r="BZ256" i="1"/>
  <c r="BZ257" i="1"/>
  <c r="BZ258" i="1"/>
  <c r="BZ259" i="1"/>
  <c r="BM20" i="1"/>
  <c r="AU210" i="1"/>
  <c r="BG213" i="1"/>
  <c r="BG212" i="1"/>
  <c r="BG211" i="1"/>
  <c r="BG210" i="1"/>
  <c r="BG209" i="1"/>
  <c r="BG208" i="1"/>
  <c r="BG207" i="1"/>
  <c r="BG199" i="1"/>
  <c r="BW213" i="1"/>
  <c r="BV213" i="1"/>
  <c r="BW212" i="1"/>
  <c r="BV212" i="1"/>
  <c r="BW211" i="1"/>
  <c r="BV211" i="1"/>
  <c r="BW210" i="1"/>
  <c r="BV210" i="1"/>
  <c r="BW209" i="1"/>
  <c r="BV209" i="1"/>
  <c r="BW208" i="1"/>
  <c r="BV208" i="1"/>
  <c r="BW207" i="1"/>
  <c r="BV207" i="1"/>
  <c r="BV199" i="1"/>
  <c r="BW199" i="1"/>
  <c r="BG214" i="1"/>
  <c r="BG206" i="1"/>
  <c r="BG205" i="1"/>
  <c r="BG204" i="1"/>
  <c r="BG203" i="1"/>
  <c r="BG202" i="1"/>
  <c r="BG201" i="1"/>
  <c r="BW214" i="1"/>
  <c r="BV214" i="1"/>
  <c r="BW206" i="1"/>
  <c r="BV206" i="1"/>
  <c r="BW205" i="1"/>
  <c r="BV205" i="1"/>
  <c r="BW204" i="1"/>
  <c r="BV204" i="1"/>
  <c r="BW203" i="1"/>
  <c r="BV203" i="1"/>
  <c r="BW202" i="1"/>
  <c r="BV202" i="1"/>
  <c r="BW201" i="1"/>
  <c r="BV201" i="1"/>
  <c r="BG195" i="1"/>
  <c r="BG194" i="1"/>
  <c r="BG193" i="1"/>
  <c r="BG192" i="1"/>
  <c r="BG191" i="1"/>
  <c r="BG190" i="1"/>
  <c r="BG189" i="1"/>
  <c r="BG188" i="1"/>
  <c r="BW195" i="1"/>
  <c r="BV195" i="1"/>
  <c r="BW194" i="1"/>
  <c r="BV194" i="1"/>
  <c r="BW193" i="1"/>
  <c r="BV193" i="1"/>
  <c r="BW192" i="1"/>
  <c r="BV192" i="1"/>
  <c r="BW191" i="1"/>
  <c r="BV191" i="1"/>
  <c r="BW190" i="1"/>
  <c r="BV190" i="1"/>
  <c r="BW189" i="1"/>
  <c r="BV189" i="1"/>
  <c r="BW188" i="1"/>
  <c r="BV188" i="1"/>
  <c r="BG215" i="1"/>
  <c r="BG200" i="1"/>
  <c r="BG198" i="1"/>
  <c r="BG197" i="1"/>
  <c r="BG196" i="1"/>
  <c r="BW215" i="1"/>
  <c r="BV215" i="1"/>
  <c r="BW200" i="1"/>
  <c r="BV200" i="1"/>
  <c r="BW198" i="1"/>
  <c r="BV198" i="1"/>
  <c r="BW197" i="1"/>
  <c r="BV197" i="1"/>
  <c r="BW196" i="1"/>
  <c r="BV196" i="1"/>
  <c r="BG238" i="1"/>
  <c r="BG234" i="1"/>
  <c r="BG216" i="1"/>
  <c r="BW238" i="1"/>
  <c r="BV238" i="1"/>
  <c r="BW234" i="1"/>
  <c r="BV234" i="1"/>
  <c r="BW216" i="1"/>
  <c r="BV216" i="1"/>
  <c r="BW29" i="1"/>
  <c r="BW30" i="1"/>
  <c r="BW31" i="1"/>
  <c r="BW32" i="1"/>
  <c r="BW33" i="1"/>
  <c r="BW34" i="1"/>
  <c r="BW35" i="1"/>
  <c r="BW36" i="1"/>
  <c r="BW37" i="1"/>
  <c r="BW38" i="1"/>
  <c r="BW39" i="1"/>
  <c r="BW40" i="1"/>
  <c r="BW41" i="1"/>
  <c r="BW42" i="1"/>
  <c r="BW43" i="1"/>
  <c r="BW44" i="1"/>
  <c r="BW45" i="1"/>
  <c r="BW46" i="1"/>
  <c r="BW47" i="1"/>
  <c r="BW48" i="1"/>
  <c r="BW49" i="1"/>
  <c r="BW50" i="1"/>
  <c r="BW51" i="1"/>
  <c r="BW52" i="1"/>
  <c r="BW53" i="1"/>
  <c r="BW54" i="1"/>
  <c r="BW55" i="1"/>
  <c r="BW56" i="1"/>
  <c r="BW57" i="1"/>
  <c r="BW58" i="1"/>
  <c r="BW59" i="1"/>
  <c r="BW60" i="1"/>
  <c r="BW61" i="1"/>
  <c r="BW62" i="1"/>
  <c r="BW63" i="1"/>
  <c r="BW64" i="1"/>
  <c r="BW65" i="1"/>
  <c r="BW66" i="1"/>
  <c r="BW67" i="1"/>
  <c r="BW68" i="1"/>
  <c r="BW69" i="1"/>
  <c r="BW70" i="1"/>
  <c r="BW71" i="1"/>
  <c r="BW72" i="1"/>
  <c r="BW73" i="1"/>
  <c r="BW74" i="1"/>
  <c r="BW75" i="1"/>
  <c r="BW76" i="1"/>
  <c r="BW77" i="1"/>
  <c r="BW78" i="1"/>
  <c r="BW79" i="1"/>
  <c r="BW80" i="1"/>
  <c r="BW81" i="1"/>
  <c r="BW82" i="1"/>
  <c r="BW83" i="1"/>
  <c r="BW84" i="1"/>
  <c r="BW85" i="1"/>
  <c r="BW86" i="1"/>
  <c r="BW87" i="1"/>
  <c r="BW88" i="1"/>
  <c r="BW89" i="1"/>
  <c r="BW90" i="1"/>
  <c r="BW91" i="1"/>
  <c r="BW92" i="1"/>
  <c r="BW93" i="1"/>
  <c r="BW94" i="1"/>
  <c r="BW95" i="1"/>
  <c r="BW96" i="1"/>
  <c r="BW97" i="1"/>
  <c r="BW98" i="1"/>
  <c r="BW99" i="1"/>
  <c r="BW100" i="1"/>
  <c r="BW101" i="1"/>
  <c r="BW102" i="1"/>
  <c r="BW103" i="1"/>
  <c r="BW104" i="1"/>
  <c r="BW105" i="1"/>
  <c r="BW106" i="1"/>
  <c r="BW107" i="1"/>
  <c r="BW108" i="1"/>
  <c r="BW109" i="1"/>
  <c r="BW110" i="1"/>
  <c r="BW111" i="1"/>
  <c r="BW112" i="1"/>
  <c r="BW113" i="1"/>
  <c r="BW114" i="1"/>
  <c r="BW115" i="1"/>
  <c r="BW116" i="1"/>
  <c r="BW117" i="1"/>
  <c r="BW118" i="1"/>
  <c r="BW119" i="1"/>
  <c r="BW120" i="1"/>
  <c r="BW121" i="1"/>
  <c r="BW122" i="1"/>
  <c r="BW123" i="1"/>
  <c r="BW124" i="1"/>
  <c r="BW125" i="1"/>
  <c r="BW126" i="1"/>
  <c r="BW127" i="1"/>
  <c r="BW128" i="1"/>
  <c r="BW129" i="1"/>
  <c r="BW130" i="1"/>
  <c r="BW131" i="1"/>
  <c r="BW132" i="1"/>
  <c r="BW133" i="1"/>
  <c r="BW134" i="1"/>
  <c r="BW135" i="1"/>
  <c r="BW136" i="1"/>
  <c r="BW137" i="1"/>
  <c r="BW138" i="1"/>
  <c r="BW139" i="1"/>
  <c r="BW140" i="1"/>
  <c r="BW141" i="1"/>
  <c r="BW142" i="1"/>
  <c r="BW143" i="1"/>
  <c r="BW144" i="1"/>
  <c r="BW145" i="1"/>
  <c r="BW146" i="1"/>
  <c r="BW147" i="1"/>
  <c r="BW148" i="1"/>
  <c r="BW149" i="1"/>
  <c r="BW150" i="1"/>
  <c r="BW151" i="1"/>
  <c r="BW152" i="1"/>
  <c r="BW153" i="1"/>
  <c r="BW154" i="1"/>
  <c r="BW155" i="1"/>
  <c r="BW156" i="1"/>
  <c r="BW157" i="1"/>
  <c r="BW158" i="1"/>
  <c r="BW159" i="1"/>
  <c r="BW160" i="1"/>
  <c r="BW161" i="1"/>
  <c r="BW162" i="1"/>
  <c r="BW163" i="1"/>
  <c r="BW164" i="1"/>
  <c r="BW165" i="1"/>
  <c r="BW166" i="1"/>
  <c r="BW167" i="1"/>
  <c r="BW168" i="1"/>
  <c r="BW169" i="1"/>
  <c r="BW170" i="1"/>
  <c r="BW171" i="1"/>
  <c r="BW172" i="1"/>
  <c r="BW173" i="1"/>
  <c r="BW174" i="1"/>
  <c r="BW175" i="1"/>
  <c r="BW176" i="1"/>
  <c r="BW177" i="1"/>
  <c r="BW178" i="1"/>
  <c r="BW179" i="1"/>
  <c r="BW180" i="1"/>
  <c r="BW181" i="1"/>
  <c r="BW182" i="1"/>
  <c r="BW183" i="1"/>
  <c r="BW184" i="1"/>
  <c r="BW185" i="1"/>
  <c r="BW186" i="1"/>
  <c r="BW187" i="1"/>
  <c r="BW252" i="1"/>
  <c r="BW253" i="1"/>
  <c r="BW255" i="1"/>
  <c r="BW256" i="1"/>
  <c r="BW257" i="1"/>
  <c r="BW258" i="1"/>
  <c r="BW259" i="1"/>
  <c r="BV29" i="1"/>
  <c r="BV30" i="1"/>
  <c r="BV31" i="1"/>
  <c r="BV32" i="1"/>
  <c r="BV33" i="1"/>
  <c r="BV34" i="1"/>
  <c r="BV35" i="1"/>
  <c r="BV36" i="1"/>
  <c r="BV37" i="1"/>
  <c r="BV38" i="1"/>
  <c r="BV39" i="1"/>
  <c r="BV40" i="1"/>
  <c r="BV41" i="1"/>
  <c r="BV42" i="1"/>
  <c r="BV43" i="1"/>
  <c r="BV44" i="1"/>
  <c r="BV45" i="1"/>
  <c r="BV46" i="1"/>
  <c r="BV47" i="1"/>
  <c r="BV48" i="1"/>
  <c r="BV49" i="1"/>
  <c r="BV50" i="1"/>
  <c r="BV51" i="1"/>
  <c r="BV52" i="1"/>
  <c r="BV53" i="1"/>
  <c r="BV54" i="1"/>
  <c r="BV55" i="1"/>
  <c r="BV56" i="1"/>
  <c r="BV57" i="1"/>
  <c r="BV58" i="1"/>
  <c r="BV59" i="1"/>
  <c r="BV60" i="1"/>
  <c r="BV61" i="1"/>
  <c r="BV62" i="1"/>
  <c r="BV63" i="1"/>
  <c r="BV64" i="1"/>
  <c r="BV65" i="1"/>
  <c r="BV66" i="1"/>
  <c r="BV67" i="1"/>
  <c r="BV68" i="1"/>
  <c r="BV69" i="1"/>
  <c r="BV70" i="1"/>
  <c r="BV71" i="1"/>
  <c r="BV72" i="1"/>
  <c r="BV73" i="1"/>
  <c r="BV74" i="1"/>
  <c r="BV75" i="1"/>
  <c r="BV76" i="1"/>
  <c r="BV77" i="1"/>
  <c r="BV78" i="1"/>
  <c r="BV79" i="1"/>
  <c r="BV80" i="1"/>
  <c r="BV81" i="1"/>
  <c r="BV82" i="1"/>
  <c r="BV83" i="1"/>
  <c r="BV84" i="1"/>
  <c r="BV85" i="1"/>
  <c r="BV86" i="1"/>
  <c r="BV87" i="1"/>
  <c r="BV88" i="1"/>
  <c r="BV89" i="1"/>
  <c r="BV90" i="1"/>
  <c r="BV91" i="1"/>
  <c r="BV92" i="1"/>
  <c r="BV93" i="1"/>
  <c r="BV94" i="1"/>
  <c r="BV95" i="1"/>
  <c r="BV96" i="1"/>
  <c r="BV97" i="1"/>
  <c r="BV98" i="1"/>
  <c r="BV99" i="1"/>
  <c r="BV100" i="1"/>
  <c r="BV101" i="1"/>
  <c r="BV102" i="1"/>
  <c r="BV103" i="1"/>
  <c r="BV104" i="1"/>
  <c r="BV105" i="1"/>
  <c r="BV106" i="1"/>
  <c r="BV107" i="1"/>
  <c r="BV108" i="1"/>
  <c r="BV109" i="1"/>
  <c r="BV110" i="1"/>
  <c r="BV111" i="1"/>
  <c r="BV112" i="1"/>
  <c r="BV113" i="1"/>
  <c r="BV114" i="1"/>
  <c r="BV115" i="1"/>
  <c r="BV116" i="1"/>
  <c r="BV117" i="1"/>
  <c r="BV118" i="1"/>
  <c r="BV119" i="1"/>
  <c r="BV120" i="1"/>
  <c r="BV121" i="1"/>
  <c r="BV122" i="1"/>
  <c r="BV123" i="1"/>
  <c r="BV124" i="1"/>
  <c r="BV125" i="1"/>
  <c r="BV126" i="1"/>
  <c r="BV127" i="1"/>
  <c r="BV128" i="1"/>
  <c r="BV129" i="1"/>
  <c r="BV130" i="1"/>
  <c r="BV131" i="1"/>
  <c r="BV132" i="1"/>
  <c r="BV133" i="1"/>
  <c r="BV134" i="1"/>
  <c r="BV135" i="1"/>
  <c r="BV136" i="1"/>
  <c r="BV137" i="1"/>
  <c r="BV138" i="1"/>
  <c r="BV139" i="1"/>
  <c r="BV140" i="1"/>
  <c r="BV141" i="1"/>
  <c r="BV142" i="1"/>
  <c r="BV143" i="1"/>
  <c r="BV144" i="1"/>
  <c r="BV145" i="1"/>
  <c r="BV146" i="1"/>
  <c r="BV147" i="1"/>
  <c r="BV148" i="1"/>
  <c r="BV149" i="1"/>
  <c r="BV150" i="1"/>
  <c r="BV151" i="1"/>
  <c r="BV152" i="1"/>
  <c r="BV153" i="1"/>
  <c r="BV154" i="1"/>
  <c r="BV155" i="1"/>
  <c r="BV156" i="1"/>
  <c r="BV157" i="1"/>
  <c r="BV158" i="1"/>
  <c r="BV159" i="1"/>
  <c r="BV160" i="1"/>
  <c r="BV161" i="1"/>
  <c r="BV162" i="1"/>
  <c r="BV163" i="1"/>
  <c r="BV164" i="1"/>
  <c r="BV165" i="1"/>
  <c r="BV166" i="1"/>
  <c r="BV167" i="1"/>
  <c r="BV168" i="1"/>
  <c r="BV169" i="1"/>
  <c r="BV170" i="1"/>
  <c r="BV171" i="1"/>
  <c r="BV172" i="1"/>
  <c r="BV173" i="1"/>
  <c r="BV174" i="1"/>
  <c r="BV175" i="1"/>
  <c r="BV176" i="1"/>
  <c r="BV177" i="1"/>
  <c r="BV178" i="1"/>
  <c r="BV179" i="1"/>
  <c r="BV180" i="1"/>
  <c r="BV181" i="1"/>
  <c r="BV182" i="1"/>
  <c r="BV183" i="1"/>
  <c r="BV184" i="1"/>
  <c r="BV185" i="1"/>
  <c r="BV186" i="1"/>
  <c r="BV187" i="1"/>
  <c r="BV252" i="1"/>
  <c r="BV253" i="1"/>
  <c r="BV255" i="1"/>
  <c r="BV256" i="1"/>
  <c r="BV257" i="1"/>
  <c r="BV258" i="1"/>
  <c r="BV259" i="1"/>
  <c r="BG184" i="1"/>
  <c r="BG183" i="1"/>
  <c r="BG182" i="1"/>
  <c r="BG181" i="1"/>
  <c r="BG180" i="1"/>
  <c r="BG179" i="1"/>
  <c r="BG178" i="1"/>
  <c r="BI182" i="1"/>
  <c r="BG252" i="1"/>
  <c r="BG187" i="1"/>
  <c r="BG186" i="1"/>
  <c r="BG185" i="1"/>
  <c r="BG170" i="1"/>
  <c r="BG176" i="1"/>
  <c r="BG175" i="1"/>
  <c r="BG174" i="1"/>
  <c r="BG173" i="1"/>
  <c r="BG172" i="1"/>
  <c r="BG171" i="1"/>
  <c r="BG169" i="1"/>
  <c r="BG256" i="1"/>
  <c r="BG255" i="1"/>
  <c r="BG253" i="1"/>
  <c r="BG177" i="1"/>
  <c r="BG168" i="1"/>
  <c r="BL168" i="1"/>
  <c r="BG167" i="1"/>
  <c r="BG166" i="1"/>
  <c r="BG165" i="1"/>
  <c r="BG164" i="1"/>
  <c r="BG163" i="1"/>
  <c r="BG162" i="1"/>
  <c r="BG161" i="1"/>
  <c r="BG258" i="1"/>
  <c r="BG257" i="1"/>
  <c r="BG149" i="1"/>
  <c r="BG155" i="1"/>
  <c r="BG154" i="1"/>
  <c r="BG153" i="1"/>
  <c r="BG152" i="1"/>
  <c r="BG151" i="1"/>
  <c r="BG150" i="1"/>
  <c r="BG159" i="1"/>
  <c r="BG158" i="1"/>
  <c r="BG157" i="1"/>
  <c r="BG156" i="1"/>
  <c r="BL159" i="1"/>
  <c r="BG148" i="1"/>
  <c r="BG160" i="1"/>
  <c r="BG147" i="1"/>
  <c r="BG145" i="1"/>
  <c r="BG144" i="1"/>
  <c r="BG143" i="1"/>
  <c r="BG259" i="1"/>
  <c r="BG146" i="1"/>
  <c r="BG130" i="1"/>
  <c r="BG142" i="1"/>
  <c r="AU142" i="1"/>
  <c r="BG128" i="1"/>
  <c r="BG127" i="1"/>
  <c r="BG126" i="1"/>
  <c r="BI126" i="1"/>
  <c r="BG129" i="1"/>
  <c r="BG125" i="1"/>
  <c r="BI129" i="1"/>
  <c r="BG120" i="1"/>
  <c r="BG119" i="1"/>
  <c r="BG118" i="1"/>
  <c r="BG117" i="1"/>
  <c r="BG116" i="1"/>
  <c r="BG115" i="1"/>
  <c r="BI117" i="1"/>
  <c r="BG123" i="1"/>
  <c r="BG122" i="1"/>
  <c r="BG121" i="1"/>
  <c r="BG124" i="1"/>
  <c r="BG108" i="1"/>
  <c r="BG107" i="1"/>
  <c r="BG106" i="1"/>
  <c r="BG105" i="1"/>
  <c r="BG104" i="1"/>
  <c r="BI106" i="1"/>
  <c r="BG111" i="1"/>
  <c r="BG110" i="1"/>
  <c r="BG109" i="1"/>
  <c r="BI110" i="1"/>
  <c r="BG113" i="1"/>
  <c r="BG112" i="1"/>
  <c r="BL112" i="1"/>
  <c r="BG114" i="1"/>
  <c r="BG94" i="1"/>
  <c r="BI94" i="1"/>
  <c r="BG95" i="1"/>
  <c r="BG82" i="1"/>
  <c r="BG83" i="1"/>
  <c r="BG84" i="1"/>
  <c r="BG85" i="1"/>
  <c r="BG86" i="1"/>
  <c r="BG87" i="1"/>
  <c r="BG88" i="1"/>
  <c r="BG89" i="1"/>
  <c r="BG90" i="1"/>
  <c r="BG91" i="1"/>
  <c r="BG92" i="1"/>
  <c r="BG93" i="1"/>
  <c r="BG96" i="1"/>
  <c r="BG97" i="1"/>
  <c r="BG98" i="1"/>
  <c r="BG99" i="1"/>
  <c r="BL85" i="1"/>
  <c r="BL96" i="1"/>
  <c r="BG100" i="1"/>
  <c r="BG81" i="1"/>
  <c r="BG80" i="1"/>
  <c r="BG79" i="1"/>
  <c r="BG77" i="1"/>
  <c r="BG76" i="1"/>
  <c r="BG75" i="1"/>
  <c r="BG74" i="1"/>
  <c r="BG73" i="1"/>
  <c r="BG72" i="1"/>
  <c r="BI77" i="1"/>
  <c r="BL72" i="1"/>
  <c r="BG103" i="1"/>
  <c r="BG102" i="1"/>
  <c r="BG101" i="1"/>
  <c r="BG78" i="1"/>
  <c r="BG69" i="1"/>
  <c r="BM21" i="1"/>
  <c r="BM18" i="1"/>
  <c r="BM14" i="1"/>
  <c r="BM13" i="1"/>
  <c r="BM12" i="1"/>
  <c r="BI11" i="1"/>
  <c r="BI18" i="1"/>
  <c r="BI29" i="1"/>
  <c r="BI32" i="1"/>
  <c r="BI38" i="1"/>
  <c r="BI41" i="1"/>
  <c r="BI47" i="1"/>
  <c r="BI50" i="1"/>
  <c r="BI56" i="1"/>
  <c r="BI59" i="1"/>
  <c r="BI65" i="1"/>
  <c r="BI68" i="1"/>
  <c r="BI137" i="1"/>
  <c r="BI140" i="1"/>
  <c r="BG133" i="1"/>
  <c r="BG132" i="1"/>
  <c r="BG131" i="1"/>
  <c r="BG71" i="1"/>
  <c r="BG70" i="1"/>
  <c r="BL131" i="1"/>
  <c r="BG135" i="1"/>
  <c r="BG134" i="1"/>
  <c r="BL134" i="1"/>
  <c r="BG141" i="1"/>
  <c r="BG140" i="1"/>
  <c r="BL140" i="1"/>
  <c r="AU8" i="1"/>
  <c r="BG138" i="1"/>
  <c r="BG139" i="1"/>
  <c r="BG137" i="1"/>
  <c r="AU20" i="1"/>
  <c r="AU38" i="1"/>
  <c r="AU65" i="1"/>
  <c r="BL9" i="1"/>
  <c r="BL10" i="1"/>
  <c r="BL13" i="1"/>
  <c r="BL15" i="1"/>
  <c r="BL18" i="1"/>
  <c r="BL19" i="1"/>
  <c r="BL22" i="1"/>
  <c r="BL24" i="1"/>
  <c r="BL27" i="1"/>
  <c r="BL28" i="1"/>
  <c r="BL31" i="1"/>
  <c r="BL33" i="1"/>
  <c r="BL36" i="1"/>
  <c r="BL37" i="1"/>
  <c r="BL40" i="1"/>
  <c r="BL42" i="1"/>
  <c r="BL45" i="1"/>
  <c r="BL46" i="1"/>
  <c r="BL49" i="1"/>
  <c r="BL51" i="1"/>
  <c r="BL54" i="1"/>
  <c r="BL55" i="1"/>
  <c r="BL58" i="1"/>
  <c r="BL60" i="1"/>
  <c r="BL63" i="1"/>
  <c r="BL64" i="1"/>
  <c r="BL67" i="1"/>
  <c r="BL136" i="1"/>
  <c r="BG3" i="1"/>
  <c r="BG64" i="1"/>
  <c r="BG63" i="1"/>
  <c r="BG62" i="1"/>
  <c r="BG61" i="1"/>
  <c r="BG60" i="1"/>
  <c r="BG59" i="1"/>
  <c r="BG58" i="1"/>
  <c r="BG68" i="1"/>
  <c r="BG67" i="1"/>
  <c r="BG66" i="1"/>
  <c r="BG65" i="1"/>
  <c r="BG136" i="1"/>
  <c r="BG52" i="1"/>
  <c r="BG51" i="1"/>
  <c r="BG50" i="1"/>
  <c r="BG49" i="1"/>
  <c r="BG48" i="1"/>
  <c r="BG47" i="1"/>
  <c r="BG46" i="1"/>
  <c r="BG45" i="1"/>
  <c r="BG56" i="1"/>
  <c r="BG55" i="1"/>
  <c r="BG54" i="1"/>
  <c r="BG53" i="1"/>
  <c r="BG57" i="1"/>
  <c r="BG44" i="1"/>
  <c r="BG42" i="1"/>
  <c r="BG41" i="1"/>
  <c r="BG40" i="1"/>
  <c r="BG39" i="1"/>
  <c r="BG38" i="1"/>
  <c r="BG37" i="1"/>
  <c r="BG36" i="1"/>
  <c r="BG35" i="1"/>
  <c r="BG43" i="1"/>
  <c r="BG34" i="1"/>
  <c r="BG33" i="1"/>
  <c r="BG29" i="1"/>
  <c r="BG28" i="1"/>
  <c r="BG27" i="1"/>
  <c r="BG26" i="1"/>
  <c r="BG25" i="1"/>
  <c r="BG31" i="1"/>
  <c r="BG30" i="1"/>
  <c r="BG24" i="1"/>
  <c r="BG23" i="1"/>
  <c r="BG32" i="1"/>
  <c r="BG17" i="1"/>
  <c r="BG18" i="1"/>
  <c r="BG19" i="1"/>
  <c r="BG20" i="1"/>
  <c r="BG21" i="1"/>
  <c r="BG16" i="1"/>
  <c r="BG15" i="1"/>
  <c r="AU4" i="1"/>
  <c r="BG22" i="1"/>
  <c r="BG5" i="1"/>
  <c r="BG6" i="1"/>
  <c r="BG7" i="1"/>
  <c r="BG8" i="1"/>
  <c r="BG9" i="1"/>
  <c r="BG10" i="1"/>
  <c r="BG11" i="1"/>
  <c r="BG12" i="1"/>
  <c r="BG13" i="1"/>
  <c r="BG14" i="1"/>
  <c r="BG4" i="1"/>
  <c r="AU1244" i="1" l="1"/>
  <c r="BU1040" i="1"/>
  <c r="BN1089" i="1"/>
  <c r="BN1103" i="1"/>
  <c r="BN1121" i="1"/>
  <c r="BN1143" i="1"/>
  <c r="BR1183" i="1"/>
  <c r="BR1182" i="1"/>
  <c r="BQ1183" i="1"/>
  <c r="BQ1182" i="1"/>
  <c r="BM1183" i="1"/>
  <c r="BM1182" i="1"/>
  <c r="BH1183" i="1"/>
  <c r="BH1182" i="1"/>
  <c r="BJ1183" i="1"/>
  <c r="BJ1182" i="1"/>
  <c r="BV1183" i="1"/>
  <c r="BV1182" i="1"/>
  <c r="BT1183" i="1"/>
  <c r="BK1183" i="1"/>
  <c r="BI1183" i="1"/>
  <c r="BT1182" i="1"/>
  <c r="BK1182" i="1"/>
  <c r="BI1182" i="1"/>
  <c r="BL137" i="1"/>
  <c r="BL66" i="1"/>
  <c r="BL61" i="1"/>
  <c r="BL57" i="1"/>
  <c r="BL52" i="1"/>
  <c r="BL48" i="1"/>
  <c r="BL43" i="1"/>
  <c r="BL39" i="1"/>
  <c r="BL34" i="1"/>
  <c r="BL30" i="1"/>
  <c r="BL25" i="1"/>
  <c r="BL21" i="1"/>
  <c r="BL16" i="1"/>
  <c r="BL12" i="1"/>
  <c r="BI131" i="1"/>
  <c r="BI62" i="1"/>
  <c r="BI53" i="1"/>
  <c r="BI44" i="1"/>
  <c r="BI35" i="1"/>
  <c r="BI23" i="1"/>
  <c r="BI79" i="1"/>
  <c r="BI90" i="1"/>
  <c r="BI122" i="1"/>
  <c r="BI259" i="1"/>
  <c r="BI143" i="1"/>
  <c r="BI152" i="1"/>
  <c r="BR1178" i="1"/>
  <c r="BR1177" i="1"/>
  <c r="BR1176" i="1"/>
  <c r="BR1175" i="1"/>
  <c r="BR1174" i="1"/>
  <c r="BR1173" i="1"/>
  <c r="BR1172" i="1"/>
  <c r="BQ1178" i="1"/>
  <c r="BQ1177" i="1"/>
  <c r="BQ1176" i="1"/>
  <c r="BQ1175" i="1"/>
  <c r="BQ1174" i="1"/>
  <c r="BQ1173" i="1"/>
  <c r="BQ1172" i="1"/>
  <c r="BM1178" i="1"/>
  <c r="BM1177" i="1"/>
  <c r="BM1176" i="1"/>
  <c r="BM1175" i="1"/>
  <c r="BM1174" i="1"/>
  <c r="BM1173" i="1"/>
  <c r="BM1172" i="1"/>
  <c r="BH1178" i="1"/>
  <c r="BH1177" i="1"/>
  <c r="BH1176" i="1"/>
  <c r="BH1175" i="1"/>
  <c r="BH1174" i="1"/>
  <c r="BH1173" i="1"/>
  <c r="BH1172" i="1"/>
  <c r="BJ1178" i="1"/>
  <c r="BJ1177" i="1"/>
  <c r="BJ1176" i="1"/>
  <c r="BJ1175" i="1"/>
  <c r="BJ1174" i="1"/>
  <c r="BJ1173" i="1"/>
  <c r="BJ1172" i="1"/>
  <c r="BV1178" i="1"/>
  <c r="BV1177" i="1"/>
  <c r="BV1176" i="1"/>
  <c r="BV1175" i="1"/>
  <c r="BV1174" i="1"/>
  <c r="BV1173" i="1"/>
  <c r="BV1172" i="1"/>
  <c r="BT1178" i="1"/>
  <c r="BK1178" i="1"/>
  <c r="BI1178" i="1"/>
  <c r="BT1177" i="1"/>
  <c r="BK1177" i="1"/>
  <c r="BI1177" i="1"/>
  <c r="BT1176" i="1"/>
  <c r="BK1176" i="1"/>
  <c r="BI1176" i="1"/>
  <c r="BT1175" i="1"/>
  <c r="BK1175" i="1"/>
  <c r="BI1175" i="1"/>
  <c r="BT1174" i="1"/>
  <c r="BK1174" i="1"/>
  <c r="BI1174" i="1"/>
  <c r="BT1173" i="1"/>
  <c r="BK1173" i="1"/>
  <c r="BI1173" i="1"/>
  <c r="BT1172" i="1"/>
  <c r="BK1172" i="1"/>
  <c r="BI1172" i="1"/>
  <c r="BR1171" i="1"/>
  <c r="BR1170" i="1"/>
  <c r="BR1169" i="1"/>
  <c r="BR1168" i="1"/>
  <c r="BR1167" i="1"/>
  <c r="BR1166" i="1"/>
  <c r="BQ1171" i="1"/>
  <c r="BQ1170" i="1"/>
  <c r="BQ1169" i="1"/>
  <c r="BQ1168" i="1"/>
  <c r="BQ1167" i="1"/>
  <c r="BQ1166" i="1"/>
  <c r="BM1171" i="1"/>
  <c r="BM1170" i="1"/>
  <c r="BM1169" i="1"/>
  <c r="BM1168" i="1"/>
  <c r="BM1167" i="1"/>
  <c r="BM1166" i="1"/>
  <c r="BH1171" i="1"/>
  <c r="BH1170" i="1"/>
  <c r="BH1169" i="1"/>
  <c r="BH1168" i="1"/>
  <c r="BH1167" i="1"/>
  <c r="BH1166" i="1"/>
  <c r="BJ1171" i="1"/>
  <c r="BJ1170" i="1"/>
  <c r="BJ1169" i="1"/>
  <c r="BJ1168" i="1"/>
  <c r="BJ1167" i="1"/>
  <c r="BJ1166" i="1"/>
  <c r="BV1171" i="1"/>
  <c r="BV1170" i="1"/>
  <c r="BV1169" i="1"/>
  <c r="BV1168" i="1"/>
  <c r="BV1167" i="1"/>
  <c r="BV1166" i="1"/>
  <c r="BT1171" i="1"/>
  <c r="BK1171" i="1"/>
  <c r="BI1171" i="1"/>
  <c r="BT1170" i="1"/>
  <c r="BK1170" i="1"/>
  <c r="BI1170" i="1"/>
  <c r="BT1169" i="1"/>
  <c r="BK1169" i="1"/>
  <c r="BI1169" i="1"/>
  <c r="BT1168" i="1"/>
  <c r="BK1168" i="1"/>
  <c r="BI1168" i="1"/>
  <c r="BT1167" i="1"/>
  <c r="BK1167" i="1"/>
  <c r="BI1167" i="1"/>
  <c r="BT1166" i="1"/>
  <c r="BK1166" i="1"/>
  <c r="BI1166" i="1"/>
  <c r="BR1164" i="1"/>
  <c r="BR1163" i="1"/>
  <c r="BR1162" i="1"/>
  <c r="BR1161" i="1"/>
  <c r="BR1160" i="1"/>
  <c r="BR1159" i="1"/>
  <c r="BR1158" i="1"/>
  <c r="BR1157" i="1"/>
  <c r="BQ1164" i="1"/>
  <c r="BQ1163" i="1"/>
  <c r="BQ1162" i="1"/>
  <c r="BQ1161" i="1"/>
  <c r="BQ1160" i="1"/>
  <c r="BQ1159" i="1"/>
  <c r="BQ1158" i="1"/>
  <c r="BQ1157" i="1"/>
  <c r="BM1164" i="1"/>
  <c r="BM1163" i="1"/>
  <c r="BM1162" i="1"/>
  <c r="BM1161" i="1"/>
  <c r="BM1160" i="1"/>
  <c r="BM1159" i="1"/>
  <c r="BM1158" i="1"/>
  <c r="BM1157" i="1"/>
  <c r="BH1164" i="1"/>
  <c r="BH1163" i="1"/>
  <c r="BH1162" i="1"/>
  <c r="BH1161" i="1"/>
  <c r="BH1160" i="1"/>
  <c r="BH1159" i="1"/>
  <c r="BH1158" i="1"/>
  <c r="BH1157" i="1"/>
  <c r="BJ1164" i="1"/>
  <c r="BJ1163" i="1"/>
  <c r="BJ1162" i="1"/>
  <c r="BJ1161" i="1"/>
  <c r="BJ1160" i="1"/>
  <c r="BJ1159" i="1"/>
  <c r="BJ1158" i="1"/>
  <c r="BJ1157" i="1"/>
  <c r="BV1164" i="1"/>
  <c r="BV1163" i="1"/>
  <c r="BV1162" i="1"/>
  <c r="BV1161" i="1"/>
  <c r="BV1160" i="1"/>
  <c r="BV1159" i="1"/>
  <c r="BV1158" i="1"/>
  <c r="BV1157" i="1"/>
  <c r="BT1164" i="1"/>
  <c r="BK1164" i="1"/>
  <c r="BI1164" i="1"/>
  <c r="BT1163" i="1"/>
  <c r="BK1163" i="1"/>
  <c r="BI1163" i="1"/>
  <c r="BT1162" i="1"/>
  <c r="BK1162" i="1"/>
  <c r="BI1162" i="1"/>
  <c r="BT1161" i="1"/>
  <c r="BK1161" i="1"/>
  <c r="BI1161" i="1"/>
  <c r="BT1160" i="1"/>
  <c r="BK1160" i="1"/>
  <c r="BI1160" i="1"/>
  <c r="BT1159" i="1"/>
  <c r="BK1159" i="1"/>
  <c r="BI1159" i="1"/>
  <c r="BT1158" i="1"/>
  <c r="BK1158" i="1"/>
  <c r="BI1158" i="1"/>
  <c r="BT1157" i="1"/>
  <c r="BK1157" i="1"/>
  <c r="BI1157" i="1"/>
  <c r="BR1156" i="1"/>
  <c r="BR1155" i="1"/>
  <c r="BR1154" i="1"/>
  <c r="BR1153" i="1"/>
  <c r="BR1152" i="1"/>
  <c r="BR1151" i="1"/>
  <c r="BR1150" i="1"/>
  <c r="BR1149" i="1"/>
  <c r="BQ1156" i="1"/>
  <c r="BQ1155" i="1"/>
  <c r="BQ1154" i="1"/>
  <c r="BQ1153" i="1"/>
  <c r="BQ1152" i="1"/>
  <c r="BQ1151" i="1"/>
  <c r="BQ1150" i="1"/>
  <c r="BQ1149" i="1"/>
  <c r="BM1156" i="1"/>
  <c r="BM1155" i="1"/>
  <c r="BM1154" i="1"/>
  <c r="BM1153" i="1"/>
  <c r="BM1152" i="1"/>
  <c r="BM1151" i="1"/>
  <c r="BM1150" i="1"/>
  <c r="BM1149" i="1"/>
  <c r="BH1156" i="1"/>
  <c r="BH1155" i="1"/>
  <c r="BH1154" i="1"/>
  <c r="BH1153" i="1"/>
  <c r="BH1152" i="1"/>
  <c r="BH1151" i="1"/>
  <c r="BH1150" i="1"/>
  <c r="BH1149" i="1"/>
  <c r="BJ1156" i="1"/>
  <c r="BJ1155" i="1"/>
  <c r="BJ1154" i="1"/>
  <c r="BJ1153" i="1"/>
  <c r="BJ1152" i="1"/>
  <c r="BJ1151" i="1"/>
  <c r="BJ1150" i="1"/>
  <c r="BJ1149" i="1"/>
  <c r="BV1156" i="1"/>
  <c r="BV1155" i="1"/>
  <c r="BV1154" i="1"/>
  <c r="BV1153" i="1"/>
  <c r="BV1152" i="1"/>
  <c r="BV1151" i="1"/>
  <c r="BV1150" i="1"/>
  <c r="BV1149" i="1"/>
  <c r="BT1156" i="1"/>
  <c r="BK1156" i="1"/>
  <c r="BI1156" i="1"/>
  <c r="BT1155" i="1"/>
  <c r="BK1155" i="1"/>
  <c r="BI1155" i="1"/>
  <c r="BT1154" i="1"/>
  <c r="BK1154" i="1"/>
  <c r="BI1154" i="1"/>
  <c r="BT1153" i="1"/>
  <c r="BK1153" i="1"/>
  <c r="BI1153" i="1"/>
  <c r="BT1152" i="1"/>
  <c r="BK1152" i="1"/>
  <c r="BI1152" i="1"/>
  <c r="BT1151" i="1"/>
  <c r="BK1151" i="1"/>
  <c r="BI1151" i="1"/>
  <c r="BT1150" i="1"/>
  <c r="BK1150" i="1"/>
  <c r="BI1150" i="1"/>
  <c r="BT1149" i="1"/>
  <c r="BK1149" i="1"/>
  <c r="BI1149" i="1"/>
  <c r="BR1181" i="1"/>
  <c r="BQ1181" i="1"/>
  <c r="BM1181" i="1"/>
  <c r="BH1181" i="1"/>
  <c r="BJ1181" i="1"/>
  <c r="BV1181" i="1"/>
  <c r="BT1181" i="1"/>
  <c r="BK1181" i="1"/>
  <c r="BI1181" i="1"/>
  <c r="BR1165" i="1"/>
  <c r="BR1148" i="1"/>
  <c r="BR1147" i="1"/>
  <c r="BQ1165" i="1"/>
  <c r="BQ1148" i="1"/>
  <c r="BQ1147" i="1"/>
  <c r="BM1165" i="1"/>
  <c r="BM1148" i="1"/>
  <c r="BM1147" i="1"/>
  <c r="BH1165" i="1"/>
  <c r="BH1148" i="1"/>
  <c r="BH1147" i="1"/>
  <c r="BJ1165" i="1"/>
  <c r="BJ1148" i="1"/>
  <c r="BJ1147" i="1"/>
  <c r="BV1165" i="1"/>
  <c r="BV1148" i="1"/>
  <c r="BV1147" i="1"/>
  <c r="BT1165" i="1"/>
  <c r="BK1165" i="1"/>
  <c r="BI1165" i="1"/>
  <c r="BT1148" i="1"/>
  <c r="BK1148" i="1"/>
  <c r="BI1148" i="1"/>
  <c r="BT1147" i="1"/>
  <c r="BK1147" i="1"/>
  <c r="BI1147" i="1"/>
  <c r="BR1128" i="1"/>
  <c r="BR1127" i="1"/>
  <c r="BR1126" i="1"/>
  <c r="BR1125" i="1"/>
  <c r="BR1124" i="1"/>
  <c r="BR1131" i="1"/>
  <c r="BQ1128" i="1"/>
  <c r="BQ1127" i="1"/>
  <c r="BQ1126" i="1"/>
  <c r="BQ1125" i="1"/>
  <c r="BQ1124" i="1"/>
  <c r="BQ1131" i="1"/>
  <c r="BM1128" i="1"/>
  <c r="BM1127" i="1"/>
  <c r="BM1126" i="1"/>
  <c r="BM1125" i="1"/>
  <c r="BM1124" i="1"/>
  <c r="BM1131" i="1"/>
  <c r="BH1128" i="1"/>
  <c r="BH1127" i="1"/>
  <c r="BH1126" i="1"/>
  <c r="BH1125" i="1"/>
  <c r="BH1124" i="1"/>
  <c r="BH1131" i="1"/>
  <c r="BJ1128" i="1"/>
  <c r="BJ1127" i="1"/>
  <c r="BJ1126" i="1"/>
  <c r="BJ1125" i="1"/>
  <c r="BJ1124" i="1"/>
  <c r="BJ1131" i="1"/>
  <c r="BV1128" i="1"/>
  <c r="BV1127" i="1"/>
  <c r="BV1126" i="1"/>
  <c r="BV1125" i="1"/>
  <c r="BV1124" i="1"/>
  <c r="BV1131" i="1"/>
  <c r="BT1128" i="1"/>
  <c r="BK1128" i="1"/>
  <c r="BI1128" i="1"/>
  <c r="BT1127" i="1"/>
  <c r="BK1127" i="1"/>
  <c r="BI1127" i="1"/>
  <c r="BT1126" i="1"/>
  <c r="BK1126" i="1"/>
  <c r="BI1126" i="1"/>
  <c r="BT1125" i="1"/>
  <c r="BK1125" i="1"/>
  <c r="BI1125" i="1"/>
  <c r="BT1124" i="1"/>
  <c r="BK1124" i="1"/>
  <c r="BI1124" i="1"/>
  <c r="BI1131" i="1"/>
  <c r="BK1131" i="1"/>
  <c r="BT1131" i="1"/>
  <c r="BR1130" i="1"/>
  <c r="BR1129" i="1"/>
  <c r="BR1123" i="1"/>
  <c r="BQ1130" i="1"/>
  <c r="BQ1129" i="1"/>
  <c r="BQ1123" i="1"/>
  <c r="BM1130" i="1"/>
  <c r="BM1129" i="1"/>
  <c r="BM1123" i="1"/>
  <c r="BH1130" i="1"/>
  <c r="BH1129" i="1"/>
  <c r="BH1123" i="1"/>
  <c r="BJ1130" i="1"/>
  <c r="BJ1129" i="1"/>
  <c r="BJ1123" i="1"/>
  <c r="BV1130" i="1"/>
  <c r="BV1129" i="1"/>
  <c r="BV1123" i="1"/>
  <c r="BT1130" i="1"/>
  <c r="BK1130" i="1"/>
  <c r="BI1130" i="1"/>
  <c r="BT1129" i="1"/>
  <c r="BK1129" i="1"/>
  <c r="BI1129" i="1"/>
  <c r="BT1123" i="1"/>
  <c r="BK1123" i="1"/>
  <c r="BI1123" i="1"/>
  <c r="BL185" i="1"/>
  <c r="BM1063" i="1"/>
  <c r="BR1120" i="1"/>
  <c r="BR1119" i="1"/>
  <c r="BR1118" i="1"/>
  <c r="BR1117" i="1"/>
  <c r="BR1116" i="1"/>
  <c r="BQ1120" i="1"/>
  <c r="BQ1119" i="1"/>
  <c r="BQ1118" i="1"/>
  <c r="BQ1117" i="1"/>
  <c r="BQ1116" i="1"/>
  <c r="BM1120" i="1"/>
  <c r="BM1119" i="1"/>
  <c r="BM1118" i="1"/>
  <c r="BM1117" i="1"/>
  <c r="BM1116" i="1"/>
  <c r="BH1120" i="1"/>
  <c r="BH1119" i="1"/>
  <c r="BH1118" i="1"/>
  <c r="BH1117" i="1"/>
  <c r="BH1116" i="1"/>
  <c r="BJ1120" i="1"/>
  <c r="BJ1119" i="1"/>
  <c r="BJ1118" i="1"/>
  <c r="BJ1117" i="1"/>
  <c r="BJ1116" i="1"/>
  <c r="BV1104" i="1"/>
  <c r="BV1120" i="1"/>
  <c r="BV1119" i="1"/>
  <c r="BV1118" i="1"/>
  <c r="BV1117" i="1"/>
  <c r="BV1116" i="1"/>
  <c r="BV1097" i="1"/>
  <c r="BV1100" i="1"/>
  <c r="BV1101" i="1"/>
  <c r="BV1103" i="1"/>
  <c r="BV1113" i="1"/>
  <c r="BV1121" i="1"/>
  <c r="BV1122" i="1"/>
  <c r="BV1132" i="1"/>
  <c r="BV1142" i="1"/>
  <c r="BV1145" i="1"/>
  <c r="BV1146" i="1"/>
  <c r="BV1180" i="1"/>
  <c r="BV1084" i="1"/>
  <c r="BV1081" i="1"/>
  <c r="BV1078" i="1"/>
  <c r="BV1070" i="1"/>
  <c r="BV1067" i="1"/>
  <c r="BV1066" i="1"/>
  <c r="BV1088" i="1"/>
  <c r="BV1077" i="1"/>
  <c r="BV1075" i="1"/>
  <c r="BV1056" i="1"/>
  <c r="BT1038" i="1"/>
  <c r="BT1093" i="1"/>
  <c r="BT1095" i="1"/>
  <c r="BT1103" i="1"/>
  <c r="BT1107" i="1"/>
  <c r="BT1115" i="1"/>
  <c r="BT1122" i="1"/>
  <c r="BT1136" i="1"/>
  <c r="BT1138" i="1"/>
  <c r="BT1146" i="1"/>
  <c r="BT1035" i="1"/>
  <c r="BI1038" i="1"/>
  <c r="BI1039" i="1"/>
  <c r="BI1040" i="1"/>
  <c r="BI1093" i="1"/>
  <c r="BK1094" i="1"/>
  <c r="BI1095" i="1"/>
  <c r="BI1096" i="1"/>
  <c r="BI1101" i="1"/>
  <c r="BK1102" i="1"/>
  <c r="BI1103" i="1"/>
  <c r="BI1104" i="1"/>
  <c r="BI1109" i="1"/>
  <c r="BK1110" i="1"/>
  <c r="BI1111" i="1"/>
  <c r="BI1112" i="1"/>
  <c r="BI1122" i="1"/>
  <c r="BI1132" i="1"/>
  <c r="BI1133" i="1"/>
  <c r="BI1138" i="1"/>
  <c r="BK1139" i="1"/>
  <c r="BI1140" i="1"/>
  <c r="BI1141" i="1"/>
  <c r="BI1146" i="1"/>
  <c r="BK1179" i="1"/>
  <c r="BI1180" i="1"/>
  <c r="BT1120" i="1"/>
  <c r="BK1120" i="1"/>
  <c r="BI1120" i="1"/>
  <c r="BT1119" i="1"/>
  <c r="BK1119" i="1"/>
  <c r="BI1119" i="1"/>
  <c r="BT1118" i="1"/>
  <c r="BK1118" i="1"/>
  <c r="BI1118" i="1"/>
  <c r="BT1117" i="1"/>
  <c r="BK1117" i="1"/>
  <c r="BI1117" i="1"/>
  <c r="BT1116" i="1"/>
  <c r="BK1116" i="1"/>
  <c r="BI1116" i="1"/>
  <c r="BI134" i="1"/>
  <c r="BI26" i="1"/>
  <c r="BI102" i="1"/>
  <c r="BQ1134" i="1"/>
  <c r="BQ1105" i="1"/>
  <c r="BQ1089" i="1"/>
  <c r="BM1052" i="1"/>
  <c r="BQ1061" i="1"/>
  <c r="BH1077" i="1"/>
  <c r="BM1074" i="1"/>
  <c r="BR1074" i="1"/>
  <c r="BH1067" i="1"/>
  <c r="BM1068" i="1"/>
  <c r="BQ1087" i="1"/>
  <c r="BQ1064" i="1"/>
  <c r="BM1044" i="1"/>
  <c r="BQ1180" i="1"/>
  <c r="BQ1132" i="1"/>
  <c r="BQ1103" i="1"/>
  <c r="BQ1039" i="1"/>
  <c r="BM1054" i="1"/>
  <c r="BH1055" i="1"/>
  <c r="BM1076" i="1"/>
  <c r="BR1075" i="1"/>
  <c r="BH1069" i="1"/>
  <c r="BM1070" i="1"/>
  <c r="BR1106" i="1"/>
  <c r="BR1135" i="1"/>
  <c r="BM1100" i="1"/>
  <c r="BM1121" i="1"/>
  <c r="BM1145" i="1"/>
  <c r="BR1107" i="1"/>
  <c r="BR1136" i="1"/>
  <c r="BM1095" i="1"/>
  <c r="BM1111" i="1"/>
  <c r="BM1140" i="1"/>
  <c r="BR1133" i="1"/>
  <c r="BR1108" i="1"/>
  <c r="BR1137" i="1"/>
  <c r="BM1106" i="1"/>
  <c r="BM1135" i="1"/>
  <c r="BR1093" i="1"/>
  <c r="BR1109" i="1"/>
  <c r="BR1138" i="1"/>
  <c r="BM1101" i="1"/>
  <c r="BM1122" i="1"/>
  <c r="BM1146" i="1"/>
  <c r="BR1094" i="1"/>
  <c r="BR1110" i="1"/>
  <c r="BR1139" i="1"/>
  <c r="BM1096" i="1"/>
  <c r="BM1112" i="1"/>
  <c r="BM1141" i="1"/>
  <c r="BR1095" i="1"/>
  <c r="BR1111" i="1"/>
  <c r="BR1140" i="1"/>
  <c r="BM1107" i="1"/>
  <c r="BM1136" i="1"/>
  <c r="BR1096" i="1"/>
  <c r="BR1112" i="1"/>
  <c r="BR1141" i="1"/>
  <c r="BM1102" i="1"/>
  <c r="BM1179" i="1"/>
  <c r="BR1097" i="1"/>
  <c r="BR1113" i="1"/>
  <c r="BR1142" i="1"/>
  <c r="BM1097" i="1"/>
  <c r="BM1113" i="1"/>
  <c r="BM1142" i="1"/>
  <c r="BR1098" i="1"/>
  <c r="BR1114" i="1"/>
  <c r="BR1143" i="1"/>
  <c r="BM1108" i="1"/>
  <c r="BM1137" i="1"/>
  <c r="BM1139" i="1"/>
  <c r="BR1099" i="1"/>
  <c r="BR1115" i="1"/>
  <c r="BR1144" i="1"/>
  <c r="BM1103" i="1"/>
  <c r="BM1132" i="1"/>
  <c r="BM1180" i="1"/>
  <c r="BR1100" i="1"/>
  <c r="BR1121" i="1"/>
  <c r="BR1145" i="1"/>
  <c r="BM1098" i="1"/>
  <c r="BM1114" i="1"/>
  <c r="BM1143" i="1"/>
  <c r="BM1104" i="1"/>
  <c r="BM1133" i="1"/>
  <c r="BR1101" i="1"/>
  <c r="BR1122" i="1"/>
  <c r="BR1146" i="1"/>
  <c r="BM1093" i="1"/>
  <c r="BM1109" i="1"/>
  <c r="BM1138" i="1"/>
  <c r="BR1102" i="1"/>
  <c r="BR1179" i="1"/>
  <c r="BM1110" i="1"/>
  <c r="BR1103" i="1"/>
  <c r="BR1132" i="1"/>
  <c r="BR1180" i="1"/>
  <c r="BM1099" i="1"/>
  <c r="BM1115" i="1"/>
  <c r="BM1144" i="1"/>
  <c r="BR1104" i="1"/>
  <c r="BM1094" i="1"/>
  <c r="BR1105" i="1"/>
  <c r="BR1134" i="1"/>
  <c r="BM1105" i="1"/>
  <c r="BM1134" i="1"/>
  <c r="BL193" i="1"/>
  <c r="BM1045" i="1"/>
  <c r="BQ1179" i="1"/>
  <c r="BQ1102" i="1"/>
  <c r="BQ1038" i="1"/>
  <c r="BR1043" i="1"/>
  <c r="BM1062" i="1"/>
  <c r="BR1051" i="1"/>
  <c r="BH1056" i="1"/>
  <c r="BM1055" i="1"/>
  <c r="BR1060" i="1"/>
  <c r="BM1077" i="1"/>
  <c r="BH1070" i="1"/>
  <c r="BM1071" i="1"/>
  <c r="BR1070" i="1"/>
  <c r="BH1078" i="1"/>
  <c r="BQ1063" i="1"/>
  <c r="BM1046" i="1"/>
  <c r="BQ1146" i="1"/>
  <c r="BQ1122" i="1"/>
  <c r="BQ1101" i="1"/>
  <c r="BQ1037" i="1"/>
  <c r="BH1050" i="1"/>
  <c r="BQ1050" i="1"/>
  <c r="BH1057" i="1"/>
  <c r="BM1056" i="1"/>
  <c r="BM1088" i="1"/>
  <c r="BR1076" i="1"/>
  <c r="BH1071" i="1"/>
  <c r="BM1072" i="1"/>
  <c r="BH1079" i="1"/>
  <c r="BH1083" i="1"/>
  <c r="BQ52" i="1"/>
  <c r="BM1047" i="1"/>
  <c r="BQ1145" i="1"/>
  <c r="BQ1121" i="1"/>
  <c r="BQ1100" i="1"/>
  <c r="BQ1036" i="1"/>
  <c r="BR1044" i="1"/>
  <c r="BH1051" i="1"/>
  <c r="BQ1051" i="1"/>
  <c r="BR1052" i="1"/>
  <c r="BH1058" i="1"/>
  <c r="BM1057" i="1"/>
  <c r="BR1061" i="1"/>
  <c r="BQ1074" i="1"/>
  <c r="BH1072" i="1"/>
  <c r="BM1073" i="1"/>
  <c r="BR1071" i="1"/>
  <c r="BH1080" i="1"/>
  <c r="BH1084" i="1"/>
  <c r="BH1049" i="1"/>
  <c r="BM1048" i="1"/>
  <c r="BQ1144" i="1"/>
  <c r="BQ1115" i="1"/>
  <c r="BQ1099" i="1"/>
  <c r="BQ1043" i="1"/>
  <c r="BH1052" i="1"/>
  <c r="BQ1052" i="1"/>
  <c r="BH1059" i="1"/>
  <c r="BM1058" i="1"/>
  <c r="BQ1075" i="1"/>
  <c r="BR1077" i="1"/>
  <c r="BH1073" i="1"/>
  <c r="BQ1065" i="1"/>
  <c r="BH1081" i="1"/>
  <c r="BM1078" i="1"/>
  <c r="BR1078" i="1"/>
  <c r="BH1085" i="1"/>
  <c r="BQ1049" i="1"/>
  <c r="BH1043" i="1"/>
  <c r="BQ1035" i="1"/>
  <c r="BQ1143" i="1"/>
  <c r="BQ1114" i="1"/>
  <c r="BQ1098" i="1"/>
  <c r="BQ1044" i="1"/>
  <c r="BR1045" i="1"/>
  <c r="BH1053" i="1"/>
  <c r="BQ1053" i="1"/>
  <c r="BR1053" i="1"/>
  <c r="BH1060" i="1"/>
  <c r="BM1059" i="1"/>
  <c r="BQ1076" i="1"/>
  <c r="BQ1066" i="1"/>
  <c r="BR1072" i="1"/>
  <c r="BH1082" i="1"/>
  <c r="BM1079" i="1"/>
  <c r="BH1086" i="1"/>
  <c r="BM1083" i="1"/>
  <c r="BR1083" i="1"/>
  <c r="BM1064" i="1"/>
  <c r="BH1044" i="1"/>
  <c r="BQ1142" i="1"/>
  <c r="BQ1113" i="1"/>
  <c r="BQ1097" i="1"/>
  <c r="BQ1045" i="1"/>
  <c r="BH1054" i="1"/>
  <c r="BQ1054" i="1"/>
  <c r="BH1061" i="1"/>
  <c r="BM1060" i="1"/>
  <c r="BQ1077" i="1"/>
  <c r="BR1088" i="1"/>
  <c r="BQ1067" i="1"/>
  <c r="BM1080" i="1"/>
  <c r="BR1079" i="1"/>
  <c r="BH1087" i="1"/>
  <c r="BM1084" i="1"/>
  <c r="BH1042" i="1"/>
  <c r="BI174" i="1"/>
  <c r="BR1041" i="1"/>
  <c r="BH1045" i="1"/>
  <c r="BQ1141" i="1"/>
  <c r="BQ1112" i="1"/>
  <c r="BQ1096" i="1"/>
  <c r="BQ1046" i="1"/>
  <c r="BR1046" i="1"/>
  <c r="BH1062" i="1"/>
  <c r="BQ1062" i="1"/>
  <c r="BR1054" i="1"/>
  <c r="BM1061" i="1"/>
  <c r="BR1055" i="1"/>
  <c r="BQ1088" i="1"/>
  <c r="BQ1068" i="1"/>
  <c r="BR1065" i="1"/>
  <c r="BR1073" i="1"/>
  <c r="BM1081" i="1"/>
  <c r="BM1085" i="1"/>
  <c r="BR1084" i="1"/>
  <c r="BH1046" i="1"/>
  <c r="BQ1140" i="1"/>
  <c r="BQ1111" i="1"/>
  <c r="BQ1095" i="1"/>
  <c r="BQ1047" i="1"/>
  <c r="BQ1055" i="1"/>
  <c r="BQ1069" i="1"/>
  <c r="BM1082" i="1"/>
  <c r="BR1080" i="1"/>
  <c r="BM1086" i="1"/>
  <c r="BQ1042" i="1"/>
  <c r="BR1042" i="1"/>
  <c r="BH1047" i="1"/>
  <c r="BQ1139" i="1"/>
  <c r="BQ1110" i="1"/>
  <c r="BQ1094" i="1"/>
  <c r="BQ1048" i="1"/>
  <c r="BR1047" i="1"/>
  <c r="BR1062" i="1"/>
  <c r="BQ1056" i="1"/>
  <c r="BR1056" i="1"/>
  <c r="BQ1070" i="1"/>
  <c r="BR1066" i="1"/>
  <c r="BQ1078" i="1"/>
  <c r="BM1087" i="1"/>
  <c r="BR1085" i="1"/>
  <c r="BH1048" i="1"/>
  <c r="BQ1138" i="1"/>
  <c r="BQ1109" i="1"/>
  <c r="BQ1093" i="1"/>
  <c r="BQ1057" i="1"/>
  <c r="BQ1071" i="1"/>
  <c r="BQ1079" i="1"/>
  <c r="BR1081" i="1"/>
  <c r="BQ1083" i="1"/>
  <c r="BR1049" i="1"/>
  <c r="BQ1137" i="1"/>
  <c r="BQ1108" i="1"/>
  <c r="BQ1092" i="1"/>
  <c r="BR1048" i="1"/>
  <c r="BQ1058" i="1"/>
  <c r="BR1057" i="1"/>
  <c r="BH1074" i="1"/>
  <c r="BM1065" i="1"/>
  <c r="BQ1072" i="1"/>
  <c r="BR1067" i="1"/>
  <c r="BQ1080" i="1"/>
  <c r="BQ1084" i="1"/>
  <c r="BR1086" i="1"/>
  <c r="BQ1041" i="1"/>
  <c r="BQ1136" i="1"/>
  <c r="BQ1107" i="1"/>
  <c r="BQ1091" i="1"/>
  <c r="BM1050" i="1"/>
  <c r="BQ1059" i="1"/>
  <c r="BH1075" i="1"/>
  <c r="BH1065" i="1"/>
  <c r="BM1066" i="1"/>
  <c r="BQ1073" i="1"/>
  <c r="BQ1081" i="1"/>
  <c r="BR1082" i="1"/>
  <c r="BQ1085" i="1"/>
  <c r="BR1063" i="1"/>
  <c r="BQ1135" i="1"/>
  <c r="BQ1106" i="1"/>
  <c r="BQ1090" i="1"/>
  <c r="BM1051" i="1"/>
  <c r="BQ1060" i="1"/>
  <c r="BR1058" i="1"/>
  <c r="BH1076" i="1"/>
  <c r="BH1066" i="1"/>
  <c r="BM1067" i="1"/>
  <c r="BR1068" i="1"/>
  <c r="BQ1082" i="1"/>
  <c r="BQ1086" i="1"/>
  <c r="BR1087" i="1"/>
  <c r="BM1041" i="1"/>
  <c r="BR1091" i="1"/>
  <c r="BH1103" i="1"/>
  <c r="BH1132" i="1"/>
  <c r="BH1180" i="1"/>
  <c r="BR1092" i="1"/>
  <c r="BH1098" i="1"/>
  <c r="BH1114" i="1"/>
  <c r="BH1143" i="1"/>
  <c r="BH1093" i="1"/>
  <c r="BH1109" i="1"/>
  <c r="BH1138" i="1"/>
  <c r="BM1089" i="1"/>
  <c r="BH1104" i="1"/>
  <c r="BH1133" i="1"/>
  <c r="BM1036" i="1"/>
  <c r="BH1099" i="1"/>
  <c r="BH1115" i="1"/>
  <c r="BH1144" i="1"/>
  <c r="BH1094" i="1"/>
  <c r="BH1110" i="1"/>
  <c r="BH1139" i="1"/>
  <c r="BM1090" i="1"/>
  <c r="BH1089" i="1"/>
  <c r="BH1105" i="1"/>
  <c r="BH1134" i="1"/>
  <c r="BM1037" i="1"/>
  <c r="BR1035" i="1"/>
  <c r="BH1100" i="1"/>
  <c r="BH1121" i="1"/>
  <c r="BH1145" i="1"/>
  <c r="BH1095" i="1"/>
  <c r="BH1111" i="1"/>
  <c r="BH1140" i="1"/>
  <c r="BM1091" i="1"/>
  <c r="BR1036" i="1"/>
  <c r="BH1090" i="1"/>
  <c r="BH1106" i="1"/>
  <c r="BH1135" i="1"/>
  <c r="BM1038" i="1"/>
  <c r="BR1037" i="1"/>
  <c r="BH1101" i="1"/>
  <c r="BH1122" i="1"/>
  <c r="BH1146" i="1"/>
  <c r="BR1038" i="1"/>
  <c r="BH1096" i="1"/>
  <c r="BH1112" i="1"/>
  <c r="BH1141" i="1"/>
  <c r="BM1092" i="1"/>
  <c r="BR1039" i="1"/>
  <c r="BH1091" i="1"/>
  <c r="BH1107" i="1"/>
  <c r="BH1136" i="1"/>
  <c r="BM1039" i="1"/>
  <c r="BR1040" i="1"/>
  <c r="BH1102" i="1"/>
  <c r="BH1179" i="1"/>
  <c r="BR1089" i="1"/>
  <c r="BH1097" i="1"/>
  <c r="BH1113" i="1"/>
  <c r="BH1142" i="1"/>
  <c r="BM1049" i="1"/>
  <c r="BR1090" i="1"/>
  <c r="BH1092" i="1"/>
  <c r="BH1108" i="1"/>
  <c r="BH1137" i="1"/>
  <c r="BM1040" i="1"/>
  <c r="BM1035" i="1"/>
  <c r="BV965" i="1"/>
  <c r="BH1064" i="1"/>
  <c r="BM1042" i="1"/>
  <c r="BL138" i="1"/>
  <c r="BL68" i="1"/>
  <c r="BL65" i="1"/>
  <c r="BL62" i="1"/>
  <c r="BL59" i="1"/>
  <c r="BL56" i="1"/>
  <c r="BL53" i="1"/>
  <c r="BL50" i="1"/>
  <c r="BL47" i="1"/>
  <c r="BL44" i="1"/>
  <c r="BL41" i="1"/>
  <c r="BL38" i="1"/>
  <c r="BL35" i="1"/>
  <c r="BL32" i="1"/>
  <c r="BL29" i="1"/>
  <c r="BL26" i="1"/>
  <c r="BL23" i="1"/>
  <c r="BL20" i="1"/>
  <c r="BL17" i="1"/>
  <c r="BL14" i="1"/>
  <c r="BL11" i="1"/>
  <c r="BL8" i="1"/>
  <c r="BL135" i="1"/>
  <c r="BL70" i="1"/>
  <c r="BL132" i="1"/>
  <c r="BI139" i="1"/>
  <c r="BI136" i="1"/>
  <c r="BI133" i="1"/>
  <c r="BI71" i="1"/>
  <c r="BI67" i="1"/>
  <c r="BI64" i="1"/>
  <c r="BI61" i="1"/>
  <c r="BI58" i="1"/>
  <c r="BI55" i="1"/>
  <c r="BI52" i="1"/>
  <c r="BI49" i="1"/>
  <c r="BI46" i="1"/>
  <c r="BI43" i="1"/>
  <c r="BI40" i="1"/>
  <c r="BI37" i="1"/>
  <c r="BI34" i="1"/>
  <c r="BI31" i="1"/>
  <c r="BI28" i="1"/>
  <c r="BI25" i="1"/>
  <c r="BI21" i="1"/>
  <c r="BI17" i="1"/>
  <c r="BI8" i="1"/>
  <c r="BL103" i="1"/>
  <c r="BI74" i="1"/>
  <c r="BL80" i="1"/>
  <c r="BL99" i="1"/>
  <c r="BI93" i="1"/>
  <c r="BL88" i="1"/>
  <c r="BI84" i="1"/>
  <c r="BI95" i="1"/>
  <c r="BL111" i="1"/>
  <c r="BL107" i="1"/>
  <c r="BL124" i="1"/>
  <c r="BL123" i="1"/>
  <c r="BL118" i="1"/>
  <c r="BL127" i="1"/>
  <c r="BL130" i="1"/>
  <c r="BL144" i="1"/>
  <c r="BL156" i="1"/>
  <c r="BL153" i="1"/>
  <c r="BI257" i="1"/>
  <c r="BI162" i="1"/>
  <c r="BI165" i="1"/>
  <c r="BI255" i="1"/>
  <c r="BI171" i="1"/>
  <c r="BL175" i="1"/>
  <c r="BI187" i="1"/>
  <c r="BI179" i="1"/>
  <c r="BL183" i="1"/>
  <c r="BL213" i="1"/>
  <c r="BL71" i="1"/>
  <c r="BL133" i="1"/>
  <c r="BI141" i="1"/>
  <c r="BI138" i="1"/>
  <c r="BI135" i="1"/>
  <c r="BI132" i="1"/>
  <c r="BI70" i="1"/>
  <c r="BI66" i="1"/>
  <c r="BI63" i="1"/>
  <c r="BI60" i="1"/>
  <c r="BI57" i="1"/>
  <c r="BI54" i="1"/>
  <c r="BI51" i="1"/>
  <c r="BI48" i="1"/>
  <c r="BI45" i="1"/>
  <c r="BI42" i="1"/>
  <c r="BI39" i="1"/>
  <c r="BI36" i="1"/>
  <c r="BI33" i="1"/>
  <c r="BI30" i="1"/>
  <c r="BI27" i="1"/>
  <c r="BI24" i="1"/>
  <c r="BI20" i="1"/>
  <c r="BI14" i="1"/>
  <c r="BL78" i="1"/>
  <c r="BL75" i="1"/>
  <c r="BI100" i="1"/>
  <c r="BI98" i="1"/>
  <c r="BL91" i="1"/>
  <c r="BI87" i="1"/>
  <c r="BL82" i="1"/>
  <c r="BL104" i="1"/>
  <c r="BL115" i="1"/>
  <c r="BI120" i="1"/>
  <c r="BI147" i="1"/>
  <c r="BL148" i="1"/>
  <c r="BI158" i="1"/>
  <c r="BL150" i="1"/>
  <c r="BI155" i="1"/>
  <c r="BL163" i="1"/>
  <c r="BL166" i="1"/>
  <c r="BL172" i="1"/>
  <c r="BL180" i="1"/>
  <c r="BQ65" i="1"/>
  <c r="BU175" i="1"/>
  <c r="BM41" i="1"/>
  <c r="BU82" i="1"/>
  <c r="BM59" i="1"/>
  <c r="BQ92" i="1"/>
  <c r="BM39" i="1"/>
  <c r="BM52" i="1"/>
  <c r="BQ85" i="1"/>
  <c r="BU144" i="1"/>
  <c r="BU54" i="1"/>
  <c r="BM56" i="1"/>
  <c r="BQ135" i="1"/>
  <c r="BQ71" i="1"/>
  <c r="BQ116" i="1"/>
  <c r="BQ130" i="1"/>
  <c r="BU259" i="1"/>
  <c r="BL1033" i="1"/>
  <c r="BI1033" i="1"/>
  <c r="BL1032" i="1"/>
  <c r="BI1032" i="1"/>
  <c r="BL1031" i="1"/>
  <c r="BI1031" i="1"/>
  <c r="BS1033" i="1"/>
  <c r="BS1032" i="1"/>
  <c r="BS1031" i="1"/>
  <c r="BO1033" i="1"/>
  <c r="BO1032" i="1"/>
  <c r="BO1031" i="1"/>
  <c r="BT1033" i="1"/>
  <c r="BT1032" i="1"/>
  <c r="BT1031" i="1"/>
  <c r="BU1033" i="1"/>
  <c r="BQ1033" i="1"/>
  <c r="BU1032" i="1"/>
  <c r="BQ1032" i="1"/>
  <c r="BU1031" i="1"/>
  <c r="BQ1031" i="1"/>
  <c r="BM1033" i="1"/>
  <c r="BM1032" i="1"/>
  <c r="BM1031" i="1"/>
  <c r="BR1033" i="1"/>
  <c r="BK1033" i="1"/>
  <c r="BJ1033" i="1"/>
  <c r="BH1033" i="1"/>
  <c r="BR1032" i="1"/>
  <c r="BK1032" i="1"/>
  <c r="BJ1032" i="1"/>
  <c r="BH1032" i="1"/>
  <c r="BR1031" i="1"/>
  <c r="BK1031" i="1"/>
  <c r="BJ1031" i="1"/>
  <c r="BH1031" i="1"/>
  <c r="BN1033" i="1"/>
  <c r="BN1032" i="1"/>
  <c r="BN1031" i="1"/>
  <c r="BV1033" i="1"/>
  <c r="BV1032" i="1"/>
  <c r="BV1031" i="1"/>
  <c r="BR1030" i="1"/>
  <c r="BK1030" i="1"/>
  <c r="BJ1030" i="1"/>
  <c r="BH1030" i="1"/>
  <c r="BR1029" i="1"/>
  <c r="BK1029" i="1"/>
  <c r="BJ1029" i="1"/>
  <c r="BH1029" i="1"/>
  <c r="BR1028" i="1"/>
  <c r="BK1028" i="1"/>
  <c r="BJ1028" i="1"/>
  <c r="BH1028" i="1"/>
  <c r="BR1027" i="1"/>
  <c r="BK1027" i="1"/>
  <c r="BJ1027" i="1"/>
  <c r="BH1027" i="1"/>
  <c r="BR1026" i="1"/>
  <c r="BK1026" i="1"/>
  <c r="BJ1026" i="1"/>
  <c r="BH1026" i="1"/>
  <c r="BR1025" i="1"/>
  <c r="BK1025" i="1"/>
  <c r="BJ1025" i="1"/>
  <c r="BH1025" i="1"/>
  <c r="BR1024" i="1"/>
  <c r="BK1024" i="1"/>
  <c r="BJ1024" i="1"/>
  <c r="BH102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N1030" i="1"/>
  <c r="BN1029" i="1"/>
  <c r="BN1028" i="1"/>
  <c r="BN1027" i="1"/>
  <c r="BN1026" i="1"/>
  <c r="BN1025" i="1"/>
  <c r="BN1024" i="1"/>
  <c r="BJ1008" i="1"/>
  <c r="BJ1009" i="1"/>
  <c r="BJ1010" i="1"/>
  <c r="BJ1011" i="1"/>
  <c r="BJ1012" i="1"/>
  <c r="BJ1013" i="1"/>
  <c r="BJ1014" i="1"/>
  <c r="BJ1015" i="1"/>
  <c r="BJ1016" i="1"/>
  <c r="BJ1017" i="1"/>
  <c r="BJ1018" i="1"/>
  <c r="BJ1019" i="1"/>
  <c r="BJ1020" i="1"/>
  <c r="BJ1021" i="1"/>
  <c r="BJ1022" i="1"/>
  <c r="BJ1023" i="1"/>
  <c r="BS1030" i="1"/>
  <c r="BS1029" i="1"/>
  <c r="BS1028" i="1"/>
  <c r="BS1027" i="1"/>
  <c r="BS1026" i="1"/>
  <c r="BS1025" i="1"/>
  <c r="BS1024" i="1"/>
  <c r="BO1030" i="1"/>
  <c r="BO1029" i="1"/>
  <c r="BO1028" i="1"/>
  <c r="BO1027" i="1"/>
  <c r="BO1026" i="1"/>
  <c r="BO1025" i="1"/>
  <c r="BO1024" i="1"/>
  <c r="BT1030" i="1"/>
  <c r="BT1029" i="1"/>
  <c r="BT1028" i="1"/>
  <c r="BT1027" i="1"/>
  <c r="BT1026" i="1"/>
  <c r="BT1025" i="1"/>
  <c r="BT1024" i="1"/>
  <c r="BU1030" i="1"/>
  <c r="BQ1030" i="1"/>
  <c r="BU1029" i="1"/>
  <c r="BQ1029" i="1"/>
  <c r="BU1028" i="1"/>
  <c r="BQ1028" i="1"/>
  <c r="BU1027" i="1"/>
  <c r="BQ1027" i="1"/>
  <c r="BU1026" i="1"/>
  <c r="BQ1026" i="1"/>
  <c r="BU1025" i="1"/>
  <c r="BQ1025" i="1"/>
  <c r="BU1024" i="1"/>
  <c r="BQ1024" i="1"/>
  <c r="BM1030" i="1"/>
  <c r="BM1029" i="1"/>
  <c r="BM1028" i="1"/>
  <c r="BM1027" i="1"/>
  <c r="BM1026" i="1"/>
  <c r="BM1025" i="1"/>
  <c r="BM1024" i="1"/>
  <c r="BL1030" i="1"/>
  <c r="BI1030" i="1"/>
  <c r="BL1029" i="1"/>
  <c r="BI1029" i="1"/>
  <c r="BL1028" i="1"/>
  <c r="BI1028" i="1"/>
  <c r="BL1027" i="1"/>
  <c r="BI1027" i="1"/>
  <c r="BL1026" i="1"/>
  <c r="BI1026" i="1"/>
  <c r="BL1025" i="1"/>
  <c r="BI1025" i="1"/>
  <c r="BL1024" i="1"/>
  <c r="BI1024" i="1"/>
  <c r="BV1030" i="1"/>
  <c r="BV1029" i="1"/>
  <c r="BV1028" i="1"/>
  <c r="BV1027" i="1"/>
  <c r="BV1026" i="1"/>
  <c r="BV1025" i="1"/>
  <c r="BV1024" i="1"/>
  <c r="BR1019" i="1"/>
  <c r="BK1019" i="1"/>
  <c r="BH1019" i="1"/>
  <c r="BR1018" i="1"/>
  <c r="BK1018" i="1"/>
  <c r="BH1018" i="1"/>
  <c r="BR1017" i="1"/>
  <c r="BK1017" i="1"/>
  <c r="BH1017" i="1"/>
  <c r="BR1016" i="1"/>
  <c r="BK1016" i="1"/>
  <c r="BH1016" i="1"/>
  <c r="BR1015" i="1"/>
  <c r="BK1015" i="1"/>
  <c r="BH1015" i="1"/>
  <c r="BR1014" i="1"/>
  <c r="BK1014" i="1"/>
  <c r="BH1014" i="1"/>
  <c r="BR1013" i="1"/>
  <c r="BK1013" i="1"/>
  <c r="BH1013" i="1"/>
  <c r="BR1012" i="1"/>
  <c r="BK1012" i="1"/>
  <c r="BH1012" i="1"/>
  <c r="BN1019" i="1"/>
  <c r="BN1018" i="1"/>
  <c r="BN1017" i="1"/>
  <c r="BN1016" i="1"/>
  <c r="BN1015" i="1"/>
  <c r="BN1014" i="1"/>
  <c r="BN1013" i="1"/>
  <c r="BN1012" i="1"/>
  <c r="BL1019" i="1"/>
  <c r="BI1019" i="1"/>
  <c r="BL1018" i="1"/>
  <c r="BI1018" i="1"/>
  <c r="BL1017" i="1"/>
  <c r="BI1017" i="1"/>
  <c r="BL1016" i="1"/>
  <c r="BI1016" i="1"/>
  <c r="BL1015" i="1"/>
  <c r="BI1015" i="1"/>
  <c r="BL1014" i="1"/>
  <c r="BI1014" i="1"/>
  <c r="BL1013" i="1"/>
  <c r="BI1013" i="1"/>
  <c r="BL1012" i="1"/>
  <c r="BI1012" i="1"/>
  <c r="BS1019" i="1"/>
  <c r="BS1018" i="1"/>
  <c r="BS1017" i="1"/>
  <c r="BS1016" i="1"/>
  <c r="BS1015" i="1"/>
  <c r="BS1014" i="1"/>
  <c r="BS1013" i="1"/>
  <c r="BS1012" i="1"/>
  <c r="BO1019" i="1"/>
  <c r="BO1018" i="1"/>
  <c r="BO1017" i="1"/>
  <c r="BO1016" i="1"/>
  <c r="BO1015" i="1"/>
  <c r="BO1014" i="1"/>
  <c r="BO1013" i="1"/>
  <c r="BO1012" i="1"/>
  <c r="BT1019" i="1"/>
  <c r="BT1018" i="1"/>
  <c r="BT1017" i="1"/>
  <c r="BT1016" i="1"/>
  <c r="BT1015" i="1"/>
  <c r="BT1014" i="1"/>
  <c r="BT1013" i="1"/>
  <c r="BT1012" i="1"/>
  <c r="BU1019" i="1"/>
  <c r="BQ1019" i="1"/>
  <c r="BU1018" i="1"/>
  <c r="BQ1018" i="1"/>
  <c r="BU1017" i="1"/>
  <c r="BQ1017" i="1"/>
  <c r="BU1016" i="1"/>
  <c r="BQ1016" i="1"/>
  <c r="BU1015" i="1"/>
  <c r="BQ1015" i="1"/>
  <c r="BU1014" i="1"/>
  <c r="BQ1014" i="1"/>
  <c r="BU1013" i="1"/>
  <c r="BQ1013" i="1"/>
  <c r="BU1012" i="1"/>
  <c r="BQ1012" i="1"/>
  <c r="BM1019" i="1"/>
  <c r="BM1018" i="1"/>
  <c r="BM1017" i="1"/>
  <c r="BM1016" i="1"/>
  <c r="BM1015" i="1"/>
  <c r="BM1014" i="1"/>
  <c r="BM1013" i="1"/>
  <c r="BM1012" i="1"/>
  <c r="BV1019" i="1"/>
  <c r="BV1018" i="1"/>
  <c r="BV1017" i="1"/>
  <c r="BV1016" i="1"/>
  <c r="BV1015" i="1"/>
  <c r="BV1014" i="1"/>
  <c r="BV1013" i="1"/>
  <c r="BV1012" i="1"/>
  <c r="BS1023" i="1"/>
  <c r="BS1022" i="1"/>
  <c r="BS1021" i="1"/>
  <c r="BS1020" i="1"/>
  <c r="BO1023" i="1"/>
  <c r="BO1022" i="1"/>
  <c r="BO1021" i="1"/>
  <c r="BO1020" i="1"/>
  <c r="BT1023" i="1"/>
  <c r="BT1022" i="1"/>
  <c r="BT1021" i="1"/>
  <c r="BT1020" i="1"/>
  <c r="BU213" i="1"/>
  <c r="BU1023" i="1"/>
  <c r="BQ1023" i="1"/>
  <c r="BU1022" i="1"/>
  <c r="BQ1022" i="1"/>
  <c r="BU1021" i="1"/>
  <c r="BQ1021" i="1"/>
  <c r="BU1020" i="1"/>
  <c r="BQ1020" i="1"/>
  <c r="BM1023" i="1"/>
  <c r="BM1022" i="1"/>
  <c r="BM1021" i="1"/>
  <c r="BM1020" i="1"/>
  <c r="BR1023" i="1"/>
  <c r="BK1023" i="1"/>
  <c r="BH1023" i="1"/>
  <c r="BR1022" i="1"/>
  <c r="BK1022" i="1"/>
  <c r="BH1022" i="1"/>
  <c r="BR1021" i="1"/>
  <c r="BK1021" i="1"/>
  <c r="BH1021" i="1"/>
  <c r="BR1020" i="1"/>
  <c r="BK1020" i="1"/>
  <c r="BH1020" i="1"/>
  <c r="BN1023" i="1"/>
  <c r="BN1022" i="1"/>
  <c r="BN1021" i="1"/>
  <c r="BN1020" i="1"/>
  <c r="BL1023" i="1"/>
  <c r="BI1023" i="1"/>
  <c r="BL1022" i="1"/>
  <c r="BI1022" i="1"/>
  <c r="BL1021" i="1"/>
  <c r="BI1021" i="1"/>
  <c r="BL1020" i="1"/>
  <c r="BI1020" i="1"/>
  <c r="BV1023" i="1"/>
  <c r="BV1022" i="1"/>
  <c r="BV1021" i="1"/>
  <c r="BV1020" i="1"/>
  <c r="BS991" i="1"/>
  <c r="BS990" i="1"/>
  <c r="BS989" i="1"/>
  <c r="BS988" i="1"/>
  <c r="BO991" i="1"/>
  <c r="BO990" i="1"/>
  <c r="BO989" i="1"/>
  <c r="BO988" i="1"/>
  <c r="BT991" i="1"/>
  <c r="BT990" i="1"/>
  <c r="BT989" i="1"/>
  <c r="BT988" i="1"/>
  <c r="BL991" i="1"/>
  <c r="BI991" i="1"/>
  <c r="BL990" i="1"/>
  <c r="BI990" i="1"/>
  <c r="BL989" i="1"/>
  <c r="BI989" i="1"/>
  <c r="BL988" i="1"/>
  <c r="BI988" i="1"/>
  <c r="BU991" i="1"/>
  <c r="BQ991" i="1"/>
  <c r="BU990" i="1"/>
  <c r="BQ990" i="1"/>
  <c r="BU989" i="1"/>
  <c r="BQ989" i="1"/>
  <c r="BU988" i="1"/>
  <c r="BQ988" i="1"/>
  <c r="BM991" i="1"/>
  <c r="BM990" i="1"/>
  <c r="BM989" i="1"/>
  <c r="BM988" i="1"/>
  <c r="BR991" i="1"/>
  <c r="BK991" i="1"/>
  <c r="BH991" i="1"/>
  <c r="BR990" i="1"/>
  <c r="BK990" i="1"/>
  <c r="BH990" i="1"/>
  <c r="BR989" i="1"/>
  <c r="BK989" i="1"/>
  <c r="BH989" i="1"/>
  <c r="BR988" i="1"/>
  <c r="BK988" i="1"/>
  <c r="BH988" i="1"/>
  <c r="BN991" i="1"/>
  <c r="BN990" i="1"/>
  <c r="BN989" i="1"/>
  <c r="BN988" i="1"/>
  <c r="BV991" i="1"/>
  <c r="BV990" i="1"/>
  <c r="BV989" i="1"/>
  <c r="BV988" i="1"/>
  <c r="BR987" i="1"/>
  <c r="BK987" i="1"/>
  <c r="BH987" i="1"/>
  <c r="BR986" i="1"/>
  <c r="BK986" i="1"/>
  <c r="BH986" i="1"/>
  <c r="BR985" i="1"/>
  <c r="BK985" i="1"/>
  <c r="BH985" i="1"/>
  <c r="BR984" i="1"/>
  <c r="BK984" i="1"/>
  <c r="BH984" i="1"/>
  <c r="BN987" i="1"/>
  <c r="BN986" i="1"/>
  <c r="BN985" i="1"/>
  <c r="BN984" i="1"/>
  <c r="BS987" i="1"/>
  <c r="BS986" i="1"/>
  <c r="BS985" i="1"/>
  <c r="BS984" i="1"/>
  <c r="BO987" i="1"/>
  <c r="BO986" i="1"/>
  <c r="BO985" i="1"/>
  <c r="BO984" i="1"/>
  <c r="BT987" i="1"/>
  <c r="BT986" i="1"/>
  <c r="BT985" i="1"/>
  <c r="BT984" i="1"/>
  <c r="BU987" i="1"/>
  <c r="BQ987" i="1"/>
  <c r="BU986" i="1"/>
  <c r="BQ986" i="1"/>
  <c r="BU985" i="1"/>
  <c r="BQ985" i="1"/>
  <c r="BU984" i="1"/>
  <c r="BQ984" i="1"/>
  <c r="BM987" i="1"/>
  <c r="BM986" i="1"/>
  <c r="BM985" i="1"/>
  <c r="BM984" i="1"/>
  <c r="BL987" i="1"/>
  <c r="BI987" i="1"/>
  <c r="BL986" i="1"/>
  <c r="BI986" i="1"/>
  <c r="BL985" i="1"/>
  <c r="BI985" i="1"/>
  <c r="BL984" i="1"/>
  <c r="BI984" i="1"/>
  <c r="BV987" i="1"/>
  <c r="BV986" i="1"/>
  <c r="BV985" i="1"/>
  <c r="BV984" i="1"/>
  <c r="AU1245" i="1"/>
  <c r="BS992" i="1"/>
  <c r="BS983" i="1"/>
  <c r="BS982" i="1"/>
  <c r="BS981" i="1"/>
  <c r="BS980" i="1"/>
  <c r="BS979" i="1"/>
  <c r="BS978" i="1"/>
  <c r="BS977" i="1"/>
  <c r="BS976" i="1"/>
  <c r="BS975" i="1"/>
  <c r="BO992" i="1"/>
  <c r="BO983" i="1"/>
  <c r="BO982" i="1"/>
  <c r="BO981" i="1"/>
  <c r="BO980" i="1"/>
  <c r="BO979" i="1"/>
  <c r="BO978" i="1"/>
  <c r="BO977" i="1"/>
  <c r="BO976" i="1"/>
  <c r="BO975" i="1"/>
  <c r="BT992" i="1"/>
  <c r="BT983" i="1"/>
  <c r="BT982" i="1"/>
  <c r="BT981" i="1"/>
  <c r="BT980" i="1"/>
  <c r="BT979" i="1"/>
  <c r="BT978" i="1"/>
  <c r="BT977" i="1"/>
  <c r="BT976" i="1"/>
  <c r="BL992" i="1"/>
  <c r="BI992" i="1"/>
  <c r="BL983" i="1"/>
  <c r="BI983" i="1"/>
  <c r="BL982" i="1"/>
  <c r="BI982" i="1"/>
  <c r="BL981" i="1"/>
  <c r="BI981" i="1"/>
  <c r="BL980" i="1"/>
  <c r="BI980" i="1"/>
  <c r="BL979" i="1"/>
  <c r="BI979" i="1"/>
  <c r="BL978" i="1"/>
  <c r="BI978" i="1"/>
  <c r="BL977" i="1"/>
  <c r="BI977" i="1"/>
  <c r="BL976" i="1"/>
  <c r="BI976" i="1"/>
  <c r="BL975" i="1"/>
  <c r="BU992" i="1"/>
  <c r="BQ992" i="1"/>
  <c r="BU983" i="1"/>
  <c r="BQ983" i="1"/>
  <c r="BU982" i="1"/>
  <c r="BQ982" i="1"/>
  <c r="BU981" i="1"/>
  <c r="BQ981" i="1"/>
  <c r="BU980" i="1"/>
  <c r="BQ980" i="1"/>
  <c r="BU979" i="1"/>
  <c r="BQ979" i="1"/>
  <c r="BU978" i="1"/>
  <c r="BQ978" i="1"/>
  <c r="BU977" i="1"/>
  <c r="BQ977" i="1"/>
  <c r="BU976" i="1"/>
  <c r="BQ976" i="1"/>
  <c r="BU975" i="1"/>
  <c r="BQ975" i="1"/>
  <c r="BM992" i="1"/>
  <c r="BM983" i="1"/>
  <c r="BM982" i="1"/>
  <c r="BM981" i="1"/>
  <c r="BM980" i="1"/>
  <c r="BM979" i="1"/>
  <c r="BM978" i="1"/>
  <c r="BM977" i="1"/>
  <c r="BM976" i="1"/>
  <c r="BM975" i="1"/>
  <c r="BR992" i="1"/>
  <c r="BK992" i="1"/>
  <c r="BH992" i="1"/>
  <c r="BR983" i="1"/>
  <c r="BK983" i="1"/>
  <c r="BH983" i="1"/>
  <c r="BR982" i="1"/>
  <c r="BK982" i="1"/>
  <c r="BH982" i="1"/>
  <c r="BR981" i="1"/>
  <c r="BK981" i="1"/>
  <c r="BH981" i="1"/>
  <c r="BR980" i="1"/>
  <c r="BK980" i="1"/>
  <c r="BH980" i="1"/>
  <c r="BR979" i="1"/>
  <c r="BK979" i="1"/>
  <c r="BH979" i="1"/>
  <c r="BR978" i="1"/>
  <c r="BK978" i="1"/>
  <c r="BH978" i="1"/>
  <c r="BR977" i="1"/>
  <c r="BK977" i="1"/>
  <c r="BH977" i="1"/>
  <c r="BR976" i="1"/>
  <c r="BK976" i="1"/>
  <c r="BH976" i="1"/>
  <c r="BN992" i="1"/>
  <c r="BN983" i="1"/>
  <c r="BN982" i="1"/>
  <c r="BN981" i="1"/>
  <c r="BN980" i="1"/>
  <c r="BN979" i="1"/>
  <c r="BN978" i="1"/>
  <c r="BN977" i="1"/>
  <c r="BN976" i="1"/>
  <c r="BN975" i="1"/>
  <c r="BV992" i="1"/>
  <c r="BV983" i="1"/>
  <c r="BV982" i="1"/>
  <c r="BV981" i="1"/>
  <c r="BV980" i="1"/>
  <c r="BV979" i="1"/>
  <c r="BV978" i="1"/>
  <c r="BV977" i="1"/>
  <c r="BV976" i="1"/>
  <c r="BV975" i="1"/>
  <c r="BT975" i="1"/>
  <c r="BR975" i="1"/>
  <c r="BK975" i="1"/>
  <c r="BI975" i="1"/>
  <c r="BH975" i="1"/>
  <c r="BU973" i="1"/>
  <c r="BQ973" i="1"/>
  <c r="BU972" i="1"/>
  <c r="BQ972" i="1"/>
  <c r="BU971" i="1"/>
  <c r="BQ971" i="1"/>
  <c r="BU970" i="1"/>
  <c r="BQ970" i="1"/>
  <c r="BU969" i="1"/>
  <c r="BQ969" i="1"/>
  <c r="BM973" i="1"/>
  <c r="BM972" i="1"/>
  <c r="BM971" i="1"/>
  <c r="BM970" i="1"/>
  <c r="BM969" i="1"/>
  <c r="BU135" i="1"/>
  <c r="BU203" i="1"/>
  <c r="BS973" i="1"/>
  <c r="BS972" i="1"/>
  <c r="BS971" i="1"/>
  <c r="BS970" i="1"/>
  <c r="BS969" i="1"/>
  <c r="BO973" i="1"/>
  <c r="BO972" i="1"/>
  <c r="BO971" i="1"/>
  <c r="BO970" i="1"/>
  <c r="BO969" i="1"/>
  <c r="BT973" i="1"/>
  <c r="BT972" i="1"/>
  <c r="BT971" i="1"/>
  <c r="BT970" i="1"/>
  <c r="BT969" i="1"/>
  <c r="BR973" i="1"/>
  <c r="BK973" i="1"/>
  <c r="BJ973" i="1"/>
  <c r="BH973" i="1"/>
  <c r="BR972" i="1"/>
  <c r="BK972" i="1"/>
  <c r="BJ972" i="1"/>
  <c r="BH972" i="1"/>
  <c r="BR971" i="1"/>
  <c r="BK971" i="1"/>
  <c r="BJ971" i="1"/>
  <c r="BH971" i="1"/>
  <c r="BR970" i="1"/>
  <c r="BK970" i="1"/>
  <c r="BJ970" i="1"/>
  <c r="BH970" i="1"/>
  <c r="BR969" i="1"/>
  <c r="BK969" i="1"/>
  <c r="BJ969" i="1"/>
  <c r="BH969" i="1"/>
  <c r="BN973" i="1"/>
  <c r="BN972" i="1"/>
  <c r="BN971" i="1"/>
  <c r="BN970" i="1"/>
  <c r="BN969" i="1"/>
  <c r="BU163" i="1"/>
  <c r="BU103" i="1"/>
  <c r="BU73" i="1"/>
  <c r="BU42" i="1"/>
  <c r="BQ100" i="1"/>
  <c r="BQ79" i="1"/>
  <c r="BQ95" i="1"/>
  <c r="BQ112" i="1"/>
  <c r="BQ108" i="1"/>
  <c r="BQ129" i="1"/>
  <c r="BU184" i="1"/>
  <c r="BU154" i="1"/>
  <c r="BU123" i="1"/>
  <c r="BU94" i="1"/>
  <c r="BU63" i="1"/>
  <c r="BU33" i="1"/>
  <c r="BU196" i="1"/>
  <c r="BQ32" i="1"/>
  <c r="BL973" i="1"/>
  <c r="BI973" i="1"/>
  <c r="BL972" i="1"/>
  <c r="BI972" i="1"/>
  <c r="BL971" i="1"/>
  <c r="BI971" i="1"/>
  <c r="BL970" i="1"/>
  <c r="BI970" i="1"/>
  <c r="BL969" i="1"/>
  <c r="BI969" i="1"/>
  <c r="BS974" i="1"/>
  <c r="BS968" i="1"/>
  <c r="BS967" i="1"/>
  <c r="BS966" i="1"/>
  <c r="BO974" i="1"/>
  <c r="BO968" i="1"/>
  <c r="BO967" i="1"/>
  <c r="BO966" i="1"/>
  <c r="BT974" i="1"/>
  <c r="BT968" i="1"/>
  <c r="BT967" i="1"/>
  <c r="BT966" i="1"/>
  <c r="BU974" i="1"/>
  <c r="BQ974" i="1"/>
  <c r="BU968" i="1"/>
  <c r="BQ968" i="1"/>
  <c r="BU967" i="1"/>
  <c r="BQ967" i="1"/>
  <c r="BU966" i="1"/>
  <c r="BQ966" i="1"/>
  <c r="BM974" i="1"/>
  <c r="BM968" i="1"/>
  <c r="BM967" i="1"/>
  <c r="BM966" i="1"/>
  <c r="BR974" i="1"/>
  <c r="BK974" i="1"/>
  <c r="BJ974" i="1"/>
  <c r="BH974" i="1"/>
  <c r="BR968" i="1"/>
  <c r="BK968" i="1"/>
  <c r="BJ968" i="1"/>
  <c r="BH968" i="1"/>
  <c r="BR967" i="1"/>
  <c r="BK967" i="1"/>
  <c r="BJ967" i="1"/>
  <c r="BH967" i="1"/>
  <c r="BR966" i="1"/>
  <c r="BK966" i="1"/>
  <c r="BJ966" i="1"/>
  <c r="BH966" i="1"/>
  <c r="BN974" i="1"/>
  <c r="BN968" i="1"/>
  <c r="BN967" i="1"/>
  <c r="BN966" i="1"/>
  <c r="BL974" i="1"/>
  <c r="BI974" i="1"/>
  <c r="BL968" i="1"/>
  <c r="BI968" i="1"/>
  <c r="BL967" i="1"/>
  <c r="BI967" i="1"/>
  <c r="BL966" i="1"/>
  <c r="BI966" i="1"/>
  <c r="BR963" i="1"/>
  <c r="BK963" i="1"/>
  <c r="BJ963" i="1"/>
  <c r="BH963" i="1"/>
  <c r="BR962" i="1"/>
  <c r="BK962" i="1"/>
  <c r="BJ962" i="1"/>
  <c r="BH962" i="1"/>
  <c r="BR961" i="1"/>
  <c r="BK961" i="1"/>
  <c r="BJ961" i="1"/>
  <c r="BH961" i="1"/>
  <c r="BR960" i="1"/>
  <c r="BK960" i="1"/>
  <c r="BJ960" i="1"/>
  <c r="BH960" i="1"/>
  <c r="BR959" i="1"/>
  <c r="BK959" i="1"/>
  <c r="BJ959" i="1"/>
  <c r="BH959" i="1"/>
  <c r="BR958" i="1"/>
  <c r="BK958" i="1"/>
  <c r="BJ958" i="1"/>
  <c r="BH958" i="1"/>
  <c r="BN963" i="1"/>
  <c r="BN962" i="1"/>
  <c r="BN961" i="1"/>
  <c r="BN960" i="1"/>
  <c r="BN959" i="1"/>
  <c r="BN958" i="1"/>
  <c r="BS963" i="1"/>
  <c r="BS962" i="1"/>
  <c r="BS961" i="1"/>
  <c r="BS960" i="1"/>
  <c r="BS959" i="1"/>
  <c r="BS958" i="1"/>
  <c r="BO963" i="1"/>
  <c r="BO962" i="1"/>
  <c r="BO961" i="1"/>
  <c r="BO960" i="1"/>
  <c r="BO959" i="1"/>
  <c r="BO958" i="1"/>
  <c r="BT963" i="1"/>
  <c r="BT962" i="1"/>
  <c r="BT961" i="1"/>
  <c r="BT960" i="1"/>
  <c r="BT959" i="1"/>
  <c r="BT958" i="1"/>
  <c r="BQ43" i="1"/>
  <c r="BU963" i="1"/>
  <c r="BQ963" i="1"/>
  <c r="BU962" i="1"/>
  <c r="BQ962" i="1"/>
  <c r="BU961" i="1"/>
  <c r="BQ961" i="1"/>
  <c r="BU960" i="1"/>
  <c r="BQ960" i="1"/>
  <c r="BU959" i="1"/>
  <c r="BQ959" i="1"/>
  <c r="BU958" i="1"/>
  <c r="BQ958" i="1"/>
  <c r="BM963" i="1"/>
  <c r="BM962" i="1"/>
  <c r="BM961" i="1"/>
  <c r="BM960" i="1"/>
  <c r="BM959" i="1"/>
  <c r="BM958" i="1"/>
  <c r="BL963" i="1"/>
  <c r="BI963" i="1"/>
  <c r="BL962" i="1"/>
  <c r="BI962" i="1"/>
  <c r="BL961" i="1"/>
  <c r="BI961" i="1"/>
  <c r="BL960" i="1"/>
  <c r="BI960" i="1"/>
  <c r="BL959" i="1"/>
  <c r="BI959" i="1"/>
  <c r="BL958" i="1"/>
  <c r="BI958" i="1"/>
  <c r="BM38" i="1"/>
  <c r="BM55" i="1"/>
  <c r="BM26" i="1"/>
  <c r="BM44" i="1"/>
  <c r="BM29" i="1"/>
  <c r="BM30" i="1"/>
  <c r="BM50" i="1"/>
  <c r="BQ139" i="1"/>
  <c r="BQ132" i="1"/>
  <c r="BQ99" i="1"/>
  <c r="BQ89" i="1"/>
  <c r="BQ83" i="1"/>
  <c r="BQ76" i="1"/>
  <c r="BQ70" i="1"/>
  <c r="BQ62" i="1"/>
  <c r="BQ110" i="1"/>
  <c r="BQ104" i="1"/>
  <c r="BQ119" i="1"/>
  <c r="BQ127" i="1"/>
  <c r="BU255" i="1"/>
  <c r="BU181" i="1"/>
  <c r="BU171" i="1"/>
  <c r="BU162" i="1"/>
  <c r="BU150" i="1"/>
  <c r="BU141" i="1"/>
  <c r="BU130" i="1"/>
  <c r="BU121" i="1"/>
  <c r="BU109" i="1"/>
  <c r="BU100" i="1"/>
  <c r="BU90" i="1"/>
  <c r="BU81" i="1"/>
  <c r="BU69" i="1"/>
  <c r="BU60" i="1"/>
  <c r="BU49" i="1"/>
  <c r="BU40" i="1"/>
  <c r="BU190" i="1"/>
  <c r="BQ25" i="1"/>
  <c r="BQ26" i="1"/>
  <c r="BM54" i="1"/>
  <c r="BM40" i="1"/>
  <c r="BM25" i="1"/>
  <c r="BM42" i="1"/>
  <c r="BM43" i="1"/>
  <c r="BM60" i="1"/>
  <c r="BM45" i="1"/>
  <c r="BM62" i="1"/>
  <c r="BM51" i="1"/>
  <c r="BM53" i="1"/>
  <c r="BQ136" i="1"/>
  <c r="BQ103" i="1"/>
  <c r="BQ96" i="1"/>
  <c r="BQ88" i="1"/>
  <c r="BQ80" i="1"/>
  <c r="BQ74" i="1"/>
  <c r="BQ67" i="1"/>
  <c r="BQ61" i="1"/>
  <c r="BQ105" i="1"/>
  <c r="BQ122" i="1"/>
  <c r="BQ115" i="1"/>
  <c r="BU253" i="1"/>
  <c r="BU177" i="1"/>
  <c r="BU168" i="1"/>
  <c r="BU157" i="1"/>
  <c r="BU148" i="1"/>
  <c r="BU136" i="1"/>
  <c r="BU127" i="1"/>
  <c r="BU117" i="1"/>
  <c r="BU108" i="1"/>
  <c r="BU96" i="1"/>
  <c r="BU87" i="1"/>
  <c r="BU76" i="1"/>
  <c r="BU67" i="1"/>
  <c r="BU55" i="1"/>
  <c r="BU46" i="1"/>
  <c r="BU36" i="1"/>
  <c r="BU208" i="1"/>
  <c r="BQ45" i="1"/>
  <c r="BM47" i="1"/>
  <c r="BQ24" i="1"/>
  <c r="BQ28" i="1"/>
  <c r="BZ997" i="1"/>
  <c r="BZ896" i="1"/>
  <c r="BY997" i="1"/>
  <c r="BY896" i="1"/>
  <c r="BQ138" i="1"/>
  <c r="BQ133" i="1"/>
  <c r="BQ102" i="1"/>
  <c r="BQ97" i="1"/>
  <c r="BQ91" i="1"/>
  <c r="BQ86" i="1"/>
  <c r="BQ82" i="1"/>
  <c r="BQ77" i="1"/>
  <c r="BQ73" i="1"/>
  <c r="BQ68" i="1"/>
  <c r="BQ64" i="1"/>
  <c r="BQ59" i="1"/>
  <c r="BQ94" i="1"/>
  <c r="BQ109" i="1"/>
  <c r="BQ107" i="1"/>
  <c r="BQ121" i="1"/>
  <c r="BQ118" i="1"/>
  <c r="BQ125" i="1"/>
  <c r="BQ128" i="1"/>
  <c r="BU258" i="1"/>
  <c r="BU186" i="1"/>
  <c r="BU180" i="1"/>
  <c r="BU172" i="1"/>
  <c r="BU166" i="1"/>
  <c r="BU159" i="1"/>
  <c r="BU153" i="1"/>
  <c r="BU145" i="1"/>
  <c r="BU139" i="1"/>
  <c r="BU132" i="1"/>
  <c r="BU126" i="1"/>
  <c r="BU118" i="1"/>
  <c r="BU112" i="1"/>
  <c r="BU105" i="1"/>
  <c r="BU99" i="1"/>
  <c r="BU91" i="1"/>
  <c r="BU85" i="1"/>
  <c r="BU78" i="1"/>
  <c r="BU72" i="1"/>
  <c r="BU64" i="1"/>
  <c r="BU58" i="1"/>
  <c r="BU51" i="1"/>
  <c r="BU45" i="1"/>
  <c r="BU37" i="1"/>
  <c r="BU31" i="1"/>
  <c r="BU238" i="1"/>
  <c r="BU195" i="1"/>
  <c r="BU27" i="1"/>
  <c r="BQ49" i="1"/>
  <c r="BX997" i="1"/>
  <c r="BX896" i="1"/>
  <c r="BS965" i="1"/>
  <c r="BS964" i="1"/>
  <c r="BS957" i="1"/>
  <c r="BS956" i="1"/>
  <c r="BO965" i="1"/>
  <c r="BO964" i="1"/>
  <c r="BO957" i="1"/>
  <c r="BO956" i="1"/>
  <c r="BT965" i="1"/>
  <c r="BT964" i="1"/>
  <c r="BT957" i="1"/>
  <c r="BT956" i="1"/>
  <c r="BU965" i="1"/>
  <c r="BQ965" i="1"/>
  <c r="BU964" i="1"/>
  <c r="BQ964" i="1"/>
  <c r="BU957" i="1"/>
  <c r="BQ957" i="1"/>
  <c r="BU956" i="1"/>
  <c r="BQ956" i="1"/>
  <c r="BM965" i="1"/>
  <c r="BM964" i="1"/>
  <c r="BM957" i="1"/>
  <c r="BM956" i="1"/>
  <c r="BR965" i="1"/>
  <c r="BK965" i="1"/>
  <c r="BJ965" i="1"/>
  <c r="BH965" i="1"/>
  <c r="BR964" i="1"/>
  <c r="BK964" i="1"/>
  <c r="BJ964" i="1"/>
  <c r="BH964" i="1"/>
  <c r="BR957" i="1"/>
  <c r="BK957" i="1"/>
  <c r="BJ957" i="1"/>
  <c r="BH957" i="1"/>
  <c r="BR956" i="1"/>
  <c r="BK956" i="1"/>
  <c r="BJ956" i="1"/>
  <c r="BH956" i="1"/>
  <c r="BN965" i="1"/>
  <c r="BN964" i="1"/>
  <c r="BN957" i="1"/>
  <c r="BN956" i="1"/>
  <c r="BL965" i="1"/>
  <c r="BI965" i="1"/>
  <c r="BL964" i="1"/>
  <c r="BI964" i="1"/>
  <c r="BL957" i="1"/>
  <c r="BI957" i="1"/>
  <c r="BL956" i="1"/>
  <c r="BI956" i="1"/>
  <c r="BP965" i="1"/>
  <c r="BP964" i="1"/>
  <c r="BP957" i="1"/>
  <c r="BP956" i="1"/>
  <c r="BR953" i="1"/>
  <c r="BK953" i="1"/>
  <c r="BJ953" i="1"/>
  <c r="BH953" i="1"/>
  <c r="BR952" i="1"/>
  <c r="BK952" i="1"/>
  <c r="BJ952" i="1"/>
  <c r="BH952" i="1"/>
  <c r="BR951" i="1"/>
  <c r="BK951" i="1"/>
  <c r="BJ951" i="1"/>
  <c r="BH951" i="1"/>
  <c r="BR950" i="1"/>
  <c r="BK950" i="1"/>
  <c r="BJ950" i="1"/>
  <c r="BH950" i="1"/>
  <c r="BR949" i="1"/>
  <c r="BK949" i="1"/>
  <c r="BJ949" i="1"/>
  <c r="BH949" i="1"/>
  <c r="BR948" i="1"/>
  <c r="BK948" i="1"/>
  <c r="BJ948" i="1"/>
  <c r="BH948" i="1"/>
  <c r="BN953" i="1"/>
  <c r="BN952" i="1"/>
  <c r="BN951" i="1"/>
  <c r="BN950" i="1"/>
  <c r="BN949" i="1"/>
  <c r="BN948" i="1"/>
  <c r="BL953" i="1"/>
  <c r="BI953" i="1"/>
  <c r="BL952" i="1"/>
  <c r="BI952" i="1"/>
  <c r="BL951" i="1"/>
  <c r="BI951" i="1"/>
  <c r="BL950" i="1"/>
  <c r="BI950" i="1"/>
  <c r="BL949" i="1"/>
  <c r="BI949" i="1"/>
  <c r="BL948" i="1"/>
  <c r="BI948" i="1"/>
  <c r="BP953" i="1"/>
  <c r="BP952" i="1"/>
  <c r="BP951" i="1"/>
  <c r="BP950" i="1"/>
  <c r="BP949" i="1"/>
  <c r="BP948" i="1"/>
  <c r="BS953" i="1"/>
  <c r="BS952" i="1"/>
  <c r="BS951" i="1"/>
  <c r="BS950" i="1"/>
  <c r="BS949" i="1"/>
  <c r="BS948" i="1"/>
  <c r="BO953" i="1"/>
  <c r="BO952" i="1"/>
  <c r="BO951" i="1"/>
  <c r="BO950" i="1"/>
  <c r="BO949" i="1"/>
  <c r="BO948" i="1"/>
  <c r="BT953" i="1"/>
  <c r="BT952" i="1"/>
  <c r="BT951" i="1"/>
  <c r="BT950" i="1"/>
  <c r="BT949" i="1"/>
  <c r="BT948" i="1"/>
  <c r="BU953" i="1"/>
  <c r="BQ953" i="1"/>
  <c r="BU952" i="1"/>
  <c r="BQ952" i="1"/>
  <c r="BU951" i="1"/>
  <c r="BQ951" i="1"/>
  <c r="BU950" i="1"/>
  <c r="BQ950" i="1"/>
  <c r="BU949" i="1"/>
  <c r="BQ949" i="1"/>
  <c r="BU948" i="1"/>
  <c r="BQ948" i="1"/>
  <c r="BM953" i="1"/>
  <c r="BM952" i="1"/>
  <c r="BM951" i="1"/>
  <c r="BM950" i="1"/>
  <c r="BM949" i="1"/>
  <c r="BM948" i="1"/>
  <c r="BR955" i="1"/>
  <c r="BK955" i="1"/>
  <c r="BJ955" i="1"/>
  <c r="BH955" i="1"/>
  <c r="BR954" i="1"/>
  <c r="BK954" i="1"/>
  <c r="BJ954" i="1"/>
  <c r="BH954" i="1"/>
  <c r="BN955" i="1"/>
  <c r="BN954" i="1"/>
  <c r="BL955" i="1"/>
  <c r="BI955" i="1"/>
  <c r="BL954" i="1"/>
  <c r="BI954" i="1"/>
  <c r="BP955" i="1"/>
  <c r="BP954" i="1"/>
  <c r="BS955" i="1"/>
  <c r="BS954" i="1"/>
  <c r="BO955" i="1"/>
  <c r="BO954" i="1"/>
  <c r="BT955" i="1"/>
  <c r="BT954" i="1"/>
  <c r="BU955" i="1"/>
  <c r="BQ955" i="1"/>
  <c r="BU954" i="1"/>
  <c r="BQ954" i="1"/>
  <c r="BM955" i="1"/>
  <c r="BM954" i="1"/>
  <c r="BL944" i="1"/>
  <c r="BI944" i="1"/>
  <c r="BL943" i="1"/>
  <c r="BI943" i="1"/>
  <c r="BL942" i="1"/>
  <c r="BI942" i="1"/>
  <c r="BL941" i="1"/>
  <c r="BI941" i="1"/>
  <c r="BL940" i="1"/>
  <c r="BI940" i="1"/>
  <c r="BL939" i="1"/>
  <c r="BI939" i="1"/>
  <c r="BP944" i="1"/>
  <c r="BP943" i="1"/>
  <c r="BP942" i="1"/>
  <c r="BP941" i="1"/>
  <c r="BP940" i="1"/>
  <c r="BP939" i="1"/>
  <c r="BI212" i="1"/>
  <c r="BI208" i="1"/>
  <c r="BL199" i="1"/>
  <c r="BI206" i="1"/>
  <c r="BL203" i="1"/>
  <c r="BL201" i="1"/>
  <c r="BI195" i="1"/>
  <c r="BI193" i="1"/>
  <c r="BL190" i="1"/>
  <c r="BL188" i="1"/>
  <c r="BI200" i="1"/>
  <c r="BI197" i="1"/>
  <c r="BL184" i="1"/>
  <c r="BI183" i="1"/>
  <c r="BL181" i="1"/>
  <c r="BI180" i="1"/>
  <c r="BL178" i="1"/>
  <c r="BL186" i="1"/>
  <c r="BI185" i="1"/>
  <c r="BL176" i="1"/>
  <c r="BI175" i="1"/>
  <c r="BL173" i="1"/>
  <c r="BI172" i="1"/>
  <c r="BL169" i="1"/>
  <c r="BI253" i="1"/>
  <c r="BI168" i="1"/>
  <c r="BI166" i="1"/>
  <c r="BI163" i="1"/>
  <c r="BL161" i="1"/>
  <c r="BL154" i="1"/>
  <c r="BI153" i="1"/>
  <c r="BL151" i="1"/>
  <c r="BI150" i="1"/>
  <c r="BI159" i="1"/>
  <c r="BL157" i="1"/>
  <c r="BI156" i="1"/>
  <c r="BI148" i="1"/>
  <c r="BI160" i="1"/>
  <c r="BL145" i="1"/>
  <c r="BI144" i="1"/>
  <c r="BI146" i="1"/>
  <c r="BI130" i="1"/>
  <c r="BI142" i="1"/>
  <c r="BL128" i="1"/>
  <c r="BI127" i="1"/>
  <c r="BL125" i="1"/>
  <c r="BL119" i="1"/>
  <c r="BI118" i="1"/>
  <c r="BL116" i="1"/>
  <c r="BI115" i="1"/>
  <c r="BI123" i="1"/>
  <c r="BL121" i="1"/>
  <c r="BI124" i="1"/>
  <c r="BL108" i="1"/>
  <c r="BI107" i="1"/>
  <c r="BL105" i="1"/>
  <c r="BI104" i="1"/>
  <c r="BI111" i="1"/>
  <c r="BL109" i="1"/>
  <c r="BL113" i="1"/>
  <c r="BI112" i="1"/>
  <c r="BL114" i="1"/>
  <c r="BI83" i="1"/>
  <c r="BL84" i="1"/>
  <c r="BI86" i="1"/>
  <c r="BL87" i="1"/>
  <c r="BI89" i="1"/>
  <c r="BL90" i="1"/>
  <c r="BI92" i="1"/>
  <c r="BL93" i="1"/>
  <c r="BI97" i="1"/>
  <c r="BL98" i="1"/>
  <c r="BL81" i="1"/>
  <c r="BI80" i="1"/>
  <c r="BL76" i="1"/>
  <c r="BI75" i="1"/>
  <c r="BL73" i="1"/>
  <c r="BI72" i="1"/>
  <c r="BI103" i="1"/>
  <c r="BL101" i="1"/>
  <c r="BI78" i="1"/>
  <c r="BI69" i="1"/>
  <c r="BI9" i="1"/>
  <c r="BI12" i="1"/>
  <c r="BI15" i="1"/>
  <c r="BI210" i="1"/>
  <c r="BL207" i="1"/>
  <c r="BI205" i="1"/>
  <c r="BI203" i="1"/>
  <c r="BL194" i="1"/>
  <c r="BI192" i="1"/>
  <c r="BI190" i="1"/>
  <c r="BL198" i="1"/>
  <c r="BI196" i="1"/>
  <c r="BI238" i="1"/>
  <c r="BI184" i="1"/>
  <c r="BL182" i="1"/>
  <c r="BI181" i="1"/>
  <c r="BL179" i="1"/>
  <c r="BI178" i="1"/>
  <c r="BI252" i="1"/>
  <c r="BI186" i="1"/>
  <c r="BI170" i="1"/>
  <c r="BI176" i="1"/>
  <c r="BL174" i="1"/>
  <c r="BI173" i="1"/>
  <c r="BL171" i="1"/>
  <c r="BI169" i="1"/>
  <c r="BI256" i="1"/>
  <c r="BI177" i="1"/>
  <c r="BI167" i="1"/>
  <c r="BL165" i="1"/>
  <c r="BI164" i="1"/>
  <c r="BL162" i="1"/>
  <c r="BI161" i="1"/>
  <c r="BI258" i="1"/>
  <c r="BL155" i="1"/>
  <c r="BI154" i="1"/>
  <c r="BL152" i="1"/>
  <c r="BI151" i="1"/>
  <c r="BL158" i="1"/>
  <c r="BI157" i="1"/>
  <c r="BL147" i="1"/>
  <c r="BI145" i="1"/>
  <c r="BL143" i="1"/>
  <c r="BI128" i="1"/>
  <c r="BL126" i="1"/>
  <c r="BL129" i="1"/>
  <c r="BI125" i="1"/>
  <c r="BL120" i="1"/>
  <c r="BI119" i="1"/>
  <c r="BL117" i="1"/>
  <c r="BI116" i="1"/>
  <c r="BL122" i="1"/>
  <c r="BI121" i="1"/>
  <c r="BI108" i="1"/>
  <c r="BL106" i="1"/>
  <c r="BI105" i="1"/>
  <c r="BL110" i="1"/>
  <c r="BI109" i="1"/>
  <c r="BI113" i="1"/>
  <c r="BI114" i="1"/>
  <c r="BL94" i="1"/>
  <c r="BL95" i="1"/>
  <c r="BI82" i="1"/>
  <c r="BL83" i="1"/>
  <c r="BI85" i="1"/>
  <c r="BL86" i="1"/>
  <c r="BI88" i="1"/>
  <c r="BL89" i="1"/>
  <c r="BI91" i="1"/>
  <c r="BL92" i="1"/>
  <c r="BI96" i="1"/>
  <c r="BL97" i="1"/>
  <c r="BI99" i="1"/>
  <c r="BL100" i="1"/>
  <c r="BI81" i="1"/>
  <c r="BL79" i="1"/>
  <c r="BL77" i="1"/>
  <c r="BI76" i="1"/>
  <c r="BL74" i="1"/>
  <c r="BI73" i="1"/>
  <c r="BL102" i="1"/>
  <c r="BI101" i="1"/>
  <c r="BL69" i="1"/>
  <c r="BI10" i="1"/>
  <c r="BI13" i="1"/>
  <c r="BI16" i="1"/>
  <c r="BI19" i="1"/>
  <c r="BI22" i="1"/>
  <c r="BS944" i="1"/>
  <c r="BS943" i="1"/>
  <c r="BS942" i="1"/>
  <c r="BS941" i="1"/>
  <c r="BS940" i="1"/>
  <c r="BS939" i="1"/>
  <c r="BO944" i="1"/>
  <c r="BO943" i="1"/>
  <c r="BO942" i="1"/>
  <c r="BO941" i="1"/>
  <c r="BO940" i="1"/>
  <c r="BO939" i="1"/>
  <c r="BT944" i="1"/>
  <c r="BT943" i="1"/>
  <c r="BT942" i="1"/>
  <c r="BT941" i="1"/>
  <c r="BT940" i="1"/>
  <c r="BT939" i="1"/>
  <c r="BL142" i="1"/>
  <c r="BI216" i="1"/>
  <c r="BL197" i="1"/>
  <c r="BI189" i="1"/>
  <c r="BL204" i="1"/>
  <c r="BI199" i="1"/>
  <c r="BR944" i="1"/>
  <c r="BK944" i="1"/>
  <c r="BJ944" i="1"/>
  <c r="BH944" i="1"/>
  <c r="BR943" i="1"/>
  <c r="BK943" i="1"/>
  <c r="BJ943" i="1"/>
  <c r="BH943" i="1"/>
  <c r="BR942" i="1"/>
  <c r="BK942" i="1"/>
  <c r="BJ942" i="1"/>
  <c r="BH942" i="1"/>
  <c r="BR941" i="1"/>
  <c r="BK941" i="1"/>
  <c r="BJ941" i="1"/>
  <c r="BH941" i="1"/>
  <c r="BR940" i="1"/>
  <c r="BK940" i="1"/>
  <c r="BJ940" i="1"/>
  <c r="BH940" i="1"/>
  <c r="BR939" i="1"/>
  <c r="BK939" i="1"/>
  <c r="BJ939" i="1"/>
  <c r="BH939" i="1"/>
  <c r="BN944" i="1"/>
  <c r="BN943" i="1"/>
  <c r="BN942" i="1"/>
  <c r="BN941" i="1"/>
  <c r="BN940" i="1"/>
  <c r="BN939" i="1"/>
  <c r="BL191" i="1"/>
  <c r="BI214" i="1"/>
  <c r="BI209" i="1"/>
  <c r="BU944" i="1"/>
  <c r="BQ944" i="1"/>
  <c r="BU943" i="1"/>
  <c r="BQ943" i="1"/>
  <c r="BU942" i="1"/>
  <c r="BQ942" i="1"/>
  <c r="BU941" i="1"/>
  <c r="BQ941" i="1"/>
  <c r="BU940" i="1"/>
  <c r="BQ940" i="1"/>
  <c r="BU939" i="1"/>
  <c r="BQ939" i="1"/>
  <c r="BM944" i="1"/>
  <c r="BM943" i="1"/>
  <c r="BM942" i="1"/>
  <c r="BM941" i="1"/>
  <c r="BM940" i="1"/>
  <c r="BM939" i="1"/>
  <c r="BR947" i="1"/>
  <c r="BK947" i="1"/>
  <c r="BJ947" i="1"/>
  <c r="BH947" i="1"/>
  <c r="BR946" i="1"/>
  <c r="BK946" i="1"/>
  <c r="BJ946" i="1"/>
  <c r="BH946" i="1"/>
  <c r="BR945" i="1"/>
  <c r="BK945" i="1"/>
  <c r="BJ945" i="1"/>
  <c r="BH945" i="1"/>
  <c r="BN947" i="1"/>
  <c r="BN946" i="1"/>
  <c r="BN945" i="1"/>
  <c r="BU947" i="1"/>
  <c r="BQ947" i="1"/>
  <c r="BU946" i="1"/>
  <c r="BQ946" i="1"/>
  <c r="BU945" i="1"/>
  <c r="BQ945" i="1"/>
  <c r="BM947" i="1"/>
  <c r="BM946" i="1"/>
  <c r="BM945" i="1"/>
  <c r="BS947" i="1"/>
  <c r="BS946" i="1"/>
  <c r="BS945" i="1"/>
  <c r="BO947" i="1"/>
  <c r="BO946" i="1"/>
  <c r="BO945" i="1"/>
  <c r="BT947" i="1"/>
  <c r="BT946" i="1"/>
  <c r="BT945" i="1"/>
  <c r="BL947" i="1"/>
  <c r="BI947" i="1"/>
  <c r="BL946" i="1"/>
  <c r="BI946" i="1"/>
  <c r="BL945" i="1"/>
  <c r="BI945" i="1"/>
  <c r="BP947" i="1"/>
  <c r="BP946" i="1"/>
  <c r="BP945" i="1"/>
  <c r="BR931" i="1"/>
  <c r="BK931" i="1"/>
  <c r="BJ931" i="1"/>
  <c r="BH931" i="1"/>
  <c r="BR930" i="1"/>
  <c r="BK930" i="1"/>
  <c r="BJ930" i="1"/>
  <c r="BH930" i="1"/>
  <c r="BR929" i="1"/>
  <c r="BK929" i="1"/>
  <c r="BJ929" i="1"/>
  <c r="BH929" i="1"/>
  <c r="BR928" i="1"/>
  <c r="BK928" i="1"/>
  <c r="BJ928" i="1"/>
  <c r="BH928" i="1"/>
  <c r="BR927" i="1"/>
  <c r="BK927" i="1"/>
  <c r="BJ927" i="1"/>
  <c r="BH927" i="1"/>
  <c r="BR926" i="1"/>
  <c r="BK926" i="1"/>
  <c r="BJ926" i="1"/>
  <c r="BH926" i="1"/>
  <c r="BR925" i="1"/>
  <c r="BK925" i="1"/>
  <c r="BJ925" i="1"/>
  <c r="BH925" i="1"/>
  <c r="BR924" i="1"/>
  <c r="BK924" i="1"/>
  <c r="BJ924" i="1"/>
  <c r="BH924" i="1"/>
  <c r="BR923" i="1"/>
  <c r="BK923" i="1"/>
  <c r="BJ923" i="1"/>
  <c r="BH923" i="1"/>
  <c r="BR922" i="1"/>
  <c r="BK922" i="1"/>
  <c r="BJ922" i="1"/>
  <c r="BH922" i="1"/>
  <c r="BR921" i="1"/>
  <c r="BK921" i="1"/>
  <c r="BJ921" i="1"/>
  <c r="BH921" i="1"/>
  <c r="BN931" i="1"/>
  <c r="BN930" i="1"/>
  <c r="BN929" i="1"/>
  <c r="BN928" i="1"/>
  <c r="BN927" i="1"/>
  <c r="BN926" i="1"/>
  <c r="BN925" i="1"/>
  <c r="BN924" i="1"/>
  <c r="BN923" i="1"/>
  <c r="BN922" i="1"/>
  <c r="BN921" i="1"/>
  <c r="BL931" i="1"/>
  <c r="BI931" i="1"/>
  <c r="BL930" i="1"/>
  <c r="BI930" i="1"/>
  <c r="BL929" i="1"/>
  <c r="BI929" i="1"/>
  <c r="BL928" i="1"/>
  <c r="BI928" i="1"/>
  <c r="BL927" i="1"/>
  <c r="BI927" i="1"/>
  <c r="BL926" i="1"/>
  <c r="BI926" i="1"/>
  <c r="BL925" i="1"/>
  <c r="BI925" i="1"/>
  <c r="BL924" i="1"/>
  <c r="BI924" i="1"/>
  <c r="BL923" i="1"/>
  <c r="BI923" i="1"/>
  <c r="BL922" i="1"/>
  <c r="BI922" i="1"/>
  <c r="BL921" i="1"/>
  <c r="BI921" i="1"/>
  <c r="BP931" i="1"/>
  <c r="BP930" i="1"/>
  <c r="BP929" i="1"/>
  <c r="BP928" i="1"/>
  <c r="BP927" i="1"/>
  <c r="BP926" i="1"/>
  <c r="BP925" i="1"/>
  <c r="BP924" i="1"/>
  <c r="BP923" i="1"/>
  <c r="BP922" i="1"/>
  <c r="BP921" i="1"/>
  <c r="BU931" i="1"/>
  <c r="BQ931" i="1"/>
  <c r="BU930" i="1"/>
  <c r="BQ930" i="1"/>
  <c r="BU929" i="1"/>
  <c r="BQ929" i="1"/>
  <c r="BU928" i="1"/>
  <c r="BQ928" i="1"/>
  <c r="BU927" i="1"/>
  <c r="BQ927" i="1"/>
  <c r="BU926" i="1"/>
  <c r="BQ926" i="1"/>
  <c r="BU925" i="1"/>
  <c r="BQ925" i="1"/>
  <c r="BU924" i="1"/>
  <c r="BQ924" i="1"/>
  <c r="BU923" i="1"/>
  <c r="BQ923" i="1"/>
  <c r="BU922" i="1"/>
  <c r="BQ922" i="1"/>
  <c r="BU921" i="1"/>
  <c r="BQ921" i="1"/>
  <c r="BM931" i="1"/>
  <c r="BM930" i="1"/>
  <c r="BM929" i="1"/>
  <c r="BM928" i="1"/>
  <c r="BM927" i="1"/>
  <c r="BM926" i="1"/>
  <c r="BM925" i="1"/>
  <c r="BM924" i="1"/>
  <c r="BM923" i="1"/>
  <c r="BM922" i="1"/>
  <c r="BM921" i="1"/>
  <c r="BS931" i="1"/>
  <c r="BS930" i="1"/>
  <c r="BS929" i="1"/>
  <c r="BS928" i="1"/>
  <c r="BS927" i="1"/>
  <c r="BS926" i="1"/>
  <c r="BS925" i="1"/>
  <c r="BS924" i="1"/>
  <c r="BS923" i="1"/>
  <c r="BS922" i="1"/>
  <c r="BS921" i="1"/>
  <c r="BO931" i="1"/>
  <c r="BO930" i="1"/>
  <c r="BO929" i="1"/>
  <c r="BO928" i="1"/>
  <c r="BO927" i="1"/>
  <c r="BO926" i="1"/>
  <c r="BO925" i="1"/>
  <c r="BO924" i="1"/>
  <c r="BO923" i="1"/>
  <c r="BO922" i="1"/>
  <c r="BO921" i="1"/>
  <c r="BT931" i="1"/>
  <c r="BT930" i="1"/>
  <c r="BT929" i="1"/>
  <c r="BT928" i="1"/>
  <c r="BT927" i="1"/>
  <c r="BT926" i="1"/>
  <c r="BT925" i="1"/>
  <c r="BT924" i="1"/>
  <c r="BT923" i="1"/>
  <c r="BT922" i="1"/>
  <c r="BT921" i="1"/>
  <c r="BR887" i="1"/>
  <c r="BK887" i="1"/>
  <c r="BJ887" i="1"/>
  <c r="BH887" i="1"/>
  <c r="BR886" i="1"/>
  <c r="BK886" i="1"/>
  <c r="BJ886" i="1"/>
  <c r="BH886" i="1"/>
  <c r="BR885" i="1"/>
  <c r="BK885" i="1"/>
  <c r="BJ885" i="1"/>
  <c r="BH885" i="1"/>
  <c r="BR884" i="1"/>
  <c r="BK884" i="1"/>
  <c r="BJ884" i="1"/>
  <c r="BH884" i="1"/>
  <c r="BR883" i="1"/>
  <c r="BK883" i="1"/>
  <c r="BJ883" i="1"/>
  <c r="BH883" i="1"/>
  <c r="BN887" i="1"/>
  <c r="BN886" i="1"/>
  <c r="BN885" i="1"/>
  <c r="BN884" i="1"/>
  <c r="BN883" i="1"/>
  <c r="BS887" i="1"/>
  <c r="BS886" i="1"/>
  <c r="BS885" i="1"/>
  <c r="BS884" i="1"/>
  <c r="BS883" i="1"/>
  <c r="BO887" i="1"/>
  <c r="BO886" i="1"/>
  <c r="BO885" i="1"/>
  <c r="BO884" i="1"/>
  <c r="BO883" i="1"/>
  <c r="BT887" i="1"/>
  <c r="BT886" i="1"/>
  <c r="BT885" i="1"/>
  <c r="BT884" i="1"/>
  <c r="BT883" i="1"/>
  <c r="BU887" i="1"/>
  <c r="BQ887" i="1"/>
  <c r="BU886" i="1"/>
  <c r="BQ886" i="1"/>
  <c r="BU885" i="1"/>
  <c r="BQ885" i="1"/>
  <c r="BU884" i="1"/>
  <c r="BQ884" i="1"/>
  <c r="BU883" i="1"/>
  <c r="BQ883" i="1"/>
  <c r="BM887" i="1"/>
  <c r="BM886" i="1"/>
  <c r="BM885" i="1"/>
  <c r="BM884" i="1"/>
  <c r="BM883" i="1"/>
  <c r="BL887" i="1"/>
  <c r="BI887" i="1"/>
  <c r="BL886" i="1"/>
  <c r="BI886" i="1"/>
  <c r="BL885" i="1"/>
  <c r="BI885" i="1"/>
  <c r="BL884" i="1"/>
  <c r="BI884" i="1"/>
  <c r="BL883" i="1"/>
  <c r="BI883" i="1"/>
  <c r="BP887" i="1"/>
  <c r="BP886" i="1"/>
  <c r="BP885" i="1"/>
  <c r="BP884" i="1"/>
  <c r="BP883" i="1"/>
  <c r="BR888" i="1"/>
  <c r="BK888" i="1"/>
  <c r="BJ888" i="1"/>
  <c r="BH888" i="1"/>
  <c r="BN888" i="1"/>
  <c r="BS888" i="1"/>
  <c r="BO888" i="1"/>
  <c r="BT889" i="1"/>
  <c r="BT888" i="1"/>
  <c r="BU888" i="1"/>
  <c r="BQ888" i="1"/>
  <c r="BM888" i="1"/>
  <c r="BL888" i="1"/>
  <c r="BI888" i="1"/>
  <c r="BP888" i="1"/>
  <c r="BR889" i="1"/>
  <c r="BK889" i="1"/>
  <c r="BJ889" i="1"/>
  <c r="BH889" i="1"/>
  <c r="BN889" i="1"/>
  <c r="BS889" i="1"/>
  <c r="BO889" i="1"/>
  <c r="BU889" i="1"/>
  <c r="BQ889" i="1"/>
  <c r="BM889" i="1"/>
  <c r="BL889" i="1"/>
  <c r="BI889" i="1"/>
  <c r="BP889" i="1"/>
  <c r="BR890" i="1"/>
  <c r="BK890" i="1"/>
  <c r="BJ890" i="1"/>
  <c r="BH890" i="1"/>
  <c r="BN890" i="1"/>
  <c r="BS890" i="1"/>
  <c r="BO890" i="1"/>
  <c r="BT891" i="1"/>
  <c r="BT890" i="1"/>
  <c r="BU890" i="1"/>
  <c r="BQ890" i="1"/>
  <c r="BM890" i="1"/>
  <c r="BL890" i="1"/>
  <c r="BI890" i="1"/>
  <c r="BP890" i="1"/>
  <c r="BU891" i="1"/>
  <c r="BQ891" i="1"/>
  <c r="BM891" i="1"/>
  <c r="BS891" i="1"/>
  <c r="BO891" i="1"/>
  <c r="BR891" i="1"/>
  <c r="BK891" i="1"/>
  <c r="BJ891" i="1"/>
  <c r="BH891" i="1"/>
  <c r="BN891" i="1"/>
  <c r="BL891" i="1"/>
  <c r="BI891" i="1"/>
  <c r="BP891" i="1"/>
  <c r="BR920" i="1"/>
  <c r="BK920" i="1"/>
  <c r="BJ920" i="1"/>
  <c r="BH920" i="1"/>
  <c r="BR919" i="1"/>
  <c r="BK919" i="1"/>
  <c r="BJ919" i="1"/>
  <c r="BH919" i="1"/>
  <c r="BR918" i="1"/>
  <c r="BK918" i="1"/>
  <c r="BJ918" i="1"/>
  <c r="BH918" i="1"/>
  <c r="BR917" i="1"/>
  <c r="BK917" i="1"/>
  <c r="BJ917" i="1"/>
  <c r="BH917" i="1"/>
  <c r="BR916" i="1"/>
  <c r="BK916" i="1"/>
  <c r="BJ916" i="1"/>
  <c r="BH916" i="1"/>
  <c r="BR915" i="1"/>
  <c r="BK915" i="1"/>
  <c r="BJ915" i="1"/>
  <c r="BH915" i="1"/>
  <c r="BR914" i="1"/>
  <c r="BK914" i="1"/>
  <c r="BJ914" i="1"/>
  <c r="BH914" i="1"/>
  <c r="BR913" i="1"/>
  <c r="BK913" i="1"/>
  <c r="BJ913" i="1"/>
  <c r="BH913" i="1"/>
  <c r="BR912" i="1"/>
  <c r="BK912" i="1"/>
  <c r="BJ912" i="1"/>
  <c r="BH912" i="1"/>
  <c r="BR911" i="1"/>
  <c r="BK911" i="1"/>
  <c r="BJ911" i="1"/>
  <c r="BH911" i="1"/>
  <c r="BN920" i="1"/>
  <c r="BN919" i="1"/>
  <c r="BN918" i="1"/>
  <c r="BN917" i="1"/>
  <c r="BN916" i="1"/>
  <c r="BN915" i="1"/>
  <c r="BN914" i="1"/>
  <c r="BN913" i="1"/>
  <c r="BN912" i="1"/>
  <c r="BN911" i="1"/>
  <c r="BS920" i="1"/>
  <c r="BS919" i="1"/>
  <c r="BS918" i="1"/>
  <c r="BS917" i="1"/>
  <c r="BS916" i="1"/>
  <c r="BS915" i="1"/>
  <c r="BS914" i="1"/>
  <c r="BS913" i="1"/>
  <c r="BS912" i="1"/>
  <c r="BS911" i="1"/>
  <c r="BO920" i="1"/>
  <c r="BO919" i="1"/>
  <c r="BO918" i="1"/>
  <c r="BO917" i="1"/>
  <c r="BO916" i="1"/>
  <c r="BO915" i="1"/>
  <c r="BO914" i="1"/>
  <c r="BO913" i="1"/>
  <c r="BO912" i="1"/>
  <c r="BO911" i="1"/>
  <c r="BT920" i="1"/>
  <c r="BT919" i="1"/>
  <c r="BT918" i="1"/>
  <c r="BT917" i="1"/>
  <c r="BT916" i="1"/>
  <c r="BT915" i="1"/>
  <c r="BT914" i="1"/>
  <c r="BT913" i="1"/>
  <c r="BT912" i="1"/>
  <c r="BT911" i="1"/>
  <c r="BU920" i="1"/>
  <c r="BQ920" i="1"/>
  <c r="BU919" i="1"/>
  <c r="BQ919" i="1"/>
  <c r="BU918" i="1"/>
  <c r="BQ918" i="1"/>
  <c r="BU917" i="1"/>
  <c r="BQ917" i="1"/>
  <c r="BU916" i="1"/>
  <c r="BQ916" i="1"/>
  <c r="BU915" i="1"/>
  <c r="BQ915" i="1"/>
  <c r="BU914" i="1"/>
  <c r="BQ914" i="1"/>
  <c r="BU913" i="1"/>
  <c r="BQ913" i="1"/>
  <c r="BU912" i="1"/>
  <c r="BQ912" i="1"/>
  <c r="BU911" i="1"/>
  <c r="BQ911" i="1"/>
  <c r="BM920" i="1"/>
  <c r="BM919" i="1"/>
  <c r="BM918" i="1"/>
  <c r="BM917" i="1"/>
  <c r="BM916" i="1"/>
  <c r="BM915" i="1"/>
  <c r="BM914" i="1"/>
  <c r="BM913" i="1"/>
  <c r="BM912" i="1"/>
  <c r="BM911" i="1"/>
  <c r="BL920" i="1"/>
  <c r="BI920" i="1"/>
  <c r="BL919" i="1"/>
  <c r="BI919" i="1"/>
  <c r="BL918" i="1"/>
  <c r="BI918" i="1"/>
  <c r="BL917" i="1"/>
  <c r="BI917" i="1"/>
  <c r="BL916" i="1"/>
  <c r="BI916" i="1"/>
  <c r="BL915" i="1"/>
  <c r="BI915" i="1"/>
  <c r="BL914" i="1"/>
  <c r="BI914" i="1"/>
  <c r="BL913" i="1"/>
  <c r="BI913" i="1"/>
  <c r="BL912" i="1"/>
  <c r="BI912" i="1"/>
  <c r="BL911" i="1"/>
  <c r="BI911" i="1"/>
  <c r="BP920" i="1"/>
  <c r="BP919" i="1"/>
  <c r="BP918" i="1"/>
  <c r="BP917" i="1"/>
  <c r="BP916" i="1"/>
  <c r="BP915" i="1"/>
  <c r="BP914" i="1"/>
  <c r="BP913" i="1"/>
  <c r="BP912" i="1"/>
  <c r="BP911" i="1"/>
  <c r="BR936" i="1"/>
  <c r="BK936" i="1"/>
  <c r="BJ936" i="1"/>
  <c r="BH936" i="1"/>
  <c r="BR935" i="1"/>
  <c r="BK935" i="1"/>
  <c r="BJ935" i="1"/>
  <c r="BH935" i="1"/>
  <c r="BR934" i="1"/>
  <c r="BK934" i="1"/>
  <c r="BJ934" i="1"/>
  <c r="BH934" i="1"/>
  <c r="BR933" i="1"/>
  <c r="BK933" i="1"/>
  <c r="BJ933" i="1"/>
  <c r="BH933" i="1"/>
  <c r="BR932" i="1"/>
  <c r="BK932" i="1"/>
  <c r="BJ932" i="1"/>
  <c r="BH932" i="1"/>
  <c r="BN936" i="1"/>
  <c r="BN935" i="1"/>
  <c r="BN934" i="1"/>
  <c r="BN933" i="1"/>
  <c r="BN932" i="1"/>
  <c r="BS936" i="1"/>
  <c r="BS935" i="1"/>
  <c r="BS934" i="1"/>
  <c r="BS933" i="1"/>
  <c r="BS932" i="1"/>
  <c r="BO936" i="1"/>
  <c r="BO935" i="1"/>
  <c r="BO934" i="1"/>
  <c r="BO933" i="1"/>
  <c r="BO932" i="1"/>
  <c r="BT936" i="1"/>
  <c r="BT935" i="1"/>
  <c r="BT934" i="1"/>
  <c r="BT933" i="1"/>
  <c r="BT932" i="1"/>
  <c r="BU936" i="1"/>
  <c r="BQ936" i="1"/>
  <c r="BU935" i="1"/>
  <c r="BQ935" i="1"/>
  <c r="BU934" i="1"/>
  <c r="BQ934" i="1"/>
  <c r="BU933" i="1"/>
  <c r="BQ933" i="1"/>
  <c r="BU932" i="1"/>
  <c r="BQ932" i="1"/>
  <c r="BM936" i="1"/>
  <c r="BM935" i="1"/>
  <c r="BM934" i="1"/>
  <c r="BM933" i="1"/>
  <c r="BM932" i="1"/>
  <c r="BL936" i="1"/>
  <c r="BI936" i="1"/>
  <c r="BL935" i="1"/>
  <c r="BI935" i="1"/>
  <c r="BL934" i="1"/>
  <c r="BI934" i="1"/>
  <c r="BL933" i="1"/>
  <c r="BI933" i="1"/>
  <c r="BL932" i="1"/>
  <c r="BI932" i="1"/>
  <c r="BP936" i="1"/>
  <c r="BP935" i="1"/>
  <c r="BP934" i="1"/>
  <c r="BP933" i="1"/>
  <c r="BP932" i="1"/>
  <c r="BR878" i="1"/>
  <c r="BK878" i="1"/>
  <c r="BJ878" i="1"/>
  <c r="BH878" i="1"/>
  <c r="BR877" i="1"/>
  <c r="BK877" i="1"/>
  <c r="BJ877" i="1"/>
  <c r="BH877" i="1"/>
  <c r="BR876" i="1"/>
  <c r="BK876" i="1"/>
  <c r="BJ876" i="1"/>
  <c r="BH876" i="1"/>
  <c r="BR875" i="1"/>
  <c r="BK875" i="1"/>
  <c r="BJ875" i="1"/>
  <c r="BH875" i="1"/>
  <c r="BR874" i="1"/>
  <c r="BK874" i="1"/>
  <c r="BJ874" i="1"/>
  <c r="BH874" i="1"/>
  <c r="BR873" i="1"/>
  <c r="BK873" i="1"/>
  <c r="BJ873" i="1"/>
  <c r="BH873" i="1"/>
  <c r="BR872" i="1"/>
  <c r="BK872" i="1"/>
  <c r="BJ872" i="1"/>
  <c r="BH872" i="1"/>
  <c r="BN878" i="1"/>
  <c r="BN877" i="1"/>
  <c r="BN876" i="1"/>
  <c r="BN875" i="1"/>
  <c r="BN874" i="1"/>
  <c r="BN873" i="1"/>
  <c r="BN872" i="1"/>
  <c r="BS878" i="1"/>
  <c r="BS877" i="1"/>
  <c r="BS876" i="1"/>
  <c r="BS875" i="1"/>
  <c r="BS874" i="1"/>
  <c r="BS873" i="1"/>
  <c r="BS872" i="1"/>
  <c r="BO878" i="1"/>
  <c r="BO877" i="1"/>
  <c r="BO876" i="1"/>
  <c r="BO875" i="1"/>
  <c r="BO874" i="1"/>
  <c r="BO873" i="1"/>
  <c r="BO872" i="1"/>
  <c r="BT878" i="1"/>
  <c r="BT877" i="1"/>
  <c r="BT876" i="1"/>
  <c r="BT875" i="1"/>
  <c r="BT874" i="1"/>
  <c r="BT873" i="1"/>
  <c r="BT872" i="1"/>
  <c r="BU878" i="1"/>
  <c r="BQ878" i="1"/>
  <c r="BU877" i="1"/>
  <c r="BQ877" i="1"/>
  <c r="BU876" i="1"/>
  <c r="BQ876" i="1"/>
  <c r="BU875" i="1"/>
  <c r="BQ875" i="1"/>
  <c r="BU874" i="1"/>
  <c r="BQ874" i="1"/>
  <c r="BU873" i="1"/>
  <c r="BQ873" i="1"/>
  <c r="BU872" i="1"/>
  <c r="BQ872" i="1"/>
  <c r="BM878" i="1"/>
  <c r="BM877" i="1"/>
  <c r="BM876" i="1"/>
  <c r="BM875" i="1"/>
  <c r="BM874" i="1"/>
  <c r="BM873" i="1"/>
  <c r="BM872" i="1"/>
  <c r="BL878" i="1"/>
  <c r="BI878" i="1"/>
  <c r="BL877" i="1"/>
  <c r="BI877" i="1"/>
  <c r="BL876" i="1"/>
  <c r="BI876" i="1"/>
  <c r="BL875" i="1"/>
  <c r="BI875" i="1"/>
  <c r="BL874" i="1"/>
  <c r="BI874" i="1"/>
  <c r="BL873" i="1"/>
  <c r="BI873" i="1"/>
  <c r="BL872" i="1"/>
  <c r="BI872" i="1"/>
  <c r="BP878" i="1"/>
  <c r="BP877" i="1"/>
  <c r="BP876" i="1"/>
  <c r="BP875" i="1"/>
  <c r="BP874" i="1"/>
  <c r="BP873" i="1"/>
  <c r="BP872" i="1"/>
  <c r="BR881" i="1"/>
  <c r="BK881" i="1"/>
  <c r="BJ881" i="1"/>
  <c r="BH881" i="1"/>
  <c r="BR880" i="1"/>
  <c r="BK880" i="1"/>
  <c r="BJ880" i="1"/>
  <c r="BH880" i="1"/>
  <c r="BR879" i="1"/>
  <c r="BK879" i="1"/>
  <c r="BJ879" i="1"/>
  <c r="BH879" i="1"/>
  <c r="BN881" i="1"/>
  <c r="BN880" i="1"/>
  <c r="BN879" i="1"/>
  <c r="BS881" i="1"/>
  <c r="BS880" i="1"/>
  <c r="BS879" i="1"/>
  <c r="BO881" i="1"/>
  <c r="BO880" i="1"/>
  <c r="BO879" i="1"/>
  <c r="BT881" i="1"/>
  <c r="BT880" i="1"/>
  <c r="BT879" i="1"/>
  <c r="BU881" i="1"/>
  <c r="BQ881" i="1"/>
  <c r="BU880" i="1"/>
  <c r="BQ880" i="1"/>
  <c r="BU879" i="1"/>
  <c r="BQ879" i="1"/>
  <c r="BM881" i="1"/>
  <c r="BM880" i="1"/>
  <c r="BM879" i="1"/>
  <c r="BL881" i="1"/>
  <c r="BI881" i="1"/>
  <c r="BL880" i="1"/>
  <c r="BI880" i="1"/>
  <c r="BL879" i="1"/>
  <c r="BI879" i="1"/>
  <c r="BP881" i="1"/>
  <c r="BP880" i="1"/>
  <c r="BP879" i="1"/>
  <c r="BR866" i="1"/>
  <c r="BK866" i="1"/>
  <c r="BJ866" i="1"/>
  <c r="BH866" i="1"/>
  <c r="BR865" i="1"/>
  <c r="BK865" i="1"/>
  <c r="BJ865" i="1"/>
  <c r="BH865" i="1"/>
  <c r="BR864" i="1"/>
  <c r="BK864" i="1"/>
  <c r="BJ864" i="1"/>
  <c r="BH864" i="1"/>
  <c r="BR863" i="1"/>
  <c r="BK863" i="1"/>
  <c r="BJ863" i="1"/>
  <c r="BH863" i="1"/>
  <c r="BR862" i="1"/>
  <c r="BK862" i="1"/>
  <c r="BJ862" i="1"/>
  <c r="BH862" i="1"/>
  <c r="BR861" i="1"/>
  <c r="BK861" i="1"/>
  <c r="BJ861" i="1"/>
  <c r="BH861" i="1"/>
  <c r="BR860" i="1"/>
  <c r="BK860" i="1"/>
  <c r="BJ860" i="1"/>
  <c r="BH860" i="1"/>
  <c r="BR859" i="1"/>
  <c r="BK859" i="1"/>
  <c r="BJ859" i="1"/>
  <c r="BH859" i="1"/>
  <c r="BN866" i="1"/>
  <c r="BN865" i="1"/>
  <c r="BN864" i="1"/>
  <c r="BN863" i="1"/>
  <c r="BN862" i="1"/>
  <c r="BN861" i="1"/>
  <c r="BN860" i="1"/>
  <c r="BN859" i="1"/>
  <c r="BS866" i="1"/>
  <c r="BS865" i="1"/>
  <c r="BS864" i="1"/>
  <c r="BS863" i="1"/>
  <c r="BS862" i="1"/>
  <c r="BS861" i="1"/>
  <c r="BS860" i="1"/>
  <c r="BS859" i="1"/>
  <c r="BO866" i="1"/>
  <c r="BO865" i="1"/>
  <c r="BO864" i="1"/>
  <c r="BO863" i="1"/>
  <c r="BO862" i="1"/>
  <c r="BO861" i="1"/>
  <c r="BO860" i="1"/>
  <c r="BO859" i="1"/>
  <c r="BT866" i="1"/>
  <c r="BT865" i="1"/>
  <c r="BT864" i="1"/>
  <c r="BT863" i="1"/>
  <c r="BT862" i="1"/>
  <c r="BT861" i="1"/>
  <c r="BT860" i="1"/>
  <c r="BT859" i="1"/>
  <c r="BU866" i="1"/>
  <c r="BQ866" i="1"/>
  <c r="BU865" i="1"/>
  <c r="BQ865" i="1"/>
  <c r="BU864" i="1"/>
  <c r="BQ864" i="1"/>
  <c r="BU863" i="1"/>
  <c r="BQ863" i="1"/>
  <c r="BU862" i="1"/>
  <c r="BQ862" i="1"/>
  <c r="BU861" i="1"/>
  <c r="BQ861" i="1"/>
  <c r="BU860" i="1"/>
  <c r="BQ860" i="1"/>
  <c r="BU859" i="1"/>
  <c r="BQ859" i="1"/>
  <c r="BM866" i="1"/>
  <c r="BM865" i="1"/>
  <c r="BM864" i="1"/>
  <c r="BM863" i="1"/>
  <c r="BM862" i="1"/>
  <c r="BM861" i="1"/>
  <c r="BM860" i="1"/>
  <c r="BM859" i="1"/>
  <c r="BL866" i="1"/>
  <c r="BI866" i="1"/>
  <c r="BL865" i="1"/>
  <c r="BI865" i="1"/>
  <c r="BL864" i="1"/>
  <c r="BI864" i="1"/>
  <c r="BL863" i="1"/>
  <c r="BI863" i="1"/>
  <c r="BL862" i="1"/>
  <c r="BI862" i="1"/>
  <c r="BL861" i="1"/>
  <c r="BI861" i="1"/>
  <c r="BL860" i="1"/>
  <c r="BI860" i="1"/>
  <c r="BL859" i="1"/>
  <c r="BI859" i="1"/>
  <c r="BP866" i="1"/>
  <c r="BP865" i="1"/>
  <c r="BP864" i="1"/>
  <c r="BP863" i="1"/>
  <c r="BP862" i="1"/>
  <c r="BP861" i="1"/>
  <c r="BP860" i="1"/>
  <c r="BP859" i="1"/>
  <c r="BR870" i="1"/>
  <c r="BK870" i="1"/>
  <c r="BJ870" i="1"/>
  <c r="BH870" i="1"/>
  <c r="BR869" i="1"/>
  <c r="BK869" i="1"/>
  <c r="BJ869" i="1"/>
  <c r="BH869" i="1"/>
  <c r="BR868" i="1"/>
  <c r="BK868" i="1"/>
  <c r="BJ868" i="1"/>
  <c r="BH868" i="1"/>
  <c r="BR867" i="1"/>
  <c r="BK867" i="1"/>
  <c r="BJ867" i="1"/>
  <c r="BH867" i="1"/>
  <c r="BN870" i="1"/>
  <c r="BN869" i="1"/>
  <c r="BN868" i="1"/>
  <c r="BN867" i="1"/>
  <c r="BS870" i="1"/>
  <c r="BS869" i="1"/>
  <c r="BS868" i="1"/>
  <c r="BS867" i="1"/>
  <c r="BO870" i="1"/>
  <c r="BO869" i="1"/>
  <c r="BO868" i="1"/>
  <c r="BO867" i="1"/>
  <c r="BT870" i="1"/>
  <c r="BT869" i="1"/>
  <c r="BT868" i="1"/>
  <c r="BT867" i="1"/>
  <c r="BU870" i="1"/>
  <c r="BQ870" i="1"/>
  <c r="BU869" i="1"/>
  <c r="BQ869" i="1"/>
  <c r="BU868" i="1"/>
  <c r="BQ868" i="1"/>
  <c r="BU867" i="1"/>
  <c r="BQ867" i="1"/>
  <c r="BM870" i="1"/>
  <c r="BM869" i="1"/>
  <c r="BM868" i="1"/>
  <c r="BM867" i="1"/>
  <c r="BL870" i="1"/>
  <c r="BI870" i="1"/>
  <c r="BL869" i="1"/>
  <c r="BI869" i="1"/>
  <c r="BL868" i="1"/>
  <c r="BI868" i="1"/>
  <c r="BL867" i="1"/>
  <c r="BI867" i="1"/>
  <c r="BP870" i="1"/>
  <c r="BP869" i="1"/>
  <c r="BP868" i="1"/>
  <c r="BP867" i="1"/>
  <c r="BL211" i="1"/>
  <c r="BU25" i="1"/>
  <c r="BU23" i="1"/>
  <c r="BU22" i="1"/>
  <c r="BQ54" i="1"/>
  <c r="BQ37" i="1"/>
  <c r="BQ58" i="1"/>
  <c r="BQ53" i="1"/>
  <c r="BQ34" i="1"/>
  <c r="BU26" i="1"/>
  <c r="BM63" i="1"/>
  <c r="BU24" i="1"/>
  <c r="BQ57" i="1"/>
  <c r="BQ36" i="1"/>
  <c r="BQ40" i="1"/>
  <c r="BQ55" i="1"/>
  <c r="BM31" i="1"/>
  <c r="BM48" i="1"/>
  <c r="BM35" i="1"/>
  <c r="BU212" i="1"/>
  <c r="BU209" i="1"/>
  <c r="BU199" i="1"/>
  <c r="BU214" i="1"/>
  <c r="BU204" i="1"/>
  <c r="BU201" i="1"/>
  <c r="BU194" i="1"/>
  <c r="BU191" i="1"/>
  <c r="BU188" i="1"/>
  <c r="BU215" i="1"/>
  <c r="BU197" i="1"/>
  <c r="BU216" i="1"/>
  <c r="BU29" i="1"/>
  <c r="BU32" i="1"/>
  <c r="BU35" i="1"/>
  <c r="BU38" i="1"/>
  <c r="BU41" i="1"/>
  <c r="BU44" i="1"/>
  <c r="BU47" i="1"/>
  <c r="BU50" i="1"/>
  <c r="BU53" i="1"/>
  <c r="BU56" i="1"/>
  <c r="BU59" i="1"/>
  <c r="BU62" i="1"/>
  <c r="BU65" i="1"/>
  <c r="BU68" i="1"/>
  <c r="BU71" i="1"/>
  <c r="BU74" i="1"/>
  <c r="BU77" i="1"/>
  <c r="BU80" i="1"/>
  <c r="BU83" i="1"/>
  <c r="BU86" i="1"/>
  <c r="BU89" i="1"/>
  <c r="BU92" i="1"/>
  <c r="BU95" i="1"/>
  <c r="BU98" i="1"/>
  <c r="BU101" i="1"/>
  <c r="BU104" i="1"/>
  <c r="BU107" i="1"/>
  <c r="BU110" i="1"/>
  <c r="BU113" i="1"/>
  <c r="BU116" i="1"/>
  <c r="BU119" i="1"/>
  <c r="BU122" i="1"/>
  <c r="BU125" i="1"/>
  <c r="BU128" i="1"/>
  <c r="BU131" i="1"/>
  <c r="BU134" i="1"/>
  <c r="BU137" i="1"/>
  <c r="BU140" i="1"/>
  <c r="BU143" i="1"/>
  <c r="BU146" i="1"/>
  <c r="BU149" i="1"/>
  <c r="BU152" i="1"/>
  <c r="BU155" i="1"/>
  <c r="BU158" i="1"/>
  <c r="BU161" i="1"/>
  <c r="BU164" i="1"/>
  <c r="BU167" i="1"/>
  <c r="BU170" i="1"/>
  <c r="BU173" i="1"/>
  <c r="BU176" i="1"/>
  <c r="BU179" i="1"/>
  <c r="BU182" i="1"/>
  <c r="BU185" i="1"/>
  <c r="BU252" i="1"/>
  <c r="BU256" i="1"/>
  <c r="BU198" i="1"/>
  <c r="BU192" i="1"/>
  <c r="BU205" i="1"/>
  <c r="BU210" i="1"/>
  <c r="BM32" i="1"/>
  <c r="BM49" i="1"/>
  <c r="BQ39" i="1"/>
  <c r="BQ56" i="1"/>
  <c r="BQ41" i="1"/>
  <c r="BQ31" i="1"/>
  <c r="BQ48" i="1"/>
  <c r="BQ50" i="1"/>
  <c r="BQ42" i="1"/>
  <c r="BQ22" i="1"/>
  <c r="BQ51" i="1"/>
  <c r="BQ30" i="1"/>
  <c r="BM23" i="1"/>
  <c r="BM24" i="1"/>
  <c r="BM57" i="1"/>
  <c r="BM58" i="1"/>
  <c r="BM27" i="1"/>
  <c r="BM28" i="1"/>
  <c r="BM61" i="1"/>
  <c r="BM46" i="1"/>
  <c r="BM34" i="1"/>
  <c r="BM36" i="1"/>
  <c r="BM37" i="1"/>
  <c r="BM22" i="1"/>
  <c r="BQ140" i="1"/>
  <c r="BQ137" i="1"/>
  <c r="BQ134" i="1"/>
  <c r="BQ131" i="1"/>
  <c r="BQ101" i="1"/>
  <c r="BQ98" i="1"/>
  <c r="BQ93" i="1"/>
  <c r="BQ90" i="1"/>
  <c r="BQ87" i="1"/>
  <c r="BQ84" i="1"/>
  <c r="BQ81" i="1"/>
  <c r="BQ78" i="1"/>
  <c r="BQ75" i="1"/>
  <c r="BQ72" i="1"/>
  <c r="BQ69" i="1"/>
  <c r="BQ66" i="1"/>
  <c r="BQ63" i="1"/>
  <c r="BQ60" i="1"/>
  <c r="BQ114" i="1"/>
  <c r="BQ113" i="1"/>
  <c r="BQ111" i="1"/>
  <c r="BQ106" i="1"/>
  <c r="BQ124" i="1"/>
  <c r="BQ123" i="1"/>
  <c r="BQ117" i="1"/>
  <c r="BQ120" i="1"/>
  <c r="BQ126" i="1"/>
  <c r="BQ141" i="1"/>
  <c r="BU257" i="1"/>
  <c r="BU187" i="1"/>
  <c r="BU183" i="1"/>
  <c r="BU178" i="1"/>
  <c r="BU174" i="1"/>
  <c r="BU169" i="1"/>
  <c r="BU165" i="1"/>
  <c r="BU160" i="1"/>
  <c r="BU156" i="1"/>
  <c r="BU151" i="1"/>
  <c r="BU147" i="1"/>
  <c r="BU142" i="1"/>
  <c r="BU138" i="1"/>
  <c r="BU133" i="1"/>
  <c r="BU129" i="1"/>
  <c r="BU124" i="1"/>
  <c r="BU120" i="1"/>
  <c r="BU115" i="1"/>
  <c r="BU111" i="1"/>
  <c r="BU106" i="1"/>
  <c r="BU102" i="1"/>
  <c r="BU97" i="1"/>
  <c r="BU93" i="1"/>
  <c r="BU88" i="1"/>
  <c r="BU84" i="1"/>
  <c r="BU79" i="1"/>
  <c r="BU75" i="1"/>
  <c r="BU70" i="1"/>
  <c r="BU66" i="1"/>
  <c r="BU61" i="1"/>
  <c r="BU57" i="1"/>
  <c r="BU52" i="1"/>
  <c r="BU48" i="1"/>
  <c r="BU43" i="1"/>
  <c r="BU39" i="1"/>
  <c r="BU34" i="1"/>
  <c r="BU30" i="1"/>
  <c r="BU234" i="1"/>
  <c r="BU200" i="1"/>
  <c r="BU189" i="1"/>
  <c r="BU193" i="1"/>
  <c r="BU202" i="1"/>
  <c r="BU206" i="1"/>
  <c r="BU207" i="1"/>
  <c r="BU211" i="1"/>
  <c r="BM33" i="1"/>
  <c r="BQ44" i="1"/>
  <c r="BU28" i="1"/>
  <c r="BQ47" i="1"/>
  <c r="BQ33" i="1"/>
  <c r="BQ35" i="1"/>
  <c r="BQ27" i="1"/>
  <c r="BQ38" i="1"/>
  <c r="BQ29" i="1"/>
  <c r="BQ46" i="1"/>
  <c r="BR858" i="1"/>
  <c r="BK858" i="1"/>
  <c r="BJ858" i="1"/>
  <c r="BH858" i="1"/>
  <c r="BR857" i="1"/>
  <c r="BK857" i="1"/>
  <c r="BJ857" i="1"/>
  <c r="BH857" i="1"/>
  <c r="BR856" i="1"/>
  <c r="BK856" i="1"/>
  <c r="BJ856" i="1"/>
  <c r="BH856" i="1"/>
  <c r="BR855" i="1"/>
  <c r="BK855" i="1"/>
  <c r="BJ855" i="1"/>
  <c r="BH855" i="1"/>
  <c r="BN858" i="1"/>
  <c r="BN857" i="1"/>
  <c r="BN856" i="1"/>
  <c r="BN855" i="1"/>
  <c r="BS858" i="1"/>
  <c r="BS857" i="1"/>
  <c r="BS856" i="1"/>
  <c r="BS855" i="1"/>
  <c r="BO858" i="1"/>
  <c r="BO857" i="1"/>
  <c r="BO856" i="1"/>
  <c r="BO855" i="1"/>
  <c r="BT858" i="1"/>
  <c r="BT857" i="1"/>
  <c r="BT856" i="1"/>
  <c r="BT855" i="1"/>
  <c r="BU858" i="1"/>
  <c r="BQ858" i="1"/>
  <c r="BU857" i="1"/>
  <c r="BQ857" i="1"/>
  <c r="BU856" i="1"/>
  <c r="BQ856" i="1"/>
  <c r="BU855" i="1"/>
  <c r="BQ855" i="1"/>
  <c r="BM858" i="1"/>
  <c r="BM857" i="1"/>
  <c r="BM856" i="1"/>
  <c r="BM855" i="1"/>
  <c r="BL858" i="1"/>
  <c r="BI858" i="1"/>
  <c r="BL857" i="1"/>
  <c r="BI857" i="1"/>
  <c r="BL856" i="1"/>
  <c r="BI856" i="1"/>
  <c r="BL855" i="1"/>
  <c r="BI855" i="1"/>
  <c r="BP858" i="1"/>
  <c r="BP857" i="1"/>
  <c r="BP856" i="1"/>
  <c r="BP855" i="1"/>
  <c r="BS852" i="1"/>
  <c r="BS851" i="1"/>
  <c r="BS850" i="1"/>
  <c r="BS849" i="1"/>
  <c r="BS848" i="1"/>
  <c r="BS847" i="1"/>
  <c r="BO852" i="1"/>
  <c r="BO851" i="1"/>
  <c r="BO850" i="1"/>
  <c r="BO849" i="1"/>
  <c r="BO848" i="1"/>
  <c r="BO847" i="1"/>
  <c r="BT852" i="1"/>
  <c r="BT851" i="1"/>
  <c r="BT850" i="1"/>
  <c r="BT849" i="1"/>
  <c r="BT848" i="1"/>
  <c r="BT847" i="1"/>
  <c r="BR852" i="1"/>
  <c r="BK852" i="1"/>
  <c r="BJ852" i="1"/>
  <c r="BH852" i="1"/>
  <c r="BR851" i="1"/>
  <c r="BK851" i="1"/>
  <c r="BJ851" i="1"/>
  <c r="BH851" i="1"/>
  <c r="BR850" i="1"/>
  <c r="BK850" i="1"/>
  <c r="BJ850" i="1"/>
  <c r="BH850" i="1"/>
  <c r="BR849" i="1"/>
  <c r="BK849" i="1"/>
  <c r="BJ849" i="1"/>
  <c r="BH849" i="1"/>
  <c r="BR848" i="1"/>
  <c r="BK848" i="1"/>
  <c r="BJ848" i="1"/>
  <c r="BH848" i="1"/>
  <c r="BR847" i="1"/>
  <c r="BK847" i="1"/>
  <c r="BJ847" i="1"/>
  <c r="BH847" i="1"/>
  <c r="BN852" i="1"/>
  <c r="BN851" i="1"/>
  <c r="BN850" i="1"/>
  <c r="BN849" i="1"/>
  <c r="BN848" i="1"/>
  <c r="BN847" i="1"/>
  <c r="BU852" i="1"/>
  <c r="BQ852" i="1"/>
  <c r="BU851" i="1"/>
  <c r="BQ851" i="1"/>
  <c r="BU850" i="1"/>
  <c r="BQ850" i="1"/>
  <c r="BU849" i="1"/>
  <c r="BQ849" i="1"/>
  <c r="BU848" i="1"/>
  <c r="BQ848" i="1"/>
  <c r="BU847" i="1"/>
  <c r="BQ847" i="1"/>
  <c r="BM852" i="1"/>
  <c r="BM851" i="1"/>
  <c r="BM850" i="1"/>
  <c r="BM849" i="1"/>
  <c r="BM848" i="1"/>
  <c r="BM847" i="1"/>
  <c r="BL852" i="1"/>
  <c r="BI852" i="1"/>
  <c r="BL851" i="1"/>
  <c r="BI851" i="1"/>
  <c r="BL850" i="1"/>
  <c r="BI850" i="1"/>
  <c r="BL849" i="1"/>
  <c r="BI849" i="1"/>
  <c r="BL848" i="1"/>
  <c r="BI848" i="1"/>
  <c r="BL847" i="1"/>
  <c r="BI847" i="1"/>
  <c r="BP852" i="1"/>
  <c r="BP851" i="1"/>
  <c r="BP850" i="1"/>
  <c r="BP849" i="1"/>
  <c r="BP848" i="1"/>
  <c r="BP847" i="1"/>
  <c r="BR871" i="1"/>
  <c r="BK871" i="1"/>
  <c r="BJ871" i="1"/>
  <c r="BH871" i="1"/>
  <c r="BR854" i="1"/>
  <c r="BK854" i="1"/>
  <c r="BJ854" i="1"/>
  <c r="BH854" i="1"/>
  <c r="BR853" i="1"/>
  <c r="BK853" i="1"/>
  <c r="BJ853" i="1"/>
  <c r="BH853" i="1"/>
  <c r="BN871" i="1"/>
  <c r="BN854" i="1"/>
  <c r="BN853" i="1"/>
  <c r="BL871" i="1"/>
  <c r="BI871" i="1"/>
  <c r="BL854" i="1"/>
  <c r="BI854" i="1"/>
  <c r="BL853" i="1"/>
  <c r="BI853" i="1"/>
  <c r="BP871" i="1"/>
  <c r="BP854" i="1"/>
  <c r="BP853" i="1"/>
  <c r="BS871" i="1"/>
  <c r="BS854" i="1"/>
  <c r="BS853" i="1"/>
  <c r="BO871" i="1"/>
  <c r="BO854" i="1"/>
  <c r="BO853" i="1"/>
  <c r="BT871" i="1"/>
  <c r="BT854" i="1"/>
  <c r="BT853" i="1"/>
  <c r="BU871" i="1"/>
  <c r="BQ871" i="1"/>
  <c r="BU854" i="1"/>
  <c r="BQ854" i="1"/>
  <c r="BU853" i="1"/>
  <c r="BQ853" i="1"/>
  <c r="BM871" i="1"/>
  <c r="BM854" i="1"/>
  <c r="BM853" i="1"/>
  <c r="BR882" i="1"/>
  <c r="BK882" i="1"/>
  <c r="BJ882" i="1"/>
  <c r="BH882" i="1"/>
  <c r="BR846" i="1"/>
  <c r="BK846" i="1"/>
  <c r="BJ846" i="1"/>
  <c r="BH846" i="1"/>
  <c r="BR845" i="1"/>
  <c r="BK845" i="1"/>
  <c r="BJ845" i="1"/>
  <c r="BH845" i="1"/>
  <c r="BR844" i="1"/>
  <c r="BK844" i="1"/>
  <c r="BJ844" i="1"/>
  <c r="BH844" i="1"/>
  <c r="BN882" i="1"/>
  <c r="BN846" i="1"/>
  <c r="BN845" i="1"/>
  <c r="BN844" i="1"/>
  <c r="BS882" i="1"/>
  <c r="BS846" i="1"/>
  <c r="BS845" i="1"/>
  <c r="BS844" i="1"/>
  <c r="BO882" i="1"/>
  <c r="BO846" i="1"/>
  <c r="BO845" i="1"/>
  <c r="BO844" i="1"/>
  <c r="BT882" i="1"/>
  <c r="BT846" i="1"/>
  <c r="BT845" i="1"/>
  <c r="BT844" i="1"/>
  <c r="BU882" i="1"/>
  <c r="BQ882" i="1"/>
  <c r="BU846" i="1"/>
  <c r="BQ846" i="1"/>
  <c r="BU845" i="1"/>
  <c r="BQ845" i="1"/>
  <c r="BU844" i="1"/>
  <c r="BQ844" i="1"/>
  <c r="BM882" i="1"/>
  <c r="BM846" i="1"/>
  <c r="BM845" i="1"/>
  <c r="BM844" i="1"/>
  <c r="BL882" i="1"/>
  <c r="BI882" i="1"/>
  <c r="BL846" i="1"/>
  <c r="BI846" i="1"/>
  <c r="BL845" i="1"/>
  <c r="BI845" i="1"/>
  <c r="BL844" i="1"/>
  <c r="BI844" i="1"/>
  <c r="BP882" i="1"/>
  <c r="BP846" i="1"/>
  <c r="BP845" i="1"/>
  <c r="BP844" i="1"/>
  <c r="BR840" i="1"/>
  <c r="BK840" i="1"/>
  <c r="BJ840" i="1"/>
  <c r="BH840" i="1"/>
  <c r="BR839" i="1"/>
  <c r="BK839" i="1"/>
  <c r="BJ839" i="1"/>
  <c r="BH839" i="1"/>
  <c r="BR838" i="1"/>
  <c r="BK838" i="1"/>
  <c r="BJ838" i="1"/>
  <c r="BH838" i="1"/>
  <c r="BR837" i="1"/>
  <c r="BK837" i="1"/>
  <c r="BJ837" i="1"/>
  <c r="BH837" i="1"/>
  <c r="BN840" i="1"/>
  <c r="BN839" i="1"/>
  <c r="BN838" i="1"/>
  <c r="BN837" i="1"/>
  <c r="BS840" i="1"/>
  <c r="BS839" i="1"/>
  <c r="BS838" i="1"/>
  <c r="BS837" i="1"/>
  <c r="BO840" i="1"/>
  <c r="BO839" i="1"/>
  <c r="BO838" i="1"/>
  <c r="BO837" i="1"/>
  <c r="BT840" i="1"/>
  <c r="BT839" i="1"/>
  <c r="BT838" i="1"/>
  <c r="BT837" i="1"/>
  <c r="BU840" i="1"/>
  <c r="BQ840" i="1"/>
  <c r="BU839" i="1"/>
  <c r="BQ839" i="1"/>
  <c r="BU838" i="1"/>
  <c r="BQ838" i="1"/>
  <c r="BU837" i="1"/>
  <c r="BQ837" i="1"/>
  <c r="BM840" i="1"/>
  <c r="BM839" i="1"/>
  <c r="BM838" i="1"/>
  <c r="BM837" i="1"/>
  <c r="BL840" i="1"/>
  <c r="BI840" i="1"/>
  <c r="BL839" i="1"/>
  <c r="BI839" i="1"/>
  <c r="BL838" i="1"/>
  <c r="BI838" i="1"/>
  <c r="BL837" i="1"/>
  <c r="BI837" i="1"/>
  <c r="BP840" i="1"/>
  <c r="BP839" i="1"/>
  <c r="BP838" i="1"/>
  <c r="BP837" i="1"/>
  <c r="BR843" i="1"/>
  <c r="BK843" i="1"/>
  <c r="BJ843" i="1"/>
  <c r="BH843" i="1"/>
  <c r="BR842" i="1"/>
  <c r="BK842" i="1"/>
  <c r="BJ842" i="1"/>
  <c r="BH842" i="1"/>
  <c r="BR841" i="1"/>
  <c r="BK841" i="1"/>
  <c r="BJ841" i="1"/>
  <c r="BH841" i="1"/>
  <c r="BN843" i="1"/>
  <c r="BN842" i="1"/>
  <c r="BN841" i="1"/>
  <c r="BS843" i="1"/>
  <c r="BS842" i="1"/>
  <c r="BS841" i="1"/>
  <c r="BO843" i="1"/>
  <c r="BO842" i="1"/>
  <c r="BO841" i="1"/>
  <c r="BT843" i="1"/>
  <c r="BT842" i="1"/>
  <c r="BT841" i="1"/>
  <c r="BU843" i="1"/>
  <c r="BQ843" i="1"/>
  <c r="BU842" i="1"/>
  <c r="BQ842" i="1"/>
  <c r="BU841" i="1"/>
  <c r="BQ841" i="1"/>
  <c r="BM843" i="1"/>
  <c r="BM842" i="1"/>
  <c r="BM841" i="1"/>
  <c r="BL843" i="1"/>
  <c r="BI843" i="1"/>
  <c r="BL842" i="1"/>
  <c r="BI842" i="1"/>
  <c r="BL841" i="1"/>
  <c r="BI841" i="1"/>
  <c r="BP843" i="1"/>
  <c r="BP842" i="1"/>
  <c r="BP841" i="1"/>
  <c r="BR835" i="1"/>
  <c r="BK835" i="1"/>
  <c r="BJ835" i="1"/>
  <c r="BH835" i="1"/>
  <c r="BR834" i="1"/>
  <c r="BK834" i="1"/>
  <c r="BJ834" i="1"/>
  <c r="BH834" i="1"/>
  <c r="BR833" i="1"/>
  <c r="BK833" i="1"/>
  <c r="BJ833" i="1"/>
  <c r="BH833" i="1"/>
  <c r="BR832" i="1"/>
  <c r="BK832" i="1"/>
  <c r="BJ832" i="1"/>
  <c r="BH832" i="1"/>
  <c r="BN835" i="1"/>
  <c r="BN834" i="1"/>
  <c r="BN833" i="1"/>
  <c r="BN832" i="1"/>
  <c r="BS835" i="1"/>
  <c r="BS834" i="1"/>
  <c r="BS833" i="1"/>
  <c r="BS832" i="1"/>
  <c r="BO835" i="1"/>
  <c r="BO834" i="1"/>
  <c r="BO833" i="1"/>
  <c r="BO832" i="1"/>
  <c r="BT835" i="1"/>
  <c r="BT834" i="1"/>
  <c r="BT833" i="1"/>
  <c r="BT832" i="1"/>
  <c r="BU835" i="1"/>
  <c r="BQ835" i="1"/>
  <c r="BU834" i="1"/>
  <c r="BQ834" i="1"/>
  <c r="BU833" i="1"/>
  <c r="BQ833" i="1"/>
  <c r="BU832" i="1"/>
  <c r="BQ832" i="1"/>
  <c r="BM835" i="1"/>
  <c r="BM834" i="1"/>
  <c r="BM833" i="1"/>
  <c r="BM832" i="1"/>
  <c r="BI213" i="1"/>
  <c r="BL835" i="1"/>
  <c r="BI835" i="1"/>
  <c r="BL834" i="1"/>
  <c r="BI834" i="1"/>
  <c r="BL833" i="1"/>
  <c r="BI833" i="1"/>
  <c r="BL832" i="1"/>
  <c r="BI832" i="1"/>
  <c r="BP835" i="1"/>
  <c r="BP834" i="1"/>
  <c r="BP833" i="1"/>
  <c r="BP832" i="1"/>
  <c r="BR830" i="1"/>
  <c r="BK830" i="1"/>
  <c r="BJ830" i="1"/>
  <c r="BH830" i="1"/>
  <c r="BR829" i="1"/>
  <c r="BK829" i="1"/>
  <c r="BJ829" i="1"/>
  <c r="BH829" i="1"/>
  <c r="BR828" i="1"/>
  <c r="BK828" i="1"/>
  <c r="BJ828" i="1"/>
  <c r="BH828" i="1"/>
  <c r="BR827" i="1"/>
  <c r="BK827" i="1"/>
  <c r="BJ827" i="1"/>
  <c r="BH827" i="1"/>
  <c r="BR826" i="1"/>
  <c r="BK826" i="1"/>
  <c r="BJ826" i="1"/>
  <c r="BH826" i="1"/>
  <c r="BN830" i="1"/>
  <c r="BN829" i="1"/>
  <c r="BN828" i="1"/>
  <c r="BN827" i="1"/>
  <c r="BN826" i="1"/>
  <c r="BS830" i="1"/>
  <c r="BS829" i="1"/>
  <c r="BS828" i="1"/>
  <c r="BS827" i="1"/>
  <c r="BS826" i="1"/>
  <c r="BO830" i="1"/>
  <c r="BO829" i="1"/>
  <c r="BO828" i="1"/>
  <c r="BO827" i="1"/>
  <c r="BO826" i="1"/>
  <c r="BT830" i="1"/>
  <c r="BT829" i="1"/>
  <c r="BT828" i="1"/>
  <c r="BT827" i="1"/>
  <c r="BT826" i="1"/>
  <c r="BI234" i="1"/>
  <c r="BL196" i="1"/>
  <c r="BI198" i="1"/>
  <c r="BI215" i="1"/>
  <c r="BI188" i="1"/>
  <c r="BL189" i="1"/>
  <c r="BI191" i="1"/>
  <c r="BL192" i="1"/>
  <c r="BI194" i="1"/>
  <c r="BL195" i="1"/>
  <c r="BI201" i="1"/>
  <c r="BL202" i="1"/>
  <c r="BI204" i="1"/>
  <c r="BL205" i="1"/>
  <c r="BI207" i="1"/>
  <c r="BL208" i="1"/>
  <c r="BI211" i="1"/>
  <c r="BU830" i="1"/>
  <c r="BQ830" i="1"/>
  <c r="BU829" i="1"/>
  <c r="BQ829" i="1"/>
  <c r="BU828" i="1"/>
  <c r="BQ828" i="1"/>
  <c r="BU827" i="1"/>
  <c r="BQ827" i="1"/>
  <c r="BU826" i="1"/>
  <c r="BQ826" i="1"/>
  <c r="BM830" i="1"/>
  <c r="BM829" i="1"/>
  <c r="BM828" i="1"/>
  <c r="BM827" i="1"/>
  <c r="BM826" i="1"/>
  <c r="BL830" i="1"/>
  <c r="BI830" i="1"/>
  <c r="BL829" i="1"/>
  <c r="BI829" i="1"/>
  <c r="BL828" i="1"/>
  <c r="BI828" i="1"/>
  <c r="BL827" i="1"/>
  <c r="BI827" i="1"/>
  <c r="BL826" i="1"/>
  <c r="BI826" i="1"/>
  <c r="BP830" i="1"/>
  <c r="BP829" i="1"/>
  <c r="BP828" i="1"/>
  <c r="BP827" i="1"/>
  <c r="BP826" i="1"/>
  <c r="BR831" i="1"/>
  <c r="BK831" i="1"/>
  <c r="BJ831" i="1"/>
  <c r="BH831" i="1"/>
  <c r="BR825" i="1"/>
  <c r="BK825" i="1"/>
  <c r="BJ825" i="1"/>
  <c r="BH825" i="1"/>
  <c r="BR824" i="1"/>
  <c r="BK824" i="1"/>
  <c r="BJ824" i="1"/>
  <c r="BH824" i="1"/>
  <c r="BR823" i="1"/>
  <c r="BK823" i="1"/>
  <c r="BJ823" i="1"/>
  <c r="BH823" i="1"/>
  <c r="BN831" i="1"/>
  <c r="BN825" i="1"/>
  <c r="BN824" i="1"/>
  <c r="BN823" i="1"/>
  <c r="BS831" i="1"/>
  <c r="BS825" i="1"/>
  <c r="BS824" i="1"/>
  <c r="BS823" i="1"/>
  <c r="BO831" i="1"/>
  <c r="BO825" i="1"/>
  <c r="BO824" i="1"/>
  <c r="BO823" i="1"/>
  <c r="BT831" i="1"/>
  <c r="BT825" i="1"/>
  <c r="BT824" i="1"/>
  <c r="BT823" i="1"/>
  <c r="BU831" i="1"/>
  <c r="BQ831" i="1"/>
  <c r="BU825" i="1"/>
  <c r="BQ825" i="1"/>
  <c r="BU824" i="1"/>
  <c r="BQ824" i="1"/>
  <c r="BU823" i="1"/>
  <c r="BQ823" i="1"/>
  <c r="BM831" i="1"/>
  <c r="BM825" i="1"/>
  <c r="BM824" i="1"/>
  <c r="BM823" i="1"/>
  <c r="BL831" i="1"/>
  <c r="BI831" i="1"/>
  <c r="BL825" i="1"/>
  <c r="BI825" i="1"/>
  <c r="BL824" i="1"/>
  <c r="BI824" i="1"/>
  <c r="BL823" i="1"/>
  <c r="BI823" i="1"/>
  <c r="BP831" i="1"/>
  <c r="BP825" i="1"/>
  <c r="BP824" i="1"/>
  <c r="BP823" i="1"/>
  <c r="BR820" i="1"/>
  <c r="BK820" i="1"/>
  <c r="BJ820" i="1"/>
  <c r="BH820" i="1"/>
  <c r="BR819" i="1"/>
  <c r="BK819" i="1"/>
  <c r="BJ819" i="1"/>
  <c r="BH819" i="1"/>
  <c r="BR818" i="1"/>
  <c r="BK818" i="1"/>
  <c r="BJ818" i="1"/>
  <c r="BH818" i="1"/>
  <c r="BR817" i="1"/>
  <c r="BK817" i="1"/>
  <c r="BJ817" i="1"/>
  <c r="BH817" i="1"/>
  <c r="BR816" i="1"/>
  <c r="BK816" i="1"/>
  <c r="BJ816" i="1"/>
  <c r="BH816" i="1"/>
  <c r="BN820" i="1"/>
  <c r="BN819" i="1"/>
  <c r="BN818" i="1"/>
  <c r="BN817" i="1"/>
  <c r="BN816" i="1"/>
  <c r="BS820" i="1"/>
  <c r="BS819" i="1"/>
  <c r="BS818" i="1"/>
  <c r="BS817" i="1"/>
  <c r="BS816" i="1"/>
  <c r="BO820" i="1"/>
  <c r="BO819" i="1"/>
  <c r="BO818" i="1"/>
  <c r="BO817" i="1"/>
  <c r="BO816" i="1"/>
  <c r="BT820" i="1"/>
  <c r="BT819" i="1"/>
  <c r="BT818" i="1"/>
  <c r="BT817" i="1"/>
  <c r="BT816" i="1"/>
  <c r="BU820" i="1"/>
  <c r="BQ820" i="1"/>
  <c r="BU819" i="1"/>
  <c r="BQ819" i="1"/>
  <c r="BU818" i="1"/>
  <c r="BQ818" i="1"/>
  <c r="BU817" i="1"/>
  <c r="BQ817" i="1"/>
  <c r="BU816" i="1"/>
  <c r="BQ816" i="1"/>
  <c r="BM820" i="1"/>
  <c r="BM819" i="1"/>
  <c r="BM818" i="1"/>
  <c r="BM817" i="1"/>
  <c r="BM816" i="1"/>
  <c r="BL820" i="1"/>
  <c r="BI820" i="1"/>
  <c r="BL819" i="1"/>
  <c r="BI819" i="1"/>
  <c r="BL818" i="1"/>
  <c r="BI818" i="1"/>
  <c r="BL817" i="1"/>
  <c r="BI817" i="1"/>
  <c r="BL816" i="1"/>
  <c r="BI816" i="1"/>
  <c r="BP820" i="1"/>
  <c r="BP819" i="1"/>
  <c r="BP818" i="1"/>
  <c r="BP817" i="1"/>
  <c r="BP816" i="1"/>
  <c r="BR821" i="1"/>
  <c r="BK821" i="1"/>
  <c r="BJ821" i="1"/>
  <c r="BH821" i="1"/>
  <c r="BR815" i="1"/>
  <c r="BK815" i="1"/>
  <c r="BJ815" i="1"/>
  <c r="BH815" i="1"/>
  <c r="BR814" i="1"/>
  <c r="BK814" i="1"/>
  <c r="BJ814" i="1"/>
  <c r="BH814" i="1"/>
  <c r="BR813" i="1"/>
  <c r="BK813" i="1"/>
  <c r="BJ813" i="1"/>
  <c r="BH813" i="1"/>
  <c r="BR812" i="1"/>
  <c r="BK812" i="1"/>
  <c r="BJ812" i="1"/>
  <c r="BH812" i="1"/>
  <c r="BR811" i="1"/>
  <c r="BK811" i="1"/>
  <c r="BJ811" i="1"/>
  <c r="BH811" i="1"/>
  <c r="BN821" i="1"/>
  <c r="BN815" i="1"/>
  <c r="BN814" i="1"/>
  <c r="BN813" i="1"/>
  <c r="BN812" i="1"/>
  <c r="BN811" i="1"/>
  <c r="BS821" i="1"/>
  <c r="BS815" i="1"/>
  <c r="BS814" i="1"/>
  <c r="BS813" i="1"/>
  <c r="BS812" i="1"/>
  <c r="BS811" i="1"/>
  <c r="BO821" i="1"/>
  <c r="BO815" i="1"/>
  <c r="BO814" i="1"/>
  <c r="BO813" i="1"/>
  <c r="BO812" i="1"/>
  <c r="BO811" i="1"/>
  <c r="BT821" i="1"/>
  <c r="BT815" i="1"/>
  <c r="BT814" i="1"/>
  <c r="BT813" i="1"/>
  <c r="BT812" i="1"/>
  <c r="BT811" i="1"/>
  <c r="BU821" i="1"/>
  <c r="BQ821" i="1"/>
  <c r="BU815" i="1"/>
  <c r="BQ815" i="1"/>
  <c r="BU814" i="1"/>
  <c r="BQ814" i="1"/>
  <c r="BU813" i="1"/>
  <c r="BQ813" i="1"/>
  <c r="BU812" i="1"/>
  <c r="BQ812" i="1"/>
  <c r="BU811" i="1"/>
  <c r="BQ811" i="1"/>
  <c r="BM821" i="1"/>
  <c r="BM815" i="1"/>
  <c r="BM814" i="1"/>
  <c r="BM813" i="1"/>
  <c r="BM812" i="1"/>
  <c r="BM811" i="1"/>
  <c r="BL821" i="1"/>
  <c r="BI821" i="1"/>
  <c r="BL815" i="1"/>
  <c r="BI815" i="1"/>
  <c r="BL814" i="1"/>
  <c r="BI814" i="1"/>
  <c r="BL813" i="1"/>
  <c r="BI813" i="1"/>
  <c r="BL812" i="1"/>
  <c r="BI812" i="1"/>
  <c r="BL811" i="1"/>
  <c r="BI811" i="1"/>
  <c r="BP821" i="1"/>
  <c r="BP815" i="1"/>
  <c r="BP814" i="1"/>
  <c r="BP813" i="1"/>
  <c r="BP812" i="1"/>
  <c r="BP811" i="1"/>
  <c r="BR822" i="1"/>
  <c r="BK822" i="1"/>
  <c r="BJ822" i="1"/>
  <c r="BH822" i="1"/>
  <c r="BR810" i="1"/>
  <c r="BK810" i="1"/>
  <c r="BJ810" i="1"/>
  <c r="BH810" i="1"/>
  <c r="BR809" i="1"/>
  <c r="BK809" i="1"/>
  <c r="BJ809" i="1"/>
  <c r="BH809" i="1"/>
  <c r="BR808" i="1"/>
  <c r="BK808" i="1"/>
  <c r="BJ808" i="1"/>
  <c r="BH808" i="1"/>
  <c r="BR807" i="1"/>
  <c r="BK807" i="1"/>
  <c r="BJ807" i="1"/>
  <c r="BH807" i="1"/>
  <c r="BN822" i="1"/>
  <c r="BN810" i="1"/>
  <c r="BN809" i="1"/>
  <c r="BN808" i="1"/>
  <c r="BN807" i="1"/>
  <c r="BS822" i="1"/>
  <c r="BS810" i="1"/>
  <c r="BS809" i="1"/>
  <c r="BS808" i="1"/>
  <c r="BS807" i="1"/>
  <c r="BO822" i="1"/>
  <c r="BO810" i="1"/>
  <c r="BO809" i="1"/>
  <c r="BO808" i="1"/>
  <c r="BO807" i="1"/>
  <c r="BT892" i="1"/>
  <c r="BT822" i="1"/>
  <c r="BT810" i="1"/>
  <c r="BT809" i="1"/>
  <c r="BT808" i="1"/>
  <c r="BT807" i="1"/>
  <c r="BU822" i="1"/>
  <c r="BQ822" i="1"/>
  <c r="BU810" i="1"/>
  <c r="BQ810" i="1"/>
  <c r="BU809" i="1"/>
  <c r="BQ809" i="1"/>
  <c r="BU808" i="1"/>
  <c r="BQ808" i="1"/>
  <c r="BU807" i="1"/>
  <c r="BQ807" i="1"/>
  <c r="BM822" i="1"/>
  <c r="BM810" i="1"/>
  <c r="BM809" i="1"/>
  <c r="BM808" i="1"/>
  <c r="BM807" i="1"/>
  <c r="BL822" i="1"/>
  <c r="BI822" i="1"/>
  <c r="BL810" i="1"/>
  <c r="BI810" i="1"/>
  <c r="BL809" i="1"/>
  <c r="BI809" i="1"/>
  <c r="BL808" i="1"/>
  <c r="BI808" i="1"/>
  <c r="BL807" i="1"/>
  <c r="BI807" i="1"/>
  <c r="BP822" i="1"/>
  <c r="BP810" i="1"/>
  <c r="BP809" i="1"/>
  <c r="BP808" i="1"/>
  <c r="BP807" i="1"/>
  <c r="BR892" i="1"/>
  <c r="BK892" i="1"/>
  <c r="BJ892" i="1"/>
  <c r="BH892" i="1"/>
  <c r="BN892" i="1"/>
  <c r="BS892" i="1"/>
  <c r="BO892" i="1"/>
  <c r="BU892" i="1"/>
  <c r="BQ892" i="1"/>
  <c r="BM892" i="1"/>
  <c r="BL892" i="1"/>
  <c r="BI892" i="1"/>
  <c r="BP892" i="1"/>
  <c r="BR806" i="1"/>
  <c r="BK806" i="1"/>
  <c r="BJ806" i="1"/>
  <c r="BH806" i="1"/>
  <c r="BR805" i="1"/>
  <c r="BK805" i="1"/>
  <c r="BJ805" i="1"/>
  <c r="BH805" i="1"/>
  <c r="BR804" i="1"/>
  <c r="BK804" i="1"/>
  <c r="BJ804" i="1"/>
  <c r="BH804" i="1"/>
  <c r="BN806" i="1"/>
  <c r="BN805" i="1"/>
  <c r="BN804" i="1"/>
  <c r="BS806" i="1"/>
  <c r="BS805" i="1"/>
  <c r="BS804" i="1"/>
  <c r="BO806" i="1"/>
  <c r="BO805" i="1"/>
  <c r="BO804" i="1"/>
  <c r="BT806" i="1"/>
  <c r="BT805" i="1"/>
  <c r="BT804" i="1"/>
  <c r="BU806" i="1"/>
  <c r="BQ806" i="1"/>
  <c r="BU805" i="1"/>
  <c r="BQ805" i="1"/>
  <c r="BU804" i="1"/>
  <c r="BQ804" i="1"/>
  <c r="BM806" i="1"/>
  <c r="BM805" i="1"/>
  <c r="BM804" i="1"/>
  <c r="BL806" i="1"/>
  <c r="BI806" i="1"/>
  <c r="BL805" i="1"/>
  <c r="BI805" i="1"/>
  <c r="BL804" i="1"/>
  <c r="BI804" i="1"/>
  <c r="BP806" i="1"/>
  <c r="BP805" i="1"/>
  <c r="BP804" i="1"/>
  <c r="BR801" i="1"/>
  <c r="BK801" i="1"/>
  <c r="BJ801" i="1"/>
  <c r="BH801" i="1"/>
  <c r="BR800" i="1"/>
  <c r="BK800" i="1"/>
  <c r="BJ800" i="1"/>
  <c r="BH800" i="1"/>
  <c r="BR799" i="1"/>
  <c r="BK799" i="1"/>
  <c r="BJ799" i="1"/>
  <c r="BH799" i="1"/>
  <c r="BR798" i="1"/>
  <c r="BK798" i="1"/>
  <c r="BJ798" i="1"/>
  <c r="BH798" i="1"/>
  <c r="BR797" i="1"/>
  <c r="BK797" i="1"/>
  <c r="BJ797" i="1"/>
  <c r="BH797" i="1"/>
  <c r="BN801" i="1"/>
  <c r="BN800" i="1"/>
  <c r="BN799" i="1"/>
  <c r="BN798" i="1"/>
  <c r="BN797" i="1"/>
  <c r="BL212" i="1"/>
  <c r="BL801" i="1"/>
  <c r="BI801" i="1"/>
  <c r="BL800" i="1"/>
  <c r="BI800" i="1"/>
  <c r="BL799" i="1"/>
  <c r="BI799" i="1"/>
  <c r="BL798" i="1"/>
  <c r="BI798" i="1"/>
  <c r="BL797" i="1"/>
  <c r="BI797" i="1"/>
  <c r="BP801" i="1"/>
  <c r="BP800" i="1"/>
  <c r="BP799" i="1"/>
  <c r="BP798" i="1"/>
  <c r="BP797" i="1"/>
  <c r="BS801" i="1"/>
  <c r="BS800" i="1"/>
  <c r="BS799" i="1"/>
  <c r="BS798" i="1"/>
  <c r="BS797" i="1"/>
  <c r="BO801" i="1"/>
  <c r="BO800" i="1"/>
  <c r="BO799" i="1"/>
  <c r="BO798" i="1"/>
  <c r="BO797" i="1"/>
  <c r="BT801" i="1"/>
  <c r="BT800" i="1"/>
  <c r="BT799" i="1"/>
  <c r="BT798" i="1"/>
  <c r="BT797" i="1"/>
  <c r="BU801" i="1"/>
  <c r="BQ801" i="1"/>
  <c r="BU800" i="1"/>
  <c r="BQ800" i="1"/>
  <c r="BU799" i="1"/>
  <c r="BQ799" i="1"/>
  <c r="BU798" i="1"/>
  <c r="BQ798" i="1"/>
  <c r="BU797" i="1"/>
  <c r="BQ797" i="1"/>
  <c r="BM801" i="1"/>
  <c r="BM800" i="1"/>
  <c r="BM799" i="1"/>
  <c r="BM798" i="1"/>
  <c r="BM797" i="1"/>
  <c r="BR802" i="1"/>
  <c r="BK802" i="1"/>
  <c r="BJ802" i="1"/>
  <c r="BH802" i="1"/>
  <c r="BR796" i="1"/>
  <c r="BK796" i="1"/>
  <c r="BJ796" i="1"/>
  <c r="BH796" i="1"/>
  <c r="BR795" i="1"/>
  <c r="BK795" i="1"/>
  <c r="BJ795" i="1"/>
  <c r="BH795" i="1"/>
  <c r="BR794" i="1"/>
  <c r="BK794" i="1"/>
  <c r="BJ794" i="1"/>
  <c r="BH794" i="1"/>
  <c r="BN802" i="1"/>
  <c r="BN796" i="1"/>
  <c r="BN795" i="1"/>
  <c r="BN794" i="1"/>
  <c r="BS802" i="1"/>
  <c r="BS796" i="1"/>
  <c r="BS795" i="1"/>
  <c r="BS794" i="1"/>
  <c r="BO802" i="1"/>
  <c r="BO796" i="1"/>
  <c r="BO795" i="1"/>
  <c r="BO794" i="1"/>
  <c r="BT802" i="1"/>
  <c r="BT796" i="1"/>
  <c r="BT795" i="1"/>
  <c r="BT794" i="1"/>
  <c r="BU802" i="1"/>
  <c r="BQ802" i="1"/>
  <c r="BU796" i="1"/>
  <c r="BQ796" i="1"/>
  <c r="BU795" i="1"/>
  <c r="BQ795" i="1"/>
  <c r="BU794" i="1"/>
  <c r="BQ794" i="1"/>
  <c r="BM802" i="1"/>
  <c r="BM796" i="1"/>
  <c r="BM795" i="1"/>
  <c r="BM794" i="1"/>
  <c r="BL802" i="1"/>
  <c r="BI802" i="1"/>
  <c r="BL796" i="1"/>
  <c r="BI796" i="1"/>
  <c r="BL795" i="1"/>
  <c r="BI795" i="1"/>
  <c r="BL794" i="1"/>
  <c r="BI794" i="1"/>
  <c r="BP802" i="1"/>
  <c r="BP796" i="1"/>
  <c r="BP795" i="1"/>
  <c r="BP794" i="1"/>
  <c r="BR789" i="1"/>
  <c r="BK789" i="1"/>
  <c r="BJ789" i="1"/>
  <c r="BH789" i="1"/>
  <c r="BR788" i="1"/>
  <c r="BK788" i="1"/>
  <c r="BJ788" i="1"/>
  <c r="BH788" i="1"/>
  <c r="BR787" i="1"/>
  <c r="BK787" i="1"/>
  <c r="BJ787" i="1"/>
  <c r="BH787" i="1"/>
  <c r="BR786" i="1"/>
  <c r="BK786" i="1"/>
  <c r="BJ786" i="1"/>
  <c r="BH786" i="1"/>
  <c r="BR785" i="1"/>
  <c r="BK785" i="1"/>
  <c r="BJ785" i="1"/>
  <c r="BH785" i="1"/>
  <c r="BR784" i="1"/>
  <c r="BK784" i="1"/>
  <c r="BJ784" i="1"/>
  <c r="BH784" i="1"/>
  <c r="BN789" i="1"/>
  <c r="BN788" i="1"/>
  <c r="BN787" i="1"/>
  <c r="BN786" i="1"/>
  <c r="BN785" i="1"/>
  <c r="BN784" i="1"/>
  <c r="BS789" i="1"/>
  <c r="BS788" i="1"/>
  <c r="BS787" i="1"/>
  <c r="BS786" i="1"/>
  <c r="BS785" i="1"/>
  <c r="BS784" i="1"/>
  <c r="BO789" i="1"/>
  <c r="BO788" i="1"/>
  <c r="BO787" i="1"/>
  <c r="BO786" i="1"/>
  <c r="BO785" i="1"/>
  <c r="BO784" i="1"/>
  <c r="BT789" i="1"/>
  <c r="BT788" i="1"/>
  <c r="BT787" i="1"/>
  <c r="BT786" i="1"/>
  <c r="BT785" i="1"/>
  <c r="BT784" i="1"/>
  <c r="BU789" i="1"/>
  <c r="BQ789" i="1"/>
  <c r="BU788" i="1"/>
  <c r="BQ788" i="1"/>
  <c r="BU787" i="1"/>
  <c r="BQ787" i="1"/>
  <c r="BU786" i="1"/>
  <c r="BQ786" i="1"/>
  <c r="BU785" i="1"/>
  <c r="BQ785" i="1"/>
  <c r="BU784" i="1"/>
  <c r="BQ784" i="1"/>
  <c r="BM789" i="1"/>
  <c r="BM788" i="1"/>
  <c r="BM787" i="1"/>
  <c r="BM786" i="1"/>
  <c r="BM785" i="1"/>
  <c r="BM784" i="1"/>
  <c r="BL789" i="1"/>
  <c r="BI789" i="1"/>
  <c r="BL788" i="1"/>
  <c r="BI788" i="1"/>
  <c r="BL787" i="1"/>
  <c r="BI787" i="1"/>
  <c r="BL786" i="1"/>
  <c r="BI786" i="1"/>
  <c r="BL785" i="1"/>
  <c r="BI785" i="1"/>
  <c r="BL784" i="1"/>
  <c r="BI784" i="1"/>
  <c r="BP789" i="1"/>
  <c r="BP788" i="1"/>
  <c r="BP787" i="1"/>
  <c r="BP786" i="1"/>
  <c r="BP785" i="1"/>
  <c r="BP784" i="1"/>
  <c r="BR793" i="1"/>
  <c r="BK793" i="1"/>
  <c r="BJ793" i="1"/>
  <c r="BH793" i="1"/>
  <c r="BR792" i="1"/>
  <c r="BK792" i="1"/>
  <c r="BJ792" i="1"/>
  <c r="BH792" i="1"/>
  <c r="BR791" i="1"/>
  <c r="BK791" i="1"/>
  <c r="BJ791" i="1"/>
  <c r="BH791" i="1"/>
  <c r="BR790" i="1"/>
  <c r="BK790" i="1"/>
  <c r="BJ790" i="1"/>
  <c r="BH790" i="1"/>
  <c r="BN793" i="1"/>
  <c r="BN792" i="1"/>
  <c r="BN791" i="1"/>
  <c r="BN790" i="1"/>
  <c r="BS793" i="1"/>
  <c r="BS792" i="1"/>
  <c r="BS791" i="1"/>
  <c r="BS790" i="1"/>
  <c r="BO793" i="1"/>
  <c r="BO792" i="1"/>
  <c r="BO791" i="1"/>
  <c r="BO790" i="1"/>
  <c r="BT793" i="1"/>
  <c r="BT792" i="1"/>
  <c r="BT791" i="1"/>
  <c r="BT790" i="1"/>
  <c r="BU793" i="1"/>
  <c r="BQ793" i="1"/>
  <c r="BU792" i="1"/>
  <c r="BQ792" i="1"/>
  <c r="BU791" i="1"/>
  <c r="BQ791" i="1"/>
  <c r="BU790" i="1"/>
  <c r="BQ790" i="1"/>
  <c r="BM793" i="1"/>
  <c r="BM792" i="1"/>
  <c r="BM791" i="1"/>
  <c r="BM790" i="1"/>
  <c r="BL793" i="1"/>
  <c r="BI793" i="1"/>
  <c r="BL792" i="1"/>
  <c r="BI792" i="1"/>
  <c r="BL791" i="1"/>
  <c r="BI791" i="1"/>
  <c r="BL790" i="1"/>
  <c r="BI790" i="1"/>
  <c r="BP793" i="1"/>
  <c r="BP792" i="1"/>
  <c r="BP791" i="1"/>
  <c r="BP790" i="1"/>
  <c r="BR778" i="1"/>
  <c r="BK778" i="1"/>
  <c r="BJ778" i="1"/>
  <c r="BH778" i="1"/>
  <c r="BR777" i="1"/>
  <c r="BK777" i="1"/>
  <c r="BJ777" i="1"/>
  <c r="BH777" i="1"/>
  <c r="BR776" i="1"/>
  <c r="BK776" i="1"/>
  <c r="BJ776" i="1"/>
  <c r="BH776" i="1"/>
  <c r="BR775" i="1"/>
  <c r="BK775" i="1"/>
  <c r="BJ775" i="1"/>
  <c r="BH775" i="1"/>
  <c r="BR774" i="1"/>
  <c r="BK774" i="1"/>
  <c r="BJ774" i="1"/>
  <c r="BH774" i="1"/>
  <c r="BR773" i="1"/>
  <c r="BK773" i="1"/>
  <c r="BJ773" i="1"/>
  <c r="BH773" i="1"/>
  <c r="BR772" i="1"/>
  <c r="BK772" i="1"/>
  <c r="BJ772" i="1"/>
  <c r="BH772" i="1"/>
  <c r="BR771" i="1"/>
  <c r="BK771" i="1"/>
  <c r="BJ771" i="1"/>
  <c r="BH771" i="1"/>
  <c r="BN778" i="1"/>
  <c r="BN777" i="1"/>
  <c r="BN776" i="1"/>
  <c r="BN775" i="1"/>
  <c r="BN774" i="1"/>
  <c r="BN773" i="1"/>
  <c r="BN772" i="1"/>
  <c r="BN771" i="1"/>
  <c r="BS778" i="1"/>
  <c r="BS777" i="1"/>
  <c r="BS776" i="1"/>
  <c r="BS775" i="1"/>
  <c r="BS774" i="1"/>
  <c r="BS773" i="1"/>
  <c r="BS772" i="1"/>
  <c r="BS771" i="1"/>
  <c r="BO778" i="1"/>
  <c r="BO777" i="1"/>
  <c r="BO776" i="1"/>
  <c r="BO775" i="1"/>
  <c r="BO774" i="1"/>
  <c r="BO773" i="1"/>
  <c r="BO772" i="1"/>
  <c r="BO771" i="1"/>
  <c r="BT778" i="1"/>
  <c r="BT777" i="1"/>
  <c r="BT776" i="1"/>
  <c r="BT775" i="1"/>
  <c r="BT774" i="1"/>
  <c r="BT773" i="1"/>
  <c r="BT772" i="1"/>
  <c r="BT771" i="1"/>
  <c r="BU778" i="1"/>
  <c r="BQ778" i="1"/>
  <c r="BU777" i="1"/>
  <c r="BQ777" i="1"/>
  <c r="BU776" i="1"/>
  <c r="BQ776" i="1"/>
  <c r="BU775" i="1"/>
  <c r="BQ775" i="1"/>
  <c r="BU774" i="1"/>
  <c r="BQ774" i="1"/>
  <c r="BU773" i="1"/>
  <c r="BQ773" i="1"/>
  <c r="BU772" i="1"/>
  <c r="BQ772" i="1"/>
  <c r="BU771" i="1"/>
  <c r="BQ771" i="1"/>
  <c r="BM778" i="1"/>
  <c r="BM777" i="1"/>
  <c r="BM776" i="1"/>
  <c r="BM775" i="1"/>
  <c r="BM774" i="1"/>
  <c r="BM773" i="1"/>
  <c r="BM772" i="1"/>
  <c r="BM771" i="1"/>
  <c r="BL778" i="1"/>
  <c r="BI778" i="1"/>
  <c r="BL777" i="1"/>
  <c r="BI777" i="1"/>
  <c r="BL776" i="1"/>
  <c r="BI776" i="1"/>
  <c r="BL775" i="1"/>
  <c r="BI775" i="1"/>
  <c r="BL774" i="1"/>
  <c r="BI774" i="1"/>
  <c r="BL773" i="1"/>
  <c r="BI773" i="1"/>
  <c r="BL772" i="1"/>
  <c r="BI772" i="1"/>
  <c r="BL771" i="1"/>
  <c r="BI771" i="1"/>
  <c r="BP778" i="1"/>
  <c r="BP777" i="1"/>
  <c r="BP776" i="1"/>
  <c r="BP775" i="1"/>
  <c r="BP774" i="1"/>
  <c r="BP773" i="1"/>
  <c r="BP772" i="1"/>
  <c r="BP771" i="1"/>
  <c r="BR782" i="1"/>
  <c r="BK782" i="1"/>
  <c r="BJ782" i="1"/>
  <c r="BH782" i="1"/>
  <c r="BR781" i="1"/>
  <c r="BK781" i="1"/>
  <c r="BJ781" i="1"/>
  <c r="BH781" i="1"/>
  <c r="BR780" i="1"/>
  <c r="BK780" i="1"/>
  <c r="BJ780" i="1"/>
  <c r="BH780" i="1"/>
  <c r="BR779" i="1"/>
  <c r="BK779" i="1"/>
  <c r="BJ779" i="1"/>
  <c r="BH779" i="1"/>
  <c r="BN782" i="1"/>
  <c r="BN781" i="1"/>
  <c r="BN780" i="1"/>
  <c r="BN779" i="1"/>
  <c r="BS782" i="1"/>
  <c r="BS781" i="1"/>
  <c r="BS780" i="1"/>
  <c r="BS779" i="1"/>
  <c r="BO782" i="1"/>
  <c r="BO781" i="1"/>
  <c r="BO780" i="1"/>
  <c r="BO779" i="1"/>
  <c r="BT782" i="1"/>
  <c r="BT781" i="1"/>
  <c r="BT780" i="1"/>
  <c r="BT779" i="1"/>
  <c r="BU782" i="1"/>
  <c r="BQ782" i="1"/>
  <c r="BU781" i="1"/>
  <c r="BQ781" i="1"/>
  <c r="BU780" i="1"/>
  <c r="BQ780" i="1"/>
  <c r="BU779" i="1"/>
  <c r="BQ779" i="1"/>
  <c r="BM782" i="1"/>
  <c r="BM781" i="1"/>
  <c r="BM780" i="1"/>
  <c r="BM779" i="1"/>
  <c r="BL782" i="1"/>
  <c r="BI782" i="1"/>
  <c r="BL781" i="1"/>
  <c r="BI781" i="1"/>
  <c r="BL780" i="1"/>
  <c r="BI780" i="1"/>
  <c r="BL779" i="1"/>
  <c r="BI779" i="1"/>
  <c r="BP782" i="1"/>
  <c r="BP781" i="1"/>
  <c r="BP780" i="1"/>
  <c r="BP779" i="1"/>
  <c r="BR730" i="1"/>
  <c r="BK730" i="1"/>
  <c r="BJ730" i="1"/>
  <c r="BH730" i="1"/>
  <c r="BR729" i="1"/>
  <c r="BK729" i="1"/>
  <c r="BJ729" i="1"/>
  <c r="BH729" i="1"/>
  <c r="BR728" i="1"/>
  <c r="BK728" i="1"/>
  <c r="BJ728" i="1"/>
  <c r="BH728" i="1"/>
  <c r="BR727" i="1"/>
  <c r="BK727" i="1"/>
  <c r="BJ727" i="1"/>
  <c r="BH727" i="1"/>
  <c r="BN730" i="1"/>
  <c r="BN729" i="1"/>
  <c r="BN728" i="1"/>
  <c r="BN727" i="1"/>
  <c r="BS730" i="1"/>
  <c r="BS729" i="1"/>
  <c r="BS728" i="1"/>
  <c r="BS727" i="1"/>
  <c r="BO730" i="1"/>
  <c r="BO729" i="1"/>
  <c r="BO728" i="1"/>
  <c r="BO727" i="1"/>
  <c r="BT730" i="1"/>
  <c r="BT729" i="1"/>
  <c r="BT728" i="1"/>
  <c r="BT727" i="1"/>
  <c r="BU730" i="1"/>
  <c r="BQ730" i="1"/>
  <c r="BU729" i="1"/>
  <c r="BQ729" i="1"/>
  <c r="BU728" i="1"/>
  <c r="BQ728" i="1"/>
  <c r="BU727" i="1"/>
  <c r="BQ727" i="1"/>
  <c r="BM730" i="1"/>
  <c r="BM729" i="1"/>
  <c r="BM728" i="1"/>
  <c r="BM727" i="1"/>
  <c r="BL730" i="1"/>
  <c r="BI730" i="1"/>
  <c r="BL729" i="1"/>
  <c r="BI729" i="1"/>
  <c r="BL728" i="1"/>
  <c r="BI728" i="1"/>
  <c r="BL727" i="1"/>
  <c r="BI727" i="1"/>
  <c r="BP730" i="1"/>
  <c r="BP729" i="1"/>
  <c r="BP728" i="1"/>
  <c r="BP727" i="1"/>
  <c r="BR764" i="1"/>
  <c r="BK764" i="1"/>
  <c r="BJ764" i="1"/>
  <c r="BH764" i="1"/>
  <c r="BR763" i="1"/>
  <c r="BK763" i="1"/>
  <c r="BJ763" i="1"/>
  <c r="BH763" i="1"/>
  <c r="BR762" i="1"/>
  <c r="BK762" i="1"/>
  <c r="BJ762" i="1"/>
  <c r="BH762" i="1"/>
  <c r="BR761" i="1"/>
  <c r="BK761" i="1"/>
  <c r="BJ761" i="1"/>
  <c r="BH761" i="1"/>
  <c r="BR760" i="1"/>
  <c r="BK760" i="1"/>
  <c r="BJ760" i="1"/>
  <c r="BH760" i="1"/>
  <c r="BR759" i="1"/>
  <c r="BK759" i="1"/>
  <c r="BJ759" i="1"/>
  <c r="BH759" i="1"/>
  <c r="BR758" i="1"/>
  <c r="BK758" i="1"/>
  <c r="BJ758" i="1"/>
  <c r="BH758" i="1"/>
  <c r="BR757" i="1"/>
  <c r="BK757" i="1"/>
  <c r="BJ757" i="1"/>
  <c r="BH757" i="1"/>
  <c r="BR756" i="1"/>
  <c r="BK756" i="1"/>
  <c r="BJ756" i="1"/>
  <c r="BH756" i="1"/>
  <c r="BR755" i="1"/>
  <c r="BK755" i="1"/>
  <c r="BJ755" i="1"/>
  <c r="BH755" i="1"/>
  <c r="BN764" i="1"/>
  <c r="BN763" i="1"/>
  <c r="BN762" i="1"/>
  <c r="BN761" i="1"/>
  <c r="BN760" i="1"/>
  <c r="BN759" i="1"/>
  <c r="BN758" i="1"/>
  <c r="BN757" i="1"/>
  <c r="BN756" i="1"/>
  <c r="BN755" i="1"/>
  <c r="BS764" i="1"/>
  <c r="BS763" i="1"/>
  <c r="BS762" i="1"/>
  <c r="BS761" i="1"/>
  <c r="BS760" i="1"/>
  <c r="BS759" i="1"/>
  <c r="BS758" i="1"/>
  <c r="BS757" i="1"/>
  <c r="BS756" i="1"/>
  <c r="BS755" i="1"/>
  <c r="BO764" i="1"/>
  <c r="BO763" i="1"/>
  <c r="BO762" i="1"/>
  <c r="BO761" i="1"/>
  <c r="BO760" i="1"/>
  <c r="BO759" i="1"/>
  <c r="BO758" i="1"/>
  <c r="BO757" i="1"/>
  <c r="BO756" i="1"/>
  <c r="BO755" i="1"/>
  <c r="BT764" i="1"/>
  <c r="BT763" i="1"/>
  <c r="BT762" i="1"/>
  <c r="BT761" i="1"/>
  <c r="BT760" i="1"/>
  <c r="BT759" i="1"/>
  <c r="BT758" i="1"/>
  <c r="BT757" i="1"/>
  <c r="BT756" i="1"/>
  <c r="BT755" i="1"/>
  <c r="BU764" i="1"/>
  <c r="BQ764" i="1"/>
  <c r="BU763" i="1"/>
  <c r="BQ763" i="1"/>
  <c r="BU762" i="1"/>
  <c r="BQ762" i="1"/>
  <c r="BU761" i="1"/>
  <c r="BQ761" i="1"/>
  <c r="BU760" i="1"/>
  <c r="BQ760" i="1"/>
  <c r="BU759" i="1"/>
  <c r="BQ759" i="1"/>
  <c r="BU758" i="1"/>
  <c r="BQ758" i="1"/>
  <c r="BU757" i="1"/>
  <c r="BQ757" i="1"/>
  <c r="BU756" i="1"/>
  <c r="BQ756" i="1"/>
  <c r="BU755" i="1"/>
  <c r="BQ755" i="1"/>
  <c r="BM764" i="1"/>
  <c r="BM763" i="1"/>
  <c r="BM762" i="1"/>
  <c r="BM761" i="1"/>
  <c r="BM760" i="1"/>
  <c r="BM759" i="1"/>
  <c r="BM758" i="1"/>
  <c r="BM757" i="1"/>
  <c r="BM756" i="1"/>
  <c r="BM755" i="1"/>
  <c r="BL764" i="1"/>
  <c r="BI764" i="1"/>
  <c r="BL763" i="1"/>
  <c r="BI763" i="1"/>
  <c r="BL762" i="1"/>
  <c r="BI762" i="1"/>
  <c r="BL761" i="1"/>
  <c r="BI761" i="1"/>
  <c r="BL760" i="1"/>
  <c r="BI760" i="1"/>
  <c r="BL759" i="1"/>
  <c r="BI759" i="1"/>
  <c r="BL758" i="1"/>
  <c r="BI758" i="1"/>
  <c r="BL757" i="1"/>
  <c r="BI757" i="1"/>
  <c r="BL756" i="1"/>
  <c r="BI756" i="1"/>
  <c r="BL755" i="1"/>
  <c r="BI755" i="1"/>
  <c r="BP764" i="1"/>
  <c r="BP763" i="1"/>
  <c r="BP762" i="1"/>
  <c r="BP761" i="1"/>
  <c r="BP760" i="1"/>
  <c r="BP759" i="1"/>
  <c r="BP758" i="1"/>
  <c r="BP757" i="1"/>
  <c r="BP756" i="1"/>
  <c r="BP755" i="1"/>
  <c r="BR769" i="1"/>
  <c r="BK769" i="1"/>
  <c r="BJ769" i="1"/>
  <c r="BH769" i="1"/>
  <c r="BR768" i="1"/>
  <c r="BK768" i="1"/>
  <c r="BJ768" i="1"/>
  <c r="BH768" i="1"/>
  <c r="BR767" i="1"/>
  <c r="BK767" i="1"/>
  <c r="BJ767" i="1"/>
  <c r="BH767" i="1"/>
  <c r="BR766" i="1"/>
  <c r="BK766" i="1"/>
  <c r="BJ766" i="1"/>
  <c r="BH766" i="1"/>
  <c r="BR765" i="1"/>
  <c r="BK765" i="1"/>
  <c r="BJ765" i="1"/>
  <c r="BH765" i="1"/>
  <c r="BN769" i="1"/>
  <c r="BN768" i="1"/>
  <c r="BN767" i="1"/>
  <c r="BN766" i="1"/>
  <c r="BN765" i="1"/>
  <c r="BS769" i="1"/>
  <c r="BS768" i="1"/>
  <c r="BS767" i="1"/>
  <c r="BS766" i="1"/>
  <c r="BS765" i="1"/>
  <c r="BO769" i="1"/>
  <c r="BO768" i="1"/>
  <c r="BO767" i="1"/>
  <c r="BO766" i="1"/>
  <c r="BO765" i="1"/>
  <c r="BT769" i="1"/>
  <c r="BT768" i="1"/>
  <c r="BT767" i="1"/>
  <c r="BT766" i="1"/>
  <c r="BT765" i="1"/>
  <c r="BU769" i="1"/>
  <c r="BQ769" i="1"/>
  <c r="BU768" i="1"/>
  <c r="BQ768" i="1"/>
  <c r="BU767" i="1"/>
  <c r="BQ767" i="1"/>
  <c r="BU766" i="1"/>
  <c r="BQ766" i="1"/>
  <c r="BU765" i="1"/>
  <c r="BQ765" i="1"/>
  <c r="BM769" i="1"/>
  <c r="BM768" i="1"/>
  <c r="BM767" i="1"/>
  <c r="BM766" i="1"/>
  <c r="BM765" i="1"/>
  <c r="BL769" i="1"/>
  <c r="BI769" i="1"/>
  <c r="BL768" i="1"/>
  <c r="BI768" i="1"/>
  <c r="BL767" i="1"/>
  <c r="BI767" i="1"/>
  <c r="BL766" i="1"/>
  <c r="BI766" i="1"/>
  <c r="BL765" i="1"/>
  <c r="BI765" i="1"/>
  <c r="BP769" i="1"/>
  <c r="BP768" i="1"/>
  <c r="BP767" i="1"/>
  <c r="BP766" i="1"/>
  <c r="BP765" i="1"/>
  <c r="BR726" i="1"/>
  <c r="BK726" i="1"/>
  <c r="BJ726" i="1"/>
  <c r="BH726" i="1"/>
  <c r="BR725" i="1"/>
  <c r="BK725" i="1"/>
  <c r="BJ725" i="1"/>
  <c r="BH725" i="1"/>
  <c r="BR724" i="1"/>
  <c r="BK724" i="1"/>
  <c r="BJ724" i="1"/>
  <c r="BH724" i="1"/>
  <c r="BN726" i="1"/>
  <c r="BN725" i="1"/>
  <c r="BN724" i="1"/>
  <c r="BS726" i="1"/>
  <c r="BS725" i="1"/>
  <c r="BS724" i="1"/>
  <c r="BO726" i="1"/>
  <c r="BO725" i="1"/>
  <c r="BO724" i="1"/>
  <c r="BT726" i="1"/>
  <c r="BT725" i="1"/>
  <c r="BT724" i="1"/>
  <c r="BU726" i="1"/>
  <c r="BQ726" i="1"/>
  <c r="BU725" i="1"/>
  <c r="BQ725" i="1"/>
  <c r="BU724" i="1"/>
  <c r="BQ724" i="1"/>
  <c r="BM726" i="1"/>
  <c r="BM725" i="1"/>
  <c r="BM724" i="1"/>
  <c r="BL726" i="1"/>
  <c r="BI726" i="1"/>
  <c r="BL725" i="1"/>
  <c r="BI725" i="1"/>
  <c r="BL724" i="1"/>
  <c r="BI724" i="1"/>
  <c r="BP726" i="1"/>
  <c r="BP725" i="1"/>
  <c r="BP724" i="1"/>
  <c r="BR733" i="1"/>
  <c r="BK733" i="1"/>
  <c r="BJ733" i="1"/>
  <c r="BH733" i="1"/>
  <c r="BR732" i="1"/>
  <c r="BK732" i="1"/>
  <c r="BJ732" i="1"/>
  <c r="BH732" i="1"/>
  <c r="BR731" i="1"/>
  <c r="BK731" i="1"/>
  <c r="BJ731" i="1"/>
  <c r="BH731" i="1"/>
  <c r="BR723" i="1"/>
  <c r="BK723" i="1"/>
  <c r="BJ723" i="1"/>
  <c r="BH723" i="1"/>
  <c r="BN733" i="1"/>
  <c r="BN732" i="1"/>
  <c r="BN731" i="1"/>
  <c r="BN723" i="1"/>
  <c r="BS733" i="1"/>
  <c r="BS732" i="1"/>
  <c r="BS731" i="1"/>
  <c r="BS723" i="1"/>
  <c r="BO733" i="1"/>
  <c r="BO732" i="1"/>
  <c r="BO731" i="1"/>
  <c r="BO723" i="1"/>
  <c r="BT733" i="1"/>
  <c r="BT732" i="1"/>
  <c r="BT731" i="1"/>
  <c r="BT723" i="1"/>
  <c r="BU733" i="1"/>
  <c r="BQ733" i="1"/>
  <c r="BU732" i="1"/>
  <c r="BQ732" i="1"/>
  <c r="BU731" i="1"/>
  <c r="BQ731" i="1"/>
  <c r="BU723" i="1"/>
  <c r="BQ723" i="1"/>
  <c r="BM733" i="1"/>
  <c r="BM732" i="1"/>
  <c r="BM731" i="1"/>
  <c r="BM723" i="1"/>
  <c r="BL733" i="1"/>
  <c r="BI733" i="1"/>
  <c r="BL732" i="1"/>
  <c r="BI732" i="1"/>
  <c r="BL731" i="1"/>
  <c r="BI731" i="1"/>
  <c r="BL723" i="1"/>
  <c r="BI723" i="1"/>
  <c r="BP733" i="1"/>
  <c r="BP732" i="1"/>
  <c r="BP731" i="1"/>
  <c r="BP723" i="1"/>
  <c r="BR722" i="1"/>
  <c r="BK722" i="1"/>
  <c r="BJ722" i="1"/>
  <c r="BH722" i="1"/>
  <c r="BR721" i="1"/>
  <c r="BK721" i="1"/>
  <c r="BJ721" i="1"/>
  <c r="BH721" i="1"/>
  <c r="BR720" i="1"/>
  <c r="BK720" i="1"/>
  <c r="BJ720" i="1"/>
  <c r="BH720" i="1"/>
  <c r="BN722" i="1"/>
  <c r="BN721" i="1"/>
  <c r="BN720" i="1"/>
  <c r="BS722" i="1"/>
  <c r="BS721" i="1"/>
  <c r="BS720" i="1"/>
  <c r="BO722" i="1"/>
  <c r="BO721" i="1"/>
  <c r="BO720" i="1"/>
  <c r="BT722" i="1"/>
  <c r="BT721" i="1"/>
  <c r="BT720" i="1"/>
  <c r="BU722" i="1"/>
  <c r="BQ722" i="1"/>
  <c r="BU721" i="1"/>
  <c r="BQ721" i="1"/>
  <c r="BU720" i="1"/>
  <c r="BQ720" i="1"/>
  <c r="BM722" i="1"/>
  <c r="BM721" i="1"/>
  <c r="BM720" i="1"/>
  <c r="BL722" i="1"/>
  <c r="BI722" i="1"/>
  <c r="BL721" i="1"/>
  <c r="BI721" i="1"/>
  <c r="BL720" i="1"/>
  <c r="BI720" i="1"/>
  <c r="BP722" i="1"/>
  <c r="BP721" i="1"/>
  <c r="BP720" i="1"/>
  <c r="BR716" i="1"/>
  <c r="BK716" i="1"/>
  <c r="BJ716" i="1"/>
  <c r="BH716" i="1"/>
  <c r="BR715" i="1"/>
  <c r="BK715" i="1"/>
  <c r="BJ715" i="1"/>
  <c r="BH715" i="1"/>
  <c r="BR714" i="1"/>
  <c r="BK714" i="1"/>
  <c r="BJ714" i="1"/>
  <c r="BH714" i="1"/>
  <c r="BR713" i="1"/>
  <c r="BK713" i="1"/>
  <c r="BJ713" i="1"/>
  <c r="BH713" i="1"/>
  <c r="BR712" i="1"/>
  <c r="BK712" i="1"/>
  <c r="BJ712" i="1"/>
  <c r="BH712" i="1"/>
  <c r="BR711" i="1"/>
  <c r="BK711" i="1"/>
  <c r="BJ711" i="1"/>
  <c r="BH711" i="1"/>
  <c r="BN716" i="1"/>
  <c r="BN715" i="1"/>
  <c r="BN714" i="1"/>
  <c r="BN713" i="1"/>
  <c r="BN712" i="1"/>
  <c r="BN711" i="1"/>
  <c r="BS716" i="1"/>
  <c r="BS715" i="1"/>
  <c r="BS714" i="1"/>
  <c r="BS713" i="1"/>
  <c r="BS712" i="1"/>
  <c r="BS711" i="1"/>
  <c r="BO716" i="1"/>
  <c r="BO715" i="1"/>
  <c r="BO714" i="1"/>
  <c r="BO713" i="1"/>
  <c r="BO712" i="1"/>
  <c r="BO711" i="1"/>
  <c r="BT716" i="1"/>
  <c r="BT715" i="1"/>
  <c r="BT714" i="1"/>
  <c r="BT713" i="1"/>
  <c r="BT712" i="1"/>
  <c r="BT711" i="1"/>
  <c r="BU716" i="1"/>
  <c r="BQ716" i="1"/>
  <c r="BU715" i="1"/>
  <c r="BQ715" i="1"/>
  <c r="BU714" i="1"/>
  <c r="BQ714" i="1"/>
  <c r="BU713" i="1"/>
  <c r="BQ713" i="1"/>
  <c r="BU712" i="1"/>
  <c r="BQ712" i="1"/>
  <c r="BU711" i="1"/>
  <c r="BQ711" i="1"/>
  <c r="BM716" i="1"/>
  <c r="BM715" i="1"/>
  <c r="BM714" i="1"/>
  <c r="BM713" i="1"/>
  <c r="BM712" i="1"/>
  <c r="BM711" i="1"/>
  <c r="BL716" i="1"/>
  <c r="BI716" i="1"/>
  <c r="BL715" i="1"/>
  <c r="BI715" i="1"/>
  <c r="BL714" i="1"/>
  <c r="BI714" i="1"/>
  <c r="BL713" i="1"/>
  <c r="BI713" i="1"/>
  <c r="BL712" i="1"/>
  <c r="BI712" i="1"/>
  <c r="BL711" i="1"/>
  <c r="BI711" i="1"/>
  <c r="BP716" i="1"/>
  <c r="BP715" i="1"/>
  <c r="BP714" i="1"/>
  <c r="BP713" i="1"/>
  <c r="BP712" i="1"/>
  <c r="BP711" i="1"/>
  <c r="BR719" i="1"/>
  <c r="BK719" i="1"/>
  <c r="BJ719" i="1"/>
  <c r="BH719" i="1"/>
  <c r="BR718" i="1"/>
  <c r="BK718" i="1"/>
  <c r="BJ718" i="1"/>
  <c r="BH718" i="1"/>
  <c r="BR717" i="1"/>
  <c r="BK717" i="1"/>
  <c r="BJ717" i="1"/>
  <c r="BH717" i="1"/>
  <c r="BN719" i="1"/>
  <c r="BN718" i="1"/>
  <c r="BN717" i="1"/>
  <c r="BS719" i="1"/>
  <c r="BS718" i="1"/>
  <c r="BS717" i="1"/>
  <c r="BO719" i="1"/>
  <c r="BO718" i="1"/>
  <c r="BO717" i="1"/>
  <c r="BT719" i="1"/>
  <c r="BT718" i="1"/>
  <c r="BT717" i="1"/>
  <c r="BU719" i="1"/>
  <c r="BQ719" i="1"/>
  <c r="BU718" i="1"/>
  <c r="BQ718" i="1"/>
  <c r="BU717" i="1"/>
  <c r="BQ717" i="1"/>
  <c r="BM719" i="1"/>
  <c r="BM718" i="1"/>
  <c r="BM717" i="1"/>
  <c r="BL719" i="1"/>
  <c r="BI719" i="1"/>
  <c r="BL718" i="1"/>
  <c r="BI718" i="1"/>
  <c r="BL717" i="1"/>
  <c r="BI717" i="1"/>
  <c r="BP719" i="1"/>
  <c r="BP718" i="1"/>
  <c r="BP717" i="1"/>
  <c r="BR708" i="1"/>
  <c r="BK708" i="1"/>
  <c r="BJ708" i="1"/>
  <c r="BH708" i="1"/>
  <c r="BR707" i="1"/>
  <c r="BK707" i="1"/>
  <c r="BJ707" i="1"/>
  <c r="BH707" i="1"/>
  <c r="BN708" i="1"/>
  <c r="BN707" i="1"/>
  <c r="BS708" i="1"/>
  <c r="BS707" i="1"/>
  <c r="BO708" i="1"/>
  <c r="BO707" i="1"/>
  <c r="BT708" i="1"/>
  <c r="BT707" i="1"/>
  <c r="BU708" i="1"/>
  <c r="BQ708" i="1"/>
  <c r="BU707" i="1"/>
  <c r="BQ707" i="1"/>
  <c r="BM708" i="1"/>
  <c r="BM707" i="1"/>
  <c r="BL708" i="1"/>
  <c r="BI708" i="1"/>
  <c r="BL707" i="1"/>
  <c r="BI707" i="1"/>
  <c r="BP708" i="1"/>
  <c r="BP707" i="1"/>
  <c r="BR701" i="1"/>
  <c r="BK701" i="1"/>
  <c r="BJ701" i="1"/>
  <c r="BH701" i="1"/>
  <c r="BR700" i="1"/>
  <c r="BK700" i="1"/>
  <c r="BJ700" i="1"/>
  <c r="BH700" i="1"/>
  <c r="BR699" i="1"/>
  <c r="BK699" i="1"/>
  <c r="BJ699" i="1"/>
  <c r="BH699" i="1"/>
  <c r="BR698" i="1"/>
  <c r="BK698" i="1"/>
  <c r="BJ698" i="1"/>
  <c r="BH698" i="1"/>
  <c r="BR697" i="1"/>
  <c r="BK697" i="1"/>
  <c r="BJ697" i="1"/>
  <c r="BH697" i="1"/>
  <c r="BR696" i="1"/>
  <c r="BK696" i="1"/>
  <c r="BJ696" i="1"/>
  <c r="BH696" i="1"/>
  <c r="BR695" i="1"/>
  <c r="BK695" i="1"/>
  <c r="BJ695" i="1"/>
  <c r="BH695" i="1"/>
  <c r="BR694" i="1"/>
  <c r="BK694" i="1"/>
  <c r="BJ694" i="1"/>
  <c r="BH694" i="1"/>
  <c r="BR693" i="1"/>
  <c r="BK693" i="1"/>
  <c r="BJ693" i="1"/>
  <c r="BH693" i="1"/>
  <c r="BR692" i="1"/>
  <c r="BK692" i="1"/>
  <c r="BJ692" i="1"/>
  <c r="BH692" i="1"/>
  <c r="BN701" i="1"/>
  <c r="BN700" i="1"/>
  <c r="BN699" i="1"/>
  <c r="BN698" i="1"/>
  <c r="BN697" i="1"/>
  <c r="BN696" i="1"/>
  <c r="BN695" i="1"/>
  <c r="BN694" i="1"/>
  <c r="BN693" i="1"/>
  <c r="BN692" i="1"/>
  <c r="BS701" i="1"/>
  <c r="BS700" i="1"/>
  <c r="BS699" i="1"/>
  <c r="BS698" i="1"/>
  <c r="BS697" i="1"/>
  <c r="BS696" i="1"/>
  <c r="BS695" i="1"/>
  <c r="BS694" i="1"/>
  <c r="BS693" i="1"/>
  <c r="BS692" i="1"/>
  <c r="BO701" i="1"/>
  <c r="BO700" i="1"/>
  <c r="BO699" i="1"/>
  <c r="BO698" i="1"/>
  <c r="BO697" i="1"/>
  <c r="BO696" i="1"/>
  <c r="BO695" i="1"/>
  <c r="BO694" i="1"/>
  <c r="BO693" i="1"/>
  <c r="BO692" i="1"/>
  <c r="BT701" i="1"/>
  <c r="BT700" i="1"/>
  <c r="BT699" i="1"/>
  <c r="BT698" i="1"/>
  <c r="BT697" i="1"/>
  <c r="BT696" i="1"/>
  <c r="BT695" i="1"/>
  <c r="BT694" i="1"/>
  <c r="BT693" i="1"/>
  <c r="BT692" i="1"/>
  <c r="BU701" i="1"/>
  <c r="BQ701" i="1"/>
  <c r="BU700" i="1"/>
  <c r="BQ700" i="1"/>
  <c r="BU699" i="1"/>
  <c r="BQ699" i="1"/>
  <c r="BU698" i="1"/>
  <c r="BQ698" i="1"/>
  <c r="BU697" i="1"/>
  <c r="BQ697" i="1"/>
  <c r="BU696" i="1"/>
  <c r="BQ696" i="1"/>
  <c r="BU695" i="1"/>
  <c r="BQ695" i="1"/>
  <c r="BU694" i="1"/>
  <c r="BQ694" i="1"/>
  <c r="BU693" i="1"/>
  <c r="BQ693" i="1"/>
  <c r="BU692" i="1"/>
  <c r="BQ692" i="1"/>
  <c r="BM701" i="1"/>
  <c r="BM700" i="1"/>
  <c r="BM699" i="1"/>
  <c r="BM698" i="1"/>
  <c r="BM697" i="1"/>
  <c r="BM696" i="1"/>
  <c r="BM695" i="1"/>
  <c r="BM694" i="1"/>
  <c r="BM693" i="1"/>
  <c r="BM692" i="1"/>
  <c r="BL701" i="1"/>
  <c r="BI701" i="1"/>
  <c r="BL700" i="1"/>
  <c r="BI700" i="1"/>
  <c r="BL699" i="1"/>
  <c r="BI699" i="1"/>
  <c r="BL698" i="1"/>
  <c r="BI698" i="1"/>
  <c r="BL697" i="1"/>
  <c r="BI697" i="1"/>
  <c r="BL696" i="1"/>
  <c r="BI696" i="1"/>
  <c r="BL695" i="1"/>
  <c r="BI695" i="1"/>
  <c r="BL694" i="1"/>
  <c r="BI694" i="1"/>
  <c r="BL693" i="1"/>
  <c r="BI693" i="1"/>
  <c r="BL692" i="1"/>
  <c r="BI692" i="1"/>
  <c r="BP701" i="1"/>
  <c r="BP700" i="1"/>
  <c r="BP699" i="1"/>
  <c r="BP698" i="1"/>
  <c r="BP697" i="1"/>
  <c r="BP696" i="1"/>
  <c r="BP695" i="1"/>
  <c r="BP694" i="1"/>
  <c r="BP693" i="1"/>
  <c r="BP692" i="1"/>
  <c r="BR706" i="1"/>
  <c r="BK706" i="1"/>
  <c r="BJ706" i="1"/>
  <c r="BH706" i="1"/>
  <c r="BR705" i="1"/>
  <c r="BK705" i="1"/>
  <c r="BJ705" i="1"/>
  <c r="BH705" i="1"/>
  <c r="BR704" i="1"/>
  <c r="BK704" i="1"/>
  <c r="BJ704" i="1"/>
  <c r="BH704" i="1"/>
  <c r="BR703" i="1"/>
  <c r="BK703" i="1"/>
  <c r="BJ703" i="1"/>
  <c r="BH703" i="1"/>
  <c r="BR702" i="1"/>
  <c r="BK702" i="1"/>
  <c r="BJ702" i="1"/>
  <c r="BH702" i="1"/>
  <c r="BN706" i="1"/>
  <c r="BN705" i="1"/>
  <c r="BN704" i="1"/>
  <c r="BN703" i="1"/>
  <c r="BN702" i="1"/>
  <c r="BS706" i="1"/>
  <c r="BS705" i="1"/>
  <c r="BS704" i="1"/>
  <c r="BS703" i="1"/>
  <c r="BS702" i="1"/>
  <c r="BO706" i="1"/>
  <c r="BO705" i="1"/>
  <c r="BO704" i="1"/>
  <c r="BO703" i="1"/>
  <c r="BO702" i="1"/>
  <c r="BT706" i="1"/>
  <c r="BT705" i="1"/>
  <c r="BT704" i="1"/>
  <c r="BT703" i="1"/>
  <c r="BT702" i="1"/>
  <c r="BU706" i="1"/>
  <c r="BQ706" i="1"/>
  <c r="BU705" i="1"/>
  <c r="BQ705" i="1"/>
  <c r="BU704" i="1"/>
  <c r="BQ704" i="1"/>
  <c r="BU703" i="1"/>
  <c r="BQ703" i="1"/>
  <c r="BU702" i="1"/>
  <c r="BQ702" i="1"/>
  <c r="BM706" i="1"/>
  <c r="BM705" i="1"/>
  <c r="BM704" i="1"/>
  <c r="BM703" i="1"/>
  <c r="BM702" i="1"/>
  <c r="BL706" i="1"/>
  <c r="BI706" i="1"/>
  <c r="BL705" i="1"/>
  <c r="BI705" i="1"/>
  <c r="BL704" i="1"/>
  <c r="BI704" i="1"/>
  <c r="BL703" i="1"/>
  <c r="BI703" i="1"/>
  <c r="BL702" i="1"/>
  <c r="BI702" i="1"/>
  <c r="BP706" i="1"/>
  <c r="BP705" i="1"/>
  <c r="BP704" i="1"/>
  <c r="BP703" i="1"/>
  <c r="BP702" i="1"/>
  <c r="BR754" i="1"/>
  <c r="BK754" i="1"/>
  <c r="BJ754" i="1"/>
  <c r="BH754" i="1"/>
  <c r="BR753" i="1"/>
  <c r="BK753" i="1"/>
  <c r="BJ753" i="1"/>
  <c r="BH753" i="1"/>
  <c r="BR752" i="1"/>
  <c r="BK752" i="1"/>
  <c r="BJ752" i="1"/>
  <c r="BH752" i="1"/>
  <c r="BR751" i="1"/>
  <c r="BK751" i="1"/>
  <c r="BJ751" i="1"/>
  <c r="BH751" i="1"/>
  <c r="BR750" i="1"/>
  <c r="BK750" i="1"/>
  <c r="BJ750" i="1"/>
  <c r="BH750" i="1"/>
  <c r="BN754" i="1"/>
  <c r="BN753" i="1"/>
  <c r="BN752" i="1"/>
  <c r="BN751" i="1"/>
  <c r="BN750" i="1"/>
  <c r="BS754" i="1"/>
  <c r="BS753" i="1"/>
  <c r="BS752" i="1"/>
  <c r="BS751" i="1"/>
  <c r="BS750" i="1"/>
  <c r="BO754" i="1"/>
  <c r="BO753" i="1"/>
  <c r="BO752" i="1"/>
  <c r="BO751" i="1"/>
  <c r="BO750" i="1"/>
  <c r="BT754" i="1"/>
  <c r="BT753" i="1"/>
  <c r="BT752" i="1"/>
  <c r="BT751" i="1"/>
  <c r="BT750" i="1"/>
  <c r="BU754" i="1"/>
  <c r="BQ754" i="1"/>
  <c r="BU753" i="1"/>
  <c r="BQ753" i="1"/>
  <c r="BU752" i="1"/>
  <c r="BQ752" i="1"/>
  <c r="BU751" i="1"/>
  <c r="BQ751" i="1"/>
  <c r="BU750" i="1"/>
  <c r="BQ750" i="1"/>
  <c r="BM754" i="1"/>
  <c r="BM753" i="1"/>
  <c r="BM752" i="1"/>
  <c r="BM751" i="1"/>
  <c r="BM750" i="1"/>
  <c r="BL754" i="1"/>
  <c r="BI754" i="1"/>
  <c r="BL753" i="1"/>
  <c r="BI753" i="1"/>
  <c r="BL752" i="1"/>
  <c r="BI752" i="1"/>
  <c r="BL751" i="1"/>
  <c r="BI751" i="1"/>
  <c r="BL750" i="1"/>
  <c r="BI750" i="1"/>
  <c r="BP754" i="1"/>
  <c r="BP753" i="1"/>
  <c r="BP752" i="1"/>
  <c r="BP751" i="1"/>
  <c r="BP750" i="1"/>
  <c r="BR1006" i="1"/>
  <c r="BK1006" i="1"/>
  <c r="BH1006" i="1"/>
  <c r="BR1005" i="1"/>
  <c r="BK1005" i="1"/>
  <c r="BH1005" i="1"/>
  <c r="BR1004" i="1"/>
  <c r="BK1004" i="1"/>
  <c r="BH1004" i="1"/>
  <c r="BR1003" i="1"/>
  <c r="BK1003" i="1"/>
  <c r="BH1003" i="1"/>
  <c r="BR1002" i="1"/>
  <c r="BK1002" i="1"/>
  <c r="BH1002" i="1"/>
  <c r="BR1001" i="1"/>
  <c r="BK1001" i="1"/>
  <c r="BH1001" i="1"/>
  <c r="BR1000" i="1"/>
  <c r="BK1000" i="1"/>
  <c r="BH1000" i="1"/>
  <c r="BR999" i="1"/>
  <c r="BK999" i="1"/>
  <c r="BH999" i="1"/>
  <c r="BR998" i="1"/>
  <c r="BK998" i="1"/>
  <c r="BH998" i="1"/>
  <c r="BN1006" i="1"/>
  <c r="BN1005" i="1"/>
  <c r="BN1004" i="1"/>
  <c r="BN1003" i="1"/>
  <c r="BN1002" i="1"/>
  <c r="BN1001" i="1"/>
  <c r="BN1000" i="1"/>
  <c r="BN999" i="1"/>
  <c r="BN998" i="1"/>
  <c r="BS1006" i="1"/>
  <c r="BS1005" i="1"/>
  <c r="BS1004" i="1"/>
  <c r="BS1003" i="1"/>
  <c r="BS1002" i="1"/>
  <c r="BS1001" i="1"/>
  <c r="BS1000" i="1"/>
  <c r="BS999" i="1"/>
  <c r="BS998" i="1"/>
  <c r="BO1006" i="1"/>
  <c r="BO1005" i="1"/>
  <c r="BO1004" i="1"/>
  <c r="BO1003" i="1"/>
  <c r="BO1002" i="1"/>
  <c r="BO1001" i="1"/>
  <c r="BO1000" i="1"/>
  <c r="BO999" i="1"/>
  <c r="BO998" i="1"/>
  <c r="BT1006" i="1"/>
  <c r="BT1005" i="1"/>
  <c r="BT1004" i="1"/>
  <c r="BT1003" i="1"/>
  <c r="BT1002" i="1"/>
  <c r="BT1001" i="1"/>
  <c r="BT1000" i="1"/>
  <c r="BT999" i="1"/>
  <c r="BT998" i="1"/>
  <c r="BU1006" i="1"/>
  <c r="BQ1006" i="1"/>
  <c r="BU1005" i="1"/>
  <c r="BQ1005" i="1"/>
  <c r="BU1004" i="1"/>
  <c r="BQ1004" i="1"/>
  <c r="BU1003" i="1"/>
  <c r="BQ1003" i="1"/>
  <c r="BU1002" i="1"/>
  <c r="BQ1002" i="1"/>
  <c r="BU1001" i="1"/>
  <c r="BQ1001" i="1"/>
  <c r="BU1000" i="1"/>
  <c r="BQ1000" i="1"/>
  <c r="BU999" i="1"/>
  <c r="BQ999" i="1"/>
  <c r="BU998" i="1"/>
  <c r="BQ998" i="1"/>
  <c r="BM1006" i="1"/>
  <c r="BM1005" i="1"/>
  <c r="BM1004" i="1"/>
  <c r="BM1003" i="1"/>
  <c r="BM1002" i="1"/>
  <c r="BM1001" i="1"/>
  <c r="BM1000" i="1"/>
  <c r="BM999" i="1"/>
  <c r="BM998" i="1"/>
  <c r="BL1006" i="1"/>
  <c r="BI1006" i="1"/>
  <c r="BL1005" i="1"/>
  <c r="BI1005" i="1"/>
  <c r="BL1004" i="1"/>
  <c r="BI1004" i="1"/>
  <c r="BL1003" i="1"/>
  <c r="BI1003" i="1"/>
  <c r="BL1002" i="1"/>
  <c r="BI1002" i="1"/>
  <c r="BL1001" i="1"/>
  <c r="BI1001" i="1"/>
  <c r="BL1000" i="1"/>
  <c r="BI1000" i="1"/>
  <c r="BL999" i="1"/>
  <c r="BI999" i="1"/>
  <c r="BL998" i="1"/>
  <c r="BI998" i="1"/>
  <c r="BP1006" i="1"/>
  <c r="BP1005" i="1"/>
  <c r="BP1004" i="1"/>
  <c r="BP1003" i="1"/>
  <c r="BP1002" i="1"/>
  <c r="BP1001" i="1"/>
  <c r="BP1000" i="1"/>
  <c r="BP999" i="1"/>
  <c r="BP998" i="1"/>
  <c r="BR1011" i="1"/>
  <c r="BK1011" i="1"/>
  <c r="BH1011" i="1"/>
  <c r="BR1010" i="1"/>
  <c r="BK1010" i="1"/>
  <c r="BH1010" i="1"/>
  <c r="BR1009" i="1"/>
  <c r="BK1009" i="1"/>
  <c r="BH1009" i="1"/>
  <c r="BR1008" i="1"/>
  <c r="BK1008" i="1"/>
  <c r="BH1008" i="1"/>
  <c r="BR1007" i="1"/>
  <c r="BK1007" i="1"/>
  <c r="BH1007" i="1"/>
  <c r="BN1011" i="1"/>
  <c r="BN1010" i="1"/>
  <c r="BN1009" i="1"/>
  <c r="BN1008" i="1"/>
  <c r="BN1007" i="1"/>
  <c r="BS1011" i="1"/>
  <c r="BS1010" i="1"/>
  <c r="BS1009" i="1"/>
  <c r="BS1008" i="1"/>
  <c r="BS1007" i="1"/>
  <c r="BO1011" i="1"/>
  <c r="BO1010" i="1"/>
  <c r="BO1009" i="1"/>
  <c r="BO1008" i="1"/>
  <c r="BO1007" i="1"/>
  <c r="BT1011" i="1"/>
  <c r="BT1010" i="1"/>
  <c r="BT1009" i="1"/>
  <c r="BT1008" i="1"/>
  <c r="BT1007" i="1"/>
  <c r="BU1011" i="1"/>
  <c r="BQ1011" i="1"/>
  <c r="BU1010" i="1"/>
  <c r="BQ1010" i="1"/>
  <c r="BU1009" i="1"/>
  <c r="BQ1009" i="1"/>
  <c r="BU1008" i="1"/>
  <c r="BQ1008" i="1"/>
  <c r="BU1007" i="1"/>
  <c r="BQ1007" i="1"/>
  <c r="BM1011" i="1"/>
  <c r="BM1010" i="1"/>
  <c r="BM1009" i="1"/>
  <c r="BM1008" i="1"/>
  <c r="BM1007" i="1"/>
  <c r="BL1011" i="1"/>
  <c r="BI1011" i="1"/>
  <c r="BL1010" i="1"/>
  <c r="BI1010" i="1"/>
  <c r="BL1009" i="1"/>
  <c r="BI1009" i="1"/>
  <c r="BL1008" i="1"/>
  <c r="BI1008" i="1"/>
  <c r="BL1007" i="1"/>
  <c r="BI1007" i="1"/>
  <c r="BP1011" i="1"/>
  <c r="BP1010" i="1"/>
  <c r="BP1009" i="1"/>
  <c r="BP1008" i="1"/>
  <c r="BP1007" i="1"/>
  <c r="BR906" i="1"/>
  <c r="BK906" i="1"/>
  <c r="BJ906" i="1"/>
  <c r="BH906" i="1"/>
  <c r="BR905" i="1"/>
  <c r="BK905" i="1"/>
  <c r="BJ905" i="1"/>
  <c r="BH905" i="1"/>
  <c r="BR904" i="1"/>
  <c r="BK904" i="1"/>
  <c r="BJ904" i="1"/>
  <c r="BH904" i="1"/>
  <c r="BR903" i="1"/>
  <c r="BK903" i="1"/>
  <c r="BJ903" i="1"/>
  <c r="BH903" i="1"/>
  <c r="BR902" i="1"/>
  <c r="BK902" i="1"/>
  <c r="BJ902" i="1"/>
  <c r="BH902" i="1"/>
  <c r="BR901" i="1"/>
  <c r="BK901" i="1"/>
  <c r="BJ901" i="1"/>
  <c r="BH901" i="1"/>
  <c r="BR900" i="1"/>
  <c r="BK900" i="1"/>
  <c r="BJ900" i="1"/>
  <c r="BH900" i="1"/>
  <c r="BR899" i="1"/>
  <c r="BK899" i="1"/>
  <c r="BJ899" i="1"/>
  <c r="BH899" i="1"/>
  <c r="BR898" i="1"/>
  <c r="BK898" i="1"/>
  <c r="BJ898" i="1"/>
  <c r="BH898" i="1"/>
  <c r="BR897" i="1"/>
  <c r="BK897" i="1"/>
  <c r="BJ897" i="1"/>
  <c r="BH897" i="1"/>
  <c r="BN906" i="1"/>
  <c r="BN905" i="1"/>
  <c r="BN904" i="1"/>
  <c r="BN903" i="1"/>
  <c r="BN902" i="1"/>
  <c r="BN901" i="1"/>
  <c r="BN900" i="1"/>
  <c r="BN899" i="1"/>
  <c r="BN898" i="1"/>
  <c r="BN897" i="1"/>
  <c r="BS906" i="1"/>
  <c r="BS905" i="1"/>
  <c r="BS904" i="1"/>
  <c r="BS903" i="1"/>
  <c r="BS902" i="1"/>
  <c r="BS901" i="1"/>
  <c r="BS900" i="1"/>
  <c r="BS899" i="1"/>
  <c r="BS898" i="1"/>
  <c r="BS897" i="1"/>
  <c r="BO906" i="1"/>
  <c r="BO905" i="1"/>
  <c r="BO904" i="1"/>
  <c r="BO903" i="1"/>
  <c r="BO902" i="1"/>
  <c r="BO901" i="1"/>
  <c r="BO900" i="1"/>
  <c r="BO899" i="1"/>
  <c r="BO898" i="1"/>
  <c r="BO897" i="1"/>
  <c r="BT906" i="1"/>
  <c r="BT905" i="1"/>
  <c r="BT904" i="1"/>
  <c r="BT903" i="1"/>
  <c r="BT902" i="1"/>
  <c r="BT901" i="1"/>
  <c r="BT900" i="1"/>
  <c r="BT899" i="1"/>
  <c r="BT898" i="1"/>
  <c r="BT897" i="1"/>
  <c r="BU906" i="1"/>
  <c r="BQ906" i="1"/>
  <c r="BU905" i="1"/>
  <c r="BQ905" i="1"/>
  <c r="BU904" i="1"/>
  <c r="BQ904" i="1"/>
  <c r="BU903" i="1"/>
  <c r="BQ903" i="1"/>
  <c r="BU902" i="1"/>
  <c r="BQ902" i="1"/>
  <c r="BU901" i="1"/>
  <c r="BQ901" i="1"/>
  <c r="BU900" i="1"/>
  <c r="BQ900" i="1"/>
  <c r="BU899" i="1"/>
  <c r="BQ899" i="1"/>
  <c r="BU898" i="1"/>
  <c r="BQ898" i="1"/>
  <c r="BU897" i="1"/>
  <c r="BQ897" i="1"/>
  <c r="BM906" i="1"/>
  <c r="BM905" i="1"/>
  <c r="BM904" i="1"/>
  <c r="BM903" i="1"/>
  <c r="BM902" i="1"/>
  <c r="BM901" i="1"/>
  <c r="BM900" i="1"/>
  <c r="BM899" i="1"/>
  <c r="BM898" i="1"/>
  <c r="BM897" i="1"/>
  <c r="BL906" i="1"/>
  <c r="BI906" i="1"/>
  <c r="BL905" i="1"/>
  <c r="BI905" i="1"/>
  <c r="BL904" i="1"/>
  <c r="BI904" i="1"/>
  <c r="BL903" i="1"/>
  <c r="BI903" i="1"/>
  <c r="BL902" i="1"/>
  <c r="BI902" i="1"/>
  <c r="BL901" i="1"/>
  <c r="BI901" i="1"/>
  <c r="BL900" i="1"/>
  <c r="BI900" i="1"/>
  <c r="BL899" i="1"/>
  <c r="BI899" i="1"/>
  <c r="BL898" i="1"/>
  <c r="BI898" i="1"/>
  <c r="BL897" i="1"/>
  <c r="BI897" i="1"/>
  <c r="BP906" i="1"/>
  <c r="BP905" i="1"/>
  <c r="BP904" i="1"/>
  <c r="BP903" i="1"/>
  <c r="BP902" i="1"/>
  <c r="BP901" i="1"/>
  <c r="BP900" i="1"/>
  <c r="BP899" i="1"/>
  <c r="BP898" i="1"/>
  <c r="BP897" i="1"/>
  <c r="BR937" i="1"/>
  <c r="BK937" i="1"/>
  <c r="BJ937" i="1"/>
  <c r="BH937" i="1"/>
  <c r="BR910" i="1"/>
  <c r="BK910" i="1"/>
  <c r="BJ910" i="1"/>
  <c r="BH910" i="1"/>
  <c r="BR909" i="1"/>
  <c r="BK909" i="1"/>
  <c r="BJ909" i="1"/>
  <c r="BH909" i="1"/>
  <c r="BR908" i="1"/>
  <c r="BK908" i="1"/>
  <c r="BJ908" i="1"/>
  <c r="BH908" i="1"/>
  <c r="BR907" i="1"/>
  <c r="BK907" i="1"/>
  <c r="BJ907" i="1"/>
  <c r="BH907" i="1"/>
  <c r="BN937" i="1"/>
  <c r="BN910" i="1"/>
  <c r="BN909" i="1"/>
  <c r="BN908" i="1"/>
  <c r="BN907" i="1"/>
  <c r="BS937" i="1"/>
  <c r="BS910" i="1"/>
  <c r="BS909" i="1"/>
  <c r="BS908" i="1"/>
  <c r="BS907" i="1"/>
  <c r="BO937" i="1"/>
  <c r="BO910" i="1"/>
  <c r="BO909" i="1"/>
  <c r="BO908" i="1"/>
  <c r="BO907" i="1"/>
  <c r="BT937" i="1"/>
  <c r="BT910" i="1"/>
  <c r="BT909" i="1"/>
  <c r="BT908" i="1"/>
  <c r="BT907" i="1"/>
  <c r="BU937" i="1"/>
  <c r="BQ937" i="1"/>
  <c r="BU910" i="1"/>
  <c r="BQ910" i="1"/>
  <c r="BU909" i="1"/>
  <c r="BQ909" i="1"/>
  <c r="BU908" i="1"/>
  <c r="BQ908" i="1"/>
  <c r="BU907" i="1"/>
  <c r="BQ907" i="1"/>
  <c r="BM937" i="1"/>
  <c r="BM910" i="1"/>
  <c r="BM909" i="1"/>
  <c r="BM908" i="1"/>
  <c r="BM907" i="1"/>
  <c r="BL937" i="1"/>
  <c r="BI937" i="1"/>
  <c r="BL910" i="1"/>
  <c r="BI910" i="1"/>
  <c r="BL909" i="1"/>
  <c r="BI909" i="1"/>
  <c r="BL908" i="1"/>
  <c r="BI908" i="1"/>
  <c r="BL907" i="1"/>
  <c r="BI907" i="1"/>
  <c r="BP937" i="1"/>
  <c r="BP910" i="1"/>
  <c r="BP909" i="1"/>
  <c r="BP908" i="1"/>
  <c r="BP907" i="1"/>
  <c r="BK997" i="1"/>
  <c r="BH997" i="1"/>
  <c r="BN997" i="1"/>
  <c r="BS997" i="1"/>
  <c r="BO997" i="1"/>
  <c r="BT997" i="1"/>
  <c r="BQ997" i="1"/>
  <c r="BM997" i="1"/>
  <c r="BL997" i="1"/>
  <c r="BI997" i="1"/>
  <c r="BP997" i="1"/>
  <c r="BR995" i="1"/>
  <c r="BK995" i="1"/>
  <c r="BH995" i="1"/>
  <c r="BR994" i="1"/>
  <c r="BK994" i="1"/>
  <c r="BH994" i="1"/>
  <c r="BR993" i="1"/>
  <c r="BK993" i="1"/>
  <c r="BH993" i="1"/>
  <c r="BR938" i="1"/>
  <c r="BK938" i="1"/>
  <c r="BJ938" i="1"/>
  <c r="BH938" i="1"/>
  <c r="BK896" i="1"/>
  <c r="BJ896" i="1"/>
  <c r="BH896" i="1"/>
  <c r="BN995" i="1"/>
  <c r="BN994" i="1"/>
  <c r="BN993" i="1"/>
  <c r="BN938" i="1"/>
  <c r="BN896" i="1"/>
  <c r="BS995" i="1"/>
  <c r="BS994" i="1"/>
  <c r="BS993" i="1"/>
  <c r="BS938" i="1"/>
  <c r="BS896" i="1"/>
  <c r="BO995" i="1"/>
  <c r="BO994" i="1"/>
  <c r="BO993" i="1"/>
  <c r="BO938" i="1"/>
  <c r="BO896" i="1"/>
  <c r="BT995" i="1"/>
  <c r="BT994" i="1"/>
  <c r="BT993" i="1"/>
  <c r="BT938" i="1"/>
  <c r="BT896" i="1"/>
  <c r="BU995" i="1"/>
  <c r="BQ995" i="1"/>
  <c r="BU994" i="1"/>
  <c r="BQ994" i="1"/>
  <c r="BU993" i="1"/>
  <c r="BQ993" i="1"/>
  <c r="BU938" i="1"/>
  <c r="BQ938" i="1"/>
  <c r="BQ896" i="1"/>
  <c r="BM995" i="1"/>
  <c r="BM994" i="1"/>
  <c r="BM993" i="1"/>
  <c r="BM938" i="1"/>
  <c r="BM896" i="1"/>
  <c r="BL995" i="1"/>
  <c r="BI995" i="1"/>
  <c r="BL994" i="1"/>
  <c r="BI994" i="1"/>
  <c r="BL993" i="1"/>
  <c r="BI993" i="1"/>
  <c r="BL938" i="1"/>
  <c r="BI938" i="1"/>
  <c r="BL896" i="1"/>
  <c r="BI896" i="1"/>
  <c r="BP995" i="1"/>
  <c r="BP994" i="1"/>
  <c r="BP993" i="1"/>
  <c r="BP938" i="1"/>
  <c r="BP896" i="1"/>
  <c r="BR836" i="1"/>
  <c r="BK836" i="1"/>
  <c r="BJ836" i="1"/>
  <c r="BH836" i="1"/>
  <c r="BR803" i="1"/>
  <c r="BK803" i="1"/>
  <c r="BJ803" i="1"/>
  <c r="BH803" i="1"/>
  <c r="BR783" i="1"/>
  <c r="BK783" i="1"/>
  <c r="BJ783" i="1"/>
  <c r="BH783" i="1"/>
  <c r="BR770" i="1"/>
  <c r="BK770" i="1"/>
  <c r="BJ770" i="1"/>
  <c r="BH770" i="1"/>
  <c r="BR749" i="1"/>
  <c r="BK749" i="1"/>
  <c r="BJ749" i="1"/>
  <c r="BH749" i="1"/>
  <c r="BR748" i="1"/>
  <c r="BK748" i="1"/>
  <c r="BJ748" i="1"/>
  <c r="BH748" i="1"/>
  <c r="BR747" i="1"/>
  <c r="BK747" i="1"/>
  <c r="BJ747" i="1"/>
  <c r="BH747" i="1"/>
  <c r="BN836" i="1"/>
  <c r="BN803" i="1"/>
  <c r="BN783" i="1"/>
  <c r="BN770" i="1"/>
  <c r="BN749" i="1"/>
  <c r="BN748" i="1"/>
  <c r="BN747" i="1"/>
  <c r="BS836" i="1"/>
  <c r="BS803" i="1"/>
  <c r="BS783" i="1"/>
  <c r="BS770" i="1"/>
  <c r="BS749" i="1"/>
  <c r="BS748" i="1"/>
  <c r="BS747" i="1"/>
  <c r="BO836" i="1"/>
  <c r="BO803" i="1"/>
  <c r="BO783" i="1"/>
  <c r="BO770" i="1"/>
  <c r="BO749" i="1"/>
  <c r="BO748" i="1"/>
  <c r="BO747" i="1"/>
  <c r="BT836" i="1"/>
  <c r="BT803" i="1"/>
  <c r="BT783" i="1"/>
  <c r="BT770" i="1"/>
  <c r="BT749" i="1"/>
  <c r="BT748" i="1"/>
  <c r="BT747" i="1"/>
  <c r="BU836" i="1"/>
  <c r="BQ836" i="1"/>
  <c r="BU803" i="1"/>
  <c r="BQ803" i="1"/>
  <c r="BU783" i="1"/>
  <c r="BQ783" i="1"/>
  <c r="BU770" i="1"/>
  <c r="BQ770" i="1"/>
  <c r="BU749" i="1"/>
  <c r="BQ749" i="1"/>
  <c r="BU748" i="1"/>
  <c r="BQ748" i="1"/>
  <c r="BU747" i="1"/>
  <c r="BQ747" i="1"/>
  <c r="BM836" i="1"/>
  <c r="BM803" i="1"/>
  <c r="BM783" i="1"/>
  <c r="BM770" i="1"/>
  <c r="BM749" i="1"/>
  <c r="BM748" i="1"/>
  <c r="BM747" i="1"/>
  <c r="BL836" i="1"/>
  <c r="BI836" i="1"/>
  <c r="BL803" i="1"/>
  <c r="BI803" i="1"/>
  <c r="BL783" i="1"/>
  <c r="BI783" i="1"/>
  <c r="BL770" i="1"/>
  <c r="BI770" i="1"/>
  <c r="BL749" i="1"/>
  <c r="BI749" i="1"/>
  <c r="BL748" i="1"/>
  <c r="BI748" i="1"/>
  <c r="BL747" i="1"/>
  <c r="BI747" i="1"/>
  <c r="BP836" i="1"/>
  <c r="BP803" i="1"/>
  <c r="BP783" i="1"/>
  <c r="BP770" i="1"/>
  <c r="BP749" i="1"/>
  <c r="BP748" i="1"/>
  <c r="BP747" i="1"/>
  <c r="BR893" i="1"/>
  <c r="BK893" i="1"/>
  <c r="BJ893" i="1"/>
  <c r="BH893" i="1"/>
  <c r="BR746" i="1"/>
  <c r="BK746" i="1"/>
  <c r="BJ746" i="1"/>
  <c r="BH746" i="1"/>
  <c r="BR745" i="1"/>
  <c r="BK745" i="1"/>
  <c r="BJ745" i="1"/>
  <c r="BH745" i="1"/>
  <c r="BR744" i="1"/>
  <c r="BK744" i="1"/>
  <c r="BJ744" i="1"/>
  <c r="BH744" i="1"/>
  <c r="BR743" i="1"/>
  <c r="BK743" i="1"/>
  <c r="BJ743" i="1"/>
  <c r="BH743" i="1"/>
  <c r="BR742" i="1"/>
  <c r="BK742" i="1"/>
  <c r="BJ742" i="1"/>
  <c r="BH742" i="1"/>
  <c r="BR741" i="1"/>
  <c r="BK741" i="1"/>
  <c r="BJ741" i="1"/>
  <c r="BH741" i="1"/>
  <c r="BN893" i="1"/>
  <c r="BN746" i="1"/>
  <c r="BN745" i="1"/>
  <c r="BN744" i="1"/>
  <c r="BN743" i="1"/>
  <c r="BN742" i="1"/>
  <c r="BN741" i="1"/>
  <c r="BS893" i="1"/>
  <c r="BS746" i="1"/>
  <c r="BS745" i="1"/>
  <c r="BS744" i="1"/>
  <c r="BS743" i="1"/>
  <c r="BS742" i="1"/>
  <c r="BS741" i="1"/>
  <c r="BO893" i="1"/>
  <c r="BO746" i="1"/>
  <c r="BO745" i="1"/>
  <c r="BO744" i="1"/>
  <c r="BO743" i="1"/>
  <c r="BO742" i="1"/>
  <c r="BO741" i="1"/>
  <c r="BT893" i="1"/>
  <c r="BT746" i="1"/>
  <c r="BT745" i="1"/>
  <c r="BT744" i="1"/>
  <c r="BT743" i="1"/>
  <c r="BT742" i="1"/>
  <c r="BT741" i="1"/>
  <c r="BU893" i="1"/>
  <c r="BQ893" i="1"/>
  <c r="BU746" i="1"/>
  <c r="BQ746" i="1"/>
  <c r="BU745" i="1"/>
  <c r="BQ745" i="1"/>
  <c r="BU744" i="1"/>
  <c r="BQ744" i="1"/>
  <c r="BU743" i="1"/>
  <c r="BQ743" i="1"/>
  <c r="BU742" i="1"/>
  <c r="BQ742" i="1"/>
  <c r="BU741" i="1"/>
  <c r="BQ741" i="1"/>
  <c r="BM893" i="1"/>
  <c r="BM746" i="1"/>
  <c r="BM745" i="1"/>
  <c r="BM744" i="1"/>
  <c r="BM743" i="1"/>
  <c r="BM742" i="1"/>
  <c r="BM741" i="1"/>
  <c r="BL893" i="1"/>
  <c r="BI893" i="1"/>
  <c r="BL746" i="1"/>
  <c r="BI746" i="1"/>
  <c r="BL745" i="1"/>
  <c r="BI745" i="1"/>
  <c r="BL744" i="1"/>
  <c r="BI744" i="1"/>
  <c r="BL743" i="1"/>
  <c r="BI743" i="1"/>
  <c r="BL742" i="1"/>
  <c r="BI742" i="1"/>
  <c r="BL741" i="1"/>
  <c r="BI741" i="1"/>
  <c r="BP893" i="1"/>
  <c r="BP746" i="1"/>
  <c r="BP745" i="1"/>
  <c r="BP744" i="1"/>
  <c r="BP743" i="1"/>
  <c r="BP742" i="1"/>
  <c r="BP741" i="1"/>
  <c r="BR895" i="1"/>
  <c r="BK895" i="1"/>
  <c r="BJ895" i="1"/>
  <c r="BH895" i="1"/>
  <c r="BR894" i="1"/>
  <c r="BK894" i="1"/>
  <c r="BJ894" i="1"/>
  <c r="BH894" i="1"/>
  <c r="BR740" i="1"/>
  <c r="BK740" i="1"/>
  <c r="BJ740" i="1"/>
  <c r="BH740" i="1"/>
  <c r="BN895" i="1"/>
  <c r="BN894" i="1"/>
  <c r="BN740" i="1"/>
  <c r="BS895" i="1"/>
  <c r="BS894" i="1"/>
  <c r="BS740" i="1"/>
  <c r="BO895" i="1"/>
  <c r="BO894" i="1"/>
  <c r="BO740" i="1"/>
  <c r="BT895" i="1"/>
  <c r="BT894" i="1"/>
  <c r="BT740" i="1"/>
  <c r="BU895" i="1"/>
  <c r="BQ895" i="1"/>
  <c r="BU894" i="1"/>
  <c r="BQ894" i="1"/>
  <c r="BU740" i="1"/>
  <c r="BQ740" i="1"/>
  <c r="BM895" i="1"/>
  <c r="BM894" i="1"/>
  <c r="BM740" i="1"/>
  <c r="BL895" i="1"/>
  <c r="BI895" i="1"/>
  <c r="BL894" i="1"/>
  <c r="BI894" i="1"/>
  <c r="BL740" i="1"/>
  <c r="BI740" i="1"/>
  <c r="BP895" i="1"/>
  <c r="BP894" i="1"/>
  <c r="BP740" i="1"/>
  <c r="BR689" i="1"/>
  <c r="BK689" i="1"/>
  <c r="BJ689" i="1"/>
  <c r="BH689" i="1"/>
  <c r="BR688" i="1"/>
  <c r="BK688" i="1"/>
  <c r="BJ688" i="1"/>
  <c r="BH688" i="1"/>
  <c r="BR687" i="1"/>
  <c r="BK687" i="1"/>
  <c r="BJ687" i="1"/>
  <c r="BH687" i="1"/>
  <c r="BR686" i="1"/>
  <c r="BK686" i="1"/>
  <c r="BJ686" i="1"/>
  <c r="BH686" i="1"/>
  <c r="BR685" i="1"/>
  <c r="BK685" i="1"/>
  <c r="BJ685" i="1"/>
  <c r="BH685" i="1"/>
  <c r="BR684" i="1"/>
  <c r="BK684" i="1"/>
  <c r="BJ684" i="1"/>
  <c r="BH684" i="1"/>
  <c r="BR683" i="1"/>
  <c r="BK683" i="1"/>
  <c r="BJ683" i="1"/>
  <c r="BH683" i="1"/>
  <c r="BN689" i="1"/>
  <c r="BN688" i="1"/>
  <c r="BN687" i="1"/>
  <c r="BN686" i="1"/>
  <c r="BN685" i="1"/>
  <c r="BN684" i="1"/>
  <c r="BN683" i="1"/>
  <c r="BS689" i="1"/>
  <c r="BS688" i="1"/>
  <c r="BS687" i="1"/>
  <c r="BS686" i="1"/>
  <c r="BS685" i="1"/>
  <c r="BS684" i="1"/>
  <c r="BS683" i="1"/>
  <c r="BO689" i="1"/>
  <c r="BO688" i="1"/>
  <c r="BO687" i="1"/>
  <c r="BO686" i="1"/>
  <c r="BO685" i="1"/>
  <c r="BO684" i="1"/>
  <c r="BO683" i="1"/>
  <c r="BT689" i="1"/>
  <c r="BT688" i="1"/>
  <c r="BT687" i="1"/>
  <c r="BT686" i="1"/>
  <c r="BT685" i="1"/>
  <c r="BT684" i="1"/>
  <c r="BT683" i="1"/>
  <c r="BU689" i="1"/>
  <c r="BQ689" i="1"/>
  <c r="BU688" i="1"/>
  <c r="BQ688" i="1"/>
  <c r="BU687" i="1"/>
  <c r="BQ687" i="1"/>
  <c r="BU686" i="1"/>
  <c r="BQ686" i="1"/>
  <c r="BU685" i="1"/>
  <c r="BQ685" i="1"/>
  <c r="BU684" i="1"/>
  <c r="BQ684" i="1"/>
  <c r="BU683" i="1"/>
  <c r="BQ683" i="1"/>
  <c r="BM689" i="1"/>
  <c r="BM688" i="1"/>
  <c r="BM687" i="1"/>
  <c r="BM686" i="1"/>
  <c r="BM685" i="1"/>
  <c r="BM684" i="1"/>
  <c r="BM683" i="1"/>
  <c r="BL689" i="1"/>
  <c r="BI689" i="1"/>
  <c r="BL688" i="1"/>
  <c r="BI688" i="1"/>
  <c r="BL687" i="1"/>
  <c r="BI687" i="1"/>
  <c r="BL686" i="1"/>
  <c r="BI686" i="1"/>
  <c r="BL685" i="1"/>
  <c r="BI685" i="1"/>
  <c r="BL684" i="1"/>
  <c r="BI684" i="1"/>
  <c r="BL683" i="1"/>
  <c r="BI683" i="1"/>
  <c r="BP689" i="1"/>
  <c r="BP688" i="1"/>
  <c r="BP687" i="1"/>
  <c r="BP686" i="1"/>
  <c r="BP685" i="1"/>
  <c r="BP684" i="1"/>
  <c r="BP683" i="1"/>
  <c r="BR709" i="1"/>
  <c r="BK709" i="1"/>
  <c r="BJ709" i="1"/>
  <c r="BH709" i="1"/>
  <c r="BR691" i="1"/>
  <c r="BK691" i="1"/>
  <c r="BJ691" i="1"/>
  <c r="BH691" i="1"/>
  <c r="BR690" i="1"/>
  <c r="BK690" i="1"/>
  <c r="BJ690" i="1"/>
  <c r="BH690" i="1"/>
  <c r="BN709" i="1"/>
  <c r="BN691" i="1"/>
  <c r="BN690" i="1"/>
  <c r="BS709" i="1"/>
  <c r="BS691" i="1"/>
  <c r="BS690" i="1"/>
  <c r="BO709" i="1"/>
  <c r="BO691" i="1"/>
  <c r="BO690" i="1"/>
  <c r="BT709" i="1"/>
  <c r="BT691" i="1"/>
  <c r="BT690" i="1"/>
  <c r="BU709" i="1"/>
  <c r="BQ709" i="1"/>
  <c r="BU691" i="1"/>
  <c r="BQ691" i="1"/>
  <c r="BU690" i="1"/>
  <c r="BQ690" i="1"/>
  <c r="BM709" i="1"/>
  <c r="BM691" i="1"/>
  <c r="BM690" i="1"/>
  <c r="BL709" i="1"/>
  <c r="BI709" i="1"/>
  <c r="BL691" i="1"/>
  <c r="BI691" i="1"/>
  <c r="BL690" i="1"/>
  <c r="BI690" i="1"/>
  <c r="BP709" i="1"/>
  <c r="BP691" i="1"/>
  <c r="BP690" i="1"/>
  <c r="BR682" i="1"/>
  <c r="BK682" i="1"/>
  <c r="BJ682" i="1"/>
  <c r="BH682" i="1"/>
  <c r="BR681" i="1"/>
  <c r="BK681" i="1"/>
  <c r="BJ681" i="1"/>
  <c r="BH681" i="1"/>
  <c r="BR680" i="1"/>
  <c r="BK680" i="1"/>
  <c r="BJ680" i="1"/>
  <c r="BH680" i="1"/>
  <c r="BR679" i="1"/>
  <c r="BK679" i="1"/>
  <c r="BJ679" i="1"/>
  <c r="BH679" i="1"/>
  <c r="BN682" i="1"/>
  <c r="BN681" i="1"/>
  <c r="BN680" i="1"/>
  <c r="BN679" i="1"/>
  <c r="BS682" i="1"/>
  <c r="BS681" i="1"/>
  <c r="BS680" i="1"/>
  <c r="BS679" i="1"/>
  <c r="BO682" i="1"/>
  <c r="BO681" i="1"/>
  <c r="BO680" i="1"/>
  <c r="BO679" i="1"/>
  <c r="BT682" i="1"/>
  <c r="BT681" i="1"/>
  <c r="BT680" i="1"/>
  <c r="BT679" i="1"/>
  <c r="BU682" i="1"/>
  <c r="BQ682" i="1"/>
  <c r="BU681" i="1"/>
  <c r="BQ681" i="1"/>
  <c r="BU680" i="1"/>
  <c r="BQ680" i="1"/>
  <c r="BU679" i="1"/>
  <c r="BQ679" i="1"/>
  <c r="BM682" i="1"/>
  <c r="BM681" i="1"/>
  <c r="BM680" i="1"/>
  <c r="BM679" i="1"/>
  <c r="BL682" i="1"/>
  <c r="BI682" i="1"/>
  <c r="BL681" i="1"/>
  <c r="BI681" i="1"/>
  <c r="BL680" i="1"/>
  <c r="BI680" i="1"/>
  <c r="BL679" i="1"/>
  <c r="BI679" i="1"/>
  <c r="BP682" i="1"/>
  <c r="BP681" i="1"/>
  <c r="BP680" i="1"/>
  <c r="BP679" i="1"/>
  <c r="BR678" i="1"/>
  <c r="BK678" i="1"/>
  <c r="BJ678" i="1"/>
  <c r="BH678" i="1"/>
  <c r="BR677" i="1"/>
  <c r="BK677" i="1"/>
  <c r="BJ677" i="1"/>
  <c r="BH677" i="1"/>
  <c r="BR676" i="1"/>
  <c r="BK676" i="1"/>
  <c r="BJ676" i="1"/>
  <c r="BH676" i="1"/>
  <c r="BR675" i="1"/>
  <c r="BK675" i="1"/>
  <c r="BJ675" i="1"/>
  <c r="BH675" i="1"/>
  <c r="BN678" i="1"/>
  <c r="BN677" i="1"/>
  <c r="BN676" i="1"/>
  <c r="BN675" i="1"/>
  <c r="BS678" i="1"/>
  <c r="BS677" i="1"/>
  <c r="BS676" i="1"/>
  <c r="BS675" i="1"/>
  <c r="BO678" i="1"/>
  <c r="BO677" i="1"/>
  <c r="BO676" i="1"/>
  <c r="BO675" i="1"/>
  <c r="BT678" i="1"/>
  <c r="BT677" i="1"/>
  <c r="BT676" i="1"/>
  <c r="BT675" i="1"/>
  <c r="BU678" i="1"/>
  <c r="BQ678" i="1"/>
  <c r="BU677" i="1"/>
  <c r="BQ677" i="1"/>
  <c r="BU676" i="1"/>
  <c r="BQ676" i="1"/>
  <c r="BU675" i="1"/>
  <c r="BQ675" i="1"/>
  <c r="BM678" i="1"/>
  <c r="BM677" i="1"/>
  <c r="BM676" i="1"/>
  <c r="BM675" i="1"/>
  <c r="BL678" i="1"/>
  <c r="BI678" i="1"/>
  <c r="BL677" i="1"/>
  <c r="BI677" i="1"/>
  <c r="BL676" i="1"/>
  <c r="BI676" i="1"/>
  <c r="BL675" i="1"/>
  <c r="BI675" i="1"/>
  <c r="BP678" i="1"/>
  <c r="BP677" i="1"/>
  <c r="BP676" i="1"/>
  <c r="BP675" i="1"/>
  <c r="BR734" i="1"/>
  <c r="BK734" i="1"/>
  <c r="BJ734" i="1"/>
  <c r="BH734" i="1"/>
  <c r="BR710" i="1"/>
  <c r="BK710" i="1"/>
  <c r="BJ710" i="1"/>
  <c r="BH710" i="1"/>
  <c r="BN734" i="1"/>
  <c r="BN710" i="1"/>
  <c r="BS734" i="1"/>
  <c r="BS710" i="1"/>
  <c r="BO734" i="1"/>
  <c r="BO710" i="1"/>
  <c r="BT734" i="1"/>
  <c r="BT710" i="1"/>
  <c r="BU734" i="1"/>
  <c r="BQ734" i="1"/>
  <c r="BU710" i="1"/>
  <c r="BQ710" i="1"/>
  <c r="BM734" i="1"/>
  <c r="BM710" i="1"/>
  <c r="BL734" i="1"/>
  <c r="BI734" i="1"/>
  <c r="BL710" i="1"/>
  <c r="BI710" i="1"/>
  <c r="BP734" i="1"/>
  <c r="BP710" i="1"/>
  <c r="BR739" i="1"/>
  <c r="BH658" i="1"/>
  <c r="BR658" i="1"/>
  <c r="BK739" i="1"/>
  <c r="BJ739" i="1"/>
  <c r="BH739" i="1"/>
  <c r="BJ658" i="1"/>
  <c r="BK658" i="1"/>
  <c r="BN739" i="1"/>
  <c r="BN658" i="1"/>
  <c r="BS739" i="1"/>
  <c r="BS658" i="1"/>
  <c r="BO739" i="1"/>
  <c r="BO658" i="1"/>
  <c r="BT739" i="1"/>
  <c r="BT658" i="1"/>
  <c r="BU739" i="1"/>
  <c r="BQ739" i="1"/>
  <c r="BQ658" i="1"/>
  <c r="BU658" i="1"/>
  <c r="BM739" i="1"/>
  <c r="BM658" i="1"/>
  <c r="BL739" i="1"/>
  <c r="BI739" i="1"/>
  <c r="BI658" i="1"/>
  <c r="BL658" i="1"/>
  <c r="BP739" i="1"/>
  <c r="BP658" i="1"/>
  <c r="BR669" i="1"/>
  <c r="BK669" i="1"/>
  <c r="BJ669" i="1"/>
  <c r="BH669" i="1"/>
  <c r="BR668" i="1"/>
  <c r="BK668" i="1"/>
  <c r="BJ668" i="1"/>
  <c r="BH668" i="1"/>
  <c r="BR667" i="1"/>
  <c r="BK667" i="1"/>
  <c r="BJ667" i="1"/>
  <c r="BH667" i="1"/>
  <c r="BR666" i="1"/>
  <c r="BK666" i="1"/>
  <c r="BJ666" i="1"/>
  <c r="BH666" i="1"/>
  <c r="BR665" i="1"/>
  <c r="BK665" i="1"/>
  <c r="BJ665" i="1"/>
  <c r="BH665" i="1"/>
  <c r="BR664" i="1"/>
  <c r="BK664" i="1"/>
  <c r="BJ664" i="1"/>
  <c r="BH664" i="1"/>
  <c r="BR663" i="1"/>
  <c r="BK663" i="1"/>
  <c r="BJ663" i="1"/>
  <c r="BH663" i="1"/>
  <c r="BR662" i="1"/>
  <c r="BK662" i="1"/>
  <c r="BJ662" i="1"/>
  <c r="BH662" i="1"/>
  <c r="BR661" i="1"/>
  <c r="BK661" i="1"/>
  <c r="BJ661" i="1"/>
  <c r="BH661" i="1"/>
  <c r="BR660" i="1"/>
  <c r="BK660" i="1"/>
  <c r="BJ660" i="1"/>
  <c r="BH660" i="1"/>
  <c r="BR659" i="1"/>
  <c r="BK659" i="1"/>
  <c r="BJ659" i="1"/>
  <c r="BH659" i="1"/>
  <c r="BR657" i="1"/>
  <c r="BK657" i="1"/>
  <c r="BJ657" i="1"/>
  <c r="BH657" i="1"/>
  <c r="BR656" i="1"/>
  <c r="BK656" i="1"/>
  <c r="BJ656" i="1"/>
  <c r="BH656" i="1"/>
  <c r="BN669" i="1"/>
  <c r="BN668" i="1"/>
  <c r="BN667" i="1"/>
  <c r="BN666" i="1"/>
  <c r="BN665" i="1"/>
  <c r="BN664" i="1"/>
  <c r="BN663" i="1"/>
  <c r="BN662" i="1"/>
  <c r="BN661" i="1"/>
  <c r="BN660" i="1"/>
  <c r="BN659" i="1"/>
  <c r="BN657" i="1"/>
  <c r="BN656" i="1"/>
  <c r="BS669" i="1"/>
  <c r="BS668" i="1"/>
  <c r="BS667" i="1"/>
  <c r="BS666" i="1"/>
  <c r="BS665" i="1"/>
  <c r="BS664" i="1"/>
  <c r="BS663" i="1"/>
  <c r="BS662" i="1"/>
  <c r="BS661" i="1"/>
  <c r="BS660" i="1"/>
  <c r="BS659" i="1"/>
  <c r="BS657" i="1"/>
  <c r="BS656" i="1"/>
  <c r="BO669" i="1"/>
  <c r="BO668" i="1"/>
  <c r="BO667" i="1"/>
  <c r="BO666" i="1"/>
  <c r="BO665" i="1"/>
  <c r="BO664" i="1"/>
  <c r="BO663" i="1"/>
  <c r="BO662" i="1"/>
  <c r="BO661" i="1"/>
  <c r="BO660" i="1"/>
  <c r="BO659" i="1"/>
  <c r="BO657" i="1"/>
  <c r="BO656" i="1"/>
  <c r="BT669" i="1"/>
  <c r="BT668" i="1"/>
  <c r="BT667" i="1"/>
  <c r="BT666" i="1"/>
  <c r="BT665" i="1"/>
  <c r="BT664" i="1"/>
  <c r="BT663" i="1"/>
  <c r="BT662" i="1"/>
  <c r="BT661" i="1"/>
  <c r="BT660" i="1"/>
  <c r="BT659" i="1"/>
  <c r="BT657" i="1"/>
  <c r="BT656" i="1"/>
  <c r="BU669" i="1"/>
  <c r="BQ669" i="1"/>
  <c r="BU668" i="1"/>
  <c r="BQ668" i="1"/>
  <c r="BU667" i="1"/>
  <c r="BQ667" i="1"/>
  <c r="BU666" i="1"/>
  <c r="BQ666" i="1"/>
  <c r="BU665" i="1"/>
  <c r="BQ665" i="1"/>
  <c r="BU664" i="1"/>
  <c r="BQ664" i="1"/>
  <c r="BU663" i="1"/>
  <c r="BQ663" i="1"/>
  <c r="BU662" i="1"/>
  <c r="BQ662" i="1"/>
  <c r="BU661" i="1"/>
  <c r="BQ661" i="1"/>
  <c r="BU660" i="1"/>
  <c r="BQ660" i="1"/>
  <c r="BU659" i="1"/>
  <c r="BQ659" i="1"/>
  <c r="BU657" i="1"/>
  <c r="BQ657" i="1"/>
  <c r="BU656" i="1"/>
  <c r="BQ656" i="1"/>
  <c r="BM669" i="1"/>
  <c r="BM668" i="1"/>
  <c r="BM667" i="1"/>
  <c r="BM666" i="1"/>
  <c r="BM665" i="1"/>
  <c r="BM664" i="1"/>
  <c r="BM663" i="1"/>
  <c r="BM662" i="1"/>
  <c r="BM661" i="1"/>
  <c r="BM660" i="1"/>
  <c r="BM659" i="1"/>
  <c r="BM657" i="1"/>
  <c r="BM656" i="1"/>
  <c r="BL669" i="1"/>
  <c r="BI669" i="1"/>
  <c r="BL668" i="1"/>
  <c r="BI668" i="1"/>
  <c r="BL667" i="1"/>
  <c r="BI667" i="1"/>
  <c r="BL666" i="1"/>
  <c r="BI666" i="1"/>
  <c r="BL665" i="1"/>
  <c r="BI665" i="1"/>
  <c r="BL664" i="1"/>
  <c r="BI664" i="1"/>
  <c r="BL663" i="1"/>
  <c r="BI663" i="1"/>
  <c r="BL662" i="1"/>
  <c r="BI662" i="1"/>
  <c r="BL661" i="1"/>
  <c r="BI661" i="1"/>
  <c r="BL660" i="1"/>
  <c r="BI660" i="1"/>
  <c r="BL659" i="1"/>
  <c r="BI659" i="1"/>
  <c r="BL657" i="1"/>
  <c r="BI657" i="1"/>
  <c r="BL656" i="1"/>
  <c r="BI656" i="1"/>
  <c r="BP669" i="1"/>
  <c r="BP668" i="1"/>
  <c r="BP667" i="1"/>
  <c r="BP666" i="1"/>
  <c r="BP665" i="1"/>
  <c r="BP664" i="1"/>
  <c r="BP663" i="1"/>
  <c r="BP662" i="1"/>
  <c r="BP661" i="1"/>
  <c r="BP660" i="1"/>
  <c r="BP659" i="1"/>
  <c r="BP657" i="1"/>
  <c r="BP656" i="1"/>
  <c r="BR736" i="1"/>
  <c r="BK736" i="1"/>
  <c r="BJ736" i="1"/>
  <c r="BH736" i="1"/>
  <c r="BR735" i="1"/>
  <c r="BK735" i="1"/>
  <c r="BJ735" i="1"/>
  <c r="BH735" i="1"/>
  <c r="BR674" i="1"/>
  <c r="BK674" i="1"/>
  <c r="BJ674" i="1"/>
  <c r="BH674" i="1"/>
  <c r="BR673" i="1"/>
  <c r="BK673" i="1"/>
  <c r="BJ673" i="1"/>
  <c r="BH673" i="1"/>
  <c r="BR672" i="1"/>
  <c r="BK672" i="1"/>
  <c r="BJ672" i="1"/>
  <c r="BH672" i="1"/>
  <c r="BR671" i="1"/>
  <c r="BK671" i="1"/>
  <c r="BJ671" i="1"/>
  <c r="BH671" i="1"/>
  <c r="BR670" i="1"/>
  <c r="BK670" i="1"/>
  <c r="BJ670" i="1"/>
  <c r="BH670" i="1"/>
  <c r="BN736" i="1"/>
  <c r="BN735" i="1"/>
  <c r="BN674" i="1"/>
  <c r="BN673" i="1"/>
  <c r="BN672" i="1"/>
  <c r="BN671" i="1"/>
  <c r="BN670" i="1"/>
  <c r="BS736" i="1"/>
  <c r="BS735" i="1"/>
  <c r="BS674" i="1"/>
  <c r="BS673" i="1"/>
  <c r="BS672" i="1"/>
  <c r="BS671" i="1"/>
  <c r="BS670" i="1"/>
  <c r="BO736" i="1"/>
  <c r="BO735" i="1"/>
  <c r="BO674" i="1"/>
  <c r="BO673" i="1"/>
  <c r="BO672" i="1"/>
  <c r="BO671" i="1"/>
  <c r="BO670" i="1"/>
  <c r="BT736" i="1"/>
  <c r="BT735" i="1"/>
  <c r="BT674" i="1"/>
  <c r="BT673" i="1"/>
  <c r="BT672" i="1"/>
  <c r="BT671" i="1"/>
  <c r="BT670" i="1"/>
  <c r="BU736" i="1"/>
  <c r="BQ736" i="1"/>
  <c r="BU735" i="1"/>
  <c r="BQ735" i="1"/>
  <c r="BU674" i="1"/>
  <c r="BQ674" i="1"/>
  <c r="BU673" i="1"/>
  <c r="BQ673" i="1"/>
  <c r="BU672" i="1"/>
  <c r="BQ672" i="1"/>
  <c r="BU671" i="1"/>
  <c r="BQ671" i="1"/>
  <c r="BU670" i="1"/>
  <c r="BQ670" i="1"/>
  <c r="BM736" i="1"/>
  <c r="BM735" i="1"/>
  <c r="BM674" i="1"/>
  <c r="BM673" i="1"/>
  <c r="BM672" i="1"/>
  <c r="BM671" i="1"/>
  <c r="BM670" i="1"/>
  <c r="BL736" i="1"/>
  <c r="BI736" i="1"/>
  <c r="BL735" i="1"/>
  <c r="BI735" i="1"/>
  <c r="BL674" i="1"/>
  <c r="BI674" i="1"/>
  <c r="BL673" i="1"/>
  <c r="BI673" i="1"/>
  <c r="BL672" i="1"/>
  <c r="BI672" i="1"/>
  <c r="BL671" i="1"/>
  <c r="BI671" i="1"/>
  <c r="BL670" i="1"/>
  <c r="BI670" i="1"/>
  <c r="BP736" i="1"/>
  <c r="BP735" i="1"/>
  <c r="BP674" i="1"/>
  <c r="BP673" i="1"/>
  <c r="BP672" i="1"/>
  <c r="BP671" i="1"/>
  <c r="BP670" i="1"/>
  <c r="BR738" i="1"/>
  <c r="BK738" i="1"/>
  <c r="BJ738" i="1"/>
  <c r="BH738" i="1"/>
  <c r="BR737" i="1"/>
  <c r="BK737" i="1"/>
  <c r="BJ737" i="1"/>
  <c r="BH737" i="1"/>
  <c r="BR655" i="1"/>
  <c r="BK655" i="1"/>
  <c r="BJ655" i="1"/>
  <c r="BH655" i="1"/>
  <c r="BR654" i="1"/>
  <c r="BK654" i="1"/>
  <c r="BJ654" i="1"/>
  <c r="BH654" i="1"/>
  <c r="BN738" i="1"/>
  <c r="BN737" i="1"/>
  <c r="BN655" i="1"/>
  <c r="BN654" i="1"/>
  <c r="BS738" i="1"/>
  <c r="BS737" i="1"/>
  <c r="BS655" i="1"/>
  <c r="BS654" i="1"/>
  <c r="BO738" i="1"/>
  <c r="BO737" i="1"/>
  <c r="BO655" i="1"/>
  <c r="BO654" i="1"/>
  <c r="BT738" i="1"/>
  <c r="BT737" i="1"/>
  <c r="BT655" i="1"/>
  <c r="BT654" i="1"/>
  <c r="BU738" i="1"/>
  <c r="BQ738" i="1"/>
  <c r="BU737" i="1"/>
  <c r="BQ737" i="1"/>
  <c r="BU655" i="1"/>
  <c r="BQ655" i="1"/>
  <c r="BU654" i="1"/>
  <c r="BQ654" i="1"/>
  <c r="BM738" i="1"/>
  <c r="BM737" i="1"/>
  <c r="BM655" i="1"/>
  <c r="BM654" i="1"/>
  <c r="BL738" i="1"/>
  <c r="BI738" i="1"/>
  <c r="BL737" i="1"/>
  <c r="BI737" i="1"/>
  <c r="BL655" i="1"/>
  <c r="BI655" i="1"/>
  <c r="BL654" i="1"/>
  <c r="BI654" i="1"/>
  <c r="BP738" i="1"/>
  <c r="BP737" i="1"/>
  <c r="BP655" i="1"/>
  <c r="BP654" i="1"/>
  <c r="BR653" i="1"/>
  <c r="BK653" i="1"/>
  <c r="BJ653" i="1"/>
  <c r="BH653" i="1"/>
  <c r="BR652" i="1"/>
  <c r="BK652" i="1"/>
  <c r="BJ652" i="1"/>
  <c r="BH652" i="1"/>
  <c r="BR651" i="1"/>
  <c r="BK651" i="1"/>
  <c r="BJ651" i="1"/>
  <c r="BH651" i="1"/>
  <c r="BN653" i="1"/>
  <c r="BN652" i="1"/>
  <c r="BN651" i="1"/>
  <c r="BS653" i="1"/>
  <c r="BS652" i="1"/>
  <c r="BS651" i="1"/>
  <c r="BO653" i="1"/>
  <c r="BO652" i="1"/>
  <c r="BO651" i="1"/>
  <c r="BT653" i="1"/>
  <c r="BT652" i="1"/>
  <c r="BT651" i="1"/>
  <c r="BU653" i="1"/>
  <c r="BQ653" i="1"/>
  <c r="BU652" i="1"/>
  <c r="BQ652" i="1"/>
  <c r="BU651" i="1"/>
  <c r="BQ651" i="1"/>
  <c r="BM653" i="1"/>
  <c r="BM652" i="1"/>
  <c r="BM651" i="1"/>
  <c r="BL653" i="1"/>
  <c r="BI653" i="1"/>
  <c r="BL652" i="1"/>
  <c r="BI652" i="1"/>
  <c r="BL651" i="1"/>
  <c r="BI651" i="1"/>
  <c r="BP653" i="1"/>
  <c r="BP652" i="1"/>
  <c r="BP651" i="1"/>
  <c r="BR650" i="1"/>
  <c r="BK650" i="1"/>
  <c r="BJ650" i="1"/>
  <c r="BH650" i="1"/>
  <c r="BR649" i="1"/>
  <c r="BK649" i="1"/>
  <c r="BJ649" i="1"/>
  <c r="BH649" i="1"/>
  <c r="BR648" i="1"/>
  <c r="BK648" i="1"/>
  <c r="BJ648" i="1"/>
  <c r="BH648" i="1"/>
  <c r="BN650" i="1"/>
  <c r="BN649" i="1"/>
  <c r="BN648" i="1"/>
  <c r="BS650" i="1"/>
  <c r="BS649" i="1"/>
  <c r="BS648" i="1"/>
  <c r="BO650" i="1"/>
  <c r="BO649" i="1"/>
  <c r="BO648" i="1"/>
  <c r="BT650" i="1"/>
  <c r="BT649" i="1"/>
  <c r="BT648" i="1"/>
  <c r="BU650" i="1"/>
  <c r="BQ650" i="1"/>
  <c r="BU649" i="1"/>
  <c r="BQ649" i="1"/>
  <c r="BU648" i="1"/>
  <c r="BQ648" i="1"/>
  <c r="BM650" i="1"/>
  <c r="BM649" i="1"/>
  <c r="BM648" i="1"/>
  <c r="BL650" i="1"/>
  <c r="BI650" i="1"/>
  <c r="BL649" i="1"/>
  <c r="BI649" i="1"/>
  <c r="BL648" i="1"/>
  <c r="BI648" i="1"/>
  <c r="BP650" i="1"/>
  <c r="BP649" i="1"/>
  <c r="BP648" i="1"/>
  <c r="BR643" i="1"/>
  <c r="BK643" i="1"/>
  <c r="BJ643" i="1"/>
  <c r="BH643" i="1"/>
  <c r="BR642" i="1"/>
  <c r="BK642" i="1"/>
  <c r="BJ642" i="1"/>
  <c r="BH642" i="1"/>
  <c r="BR641" i="1"/>
  <c r="BK641" i="1"/>
  <c r="BJ641" i="1"/>
  <c r="BH641" i="1"/>
  <c r="BR640" i="1"/>
  <c r="BK640" i="1"/>
  <c r="BJ640" i="1"/>
  <c r="BH640" i="1"/>
  <c r="BR639" i="1"/>
  <c r="BK639" i="1"/>
  <c r="BJ639" i="1"/>
  <c r="BH639" i="1"/>
  <c r="BR638" i="1"/>
  <c r="BK638" i="1"/>
  <c r="BJ638" i="1"/>
  <c r="BH638" i="1"/>
  <c r="BR637" i="1"/>
  <c r="BK637" i="1"/>
  <c r="BJ637" i="1"/>
  <c r="BH637" i="1"/>
  <c r="BR636" i="1"/>
  <c r="BK636" i="1"/>
  <c r="BJ636" i="1"/>
  <c r="BH636" i="1"/>
  <c r="BN643" i="1"/>
  <c r="BN642" i="1"/>
  <c r="BN641" i="1"/>
  <c r="BN640" i="1"/>
  <c r="BN639" i="1"/>
  <c r="BN638" i="1"/>
  <c r="BN637" i="1"/>
  <c r="BN636" i="1"/>
  <c r="BS643" i="1"/>
  <c r="BS642" i="1"/>
  <c r="BS641" i="1"/>
  <c r="BS640" i="1"/>
  <c r="BS639" i="1"/>
  <c r="BS638" i="1"/>
  <c r="BS637" i="1"/>
  <c r="BS636" i="1"/>
  <c r="BO643" i="1"/>
  <c r="BO642" i="1"/>
  <c r="BO641" i="1"/>
  <c r="BO640" i="1"/>
  <c r="BO639" i="1"/>
  <c r="BO638" i="1"/>
  <c r="BO637" i="1"/>
  <c r="BO636" i="1"/>
  <c r="BT643" i="1"/>
  <c r="BT642" i="1"/>
  <c r="BT641" i="1"/>
  <c r="BT640" i="1"/>
  <c r="BT639" i="1"/>
  <c r="BT638" i="1"/>
  <c r="BT637" i="1"/>
  <c r="BT636" i="1"/>
  <c r="BU643" i="1"/>
  <c r="BQ643" i="1"/>
  <c r="BU642" i="1"/>
  <c r="BQ642" i="1"/>
  <c r="BU641" i="1"/>
  <c r="BQ641" i="1"/>
  <c r="BU640" i="1"/>
  <c r="BQ640" i="1"/>
  <c r="BU639" i="1"/>
  <c r="BQ639" i="1"/>
  <c r="BU638" i="1"/>
  <c r="BQ638" i="1"/>
  <c r="BU637" i="1"/>
  <c r="BQ637" i="1"/>
  <c r="BU636" i="1"/>
  <c r="BQ636" i="1"/>
  <c r="BM643" i="1"/>
  <c r="BM642" i="1"/>
  <c r="BM641" i="1"/>
  <c r="BM640" i="1"/>
  <c r="BM639" i="1"/>
  <c r="BM638" i="1"/>
  <c r="BM637" i="1"/>
  <c r="BM636" i="1"/>
  <c r="BL643" i="1"/>
  <c r="BI643" i="1"/>
  <c r="BL642" i="1"/>
  <c r="BI642" i="1"/>
  <c r="BL641" i="1"/>
  <c r="BI641" i="1"/>
  <c r="BL640" i="1"/>
  <c r="BI640" i="1"/>
  <c r="BL639" i="1"/>
  <c r="BI639" i="1"/>
  <c r="BL638" i="1"/>
  <c r="BI638" i="1"/>
  <c r="BL637" i="1"/>
  <c r="BI637" i="1"/>
  <c r="BL636" i="1"/>
  <c r="BI636" i="1"/>
  <c r="BP643" i="1"/>
  <c r="BP642" i="1"/>
  <c r="BP641" i="1"/>
  <c r="BP640" i="1"/>
  <c r="BP639" i="1"/>
  <c r="BP638" i="1"/>
  <c r="BP637" i="1"/>
  <c r="BP636" i="1"/>
  <c r="BR647" i="1"/>
  <c r="BK647" i="1"/>
  <c r="BJ647" i="1"/>
  <c r="BH647" i="1"/>
  <c r="BR646" i="1"/>
  <c r="BK646" i="1"/>
  <c r="BJ646" i="1"/>
  <c r="BH646" i="1"/>
  <c r="BR645" i="1"/>
  <c r="BK645" i="1"/>
  <c r="BJ645" i="1"/>
  <c r="BH645" i="1"/>
  <c r="BR644" i="1"/>
  <c r="BK644" i="1"/>
  <c r="BJ644" i="1"/>
  <c r="BH644" i="1"/>
  <c r="BN647" i="1"/>
  <c r="BN646" i="1"/>
  <c r="BN645" i="1"/>
  <c r="BN644" i="1"/>
  <c r="BS647" i="1"/>
  <c r="BS646" i="1"/>
  <c r="BS645" i="1"/>
  <c r="BS644" i="1"/>
  <c r="BO647" i="1"/>
  <c r="BO646" i="1"/>
  <c r="BO645" i="1"/>
  <c r="BO644" i="1"/>
  <c r="BT647" i="1"/>
  <c r="BT646" i="1"/>
  <c r="BT645" i="1"/>
  <c r="BT644" i="1"/>
  <c r="BU647" i="1"/>
  <c r="BQ647" i="1"/>
  <c r="BU646" i="1"/>
  <c r="BQ646" i="1"/>
  <c r="BU645" i="1"/>
  <c r="BQ645" i="1"/>
  <c r="BU644" i="1"/>
  <c r="BQ644" i="1"/>
  <c r="BM647" i="1"/>
  <c r="BM646" i="1"/>
  <c r="BM645" i="1"/>
  <c r="BM644" i="1"/>
  <c r="BL647" i="1"/>
  <c r="BI647" i="1"/>
  <c r="BL646" i="1"/>
  <c r="BI646" i="1"/>
  <c r="BL645" i="1"/>
  <c r="BI645" i="1"/>
  <c r="BL644" i="1"/>
  <c r="BI644" i="1"/>
  <c r="BP647" i="1"/>
  <c r="BP646" i="1"/>
  <c r="BP645" i="1"/>
  <c r="BP644" i="1"/>
  <c r="BR633" i="1"/>
  <c r="BK633" i="1"/>
  <c r="BJ633" i="1"/>
  <c r="BH633" i="1"/>
  <c r="BR632" i="1"/>
  <c r="BK632" i="1"/>
  <c r="BJ632" i="1"/>
  <c r="BH632" i="1"/>
  <c r="BR631" i="1"/>
  <c r="BK631" i="1"/>
  <c r="BJ631" i="1"/>
  <c r="BH631" i="1"/>
  <c r="BR630" i="1"/>
  <c r="BK630" i="1"/>
  <c r="BJ630" i="1"/>
  <c r="BH630" i="1"/>
  <c r="BR629" i="1"/>
  <c r="BK629" i="1"/>
  <c r="BJ629" i="1"/>
  <c r="BH629" i="1"/>
  <c r="BN633" i="1"/>
  <c r="BN632" i="1"/>
  <c r="BN631" i="1"/>
  <c r="BN630" i="1"/>
  <c r="BN629" i="1"/>
  <c r="BS633" i="1"/>
  <c r="BS632" i="1"/>
  <c r="BS631" i="1"/>
  <c r="BS630" i="1"/>
  <c r="BS629" i="1"/>
  <c r="BO633" i="1"/>
  <c r="BO632" i="1"/>
  <c r="BO631" i="1"/>
  <c r="BO630" i="1"/>
  <c r="BO629" i="1"/>
  <c r="BT633" i="1"/>
  <c r="BT632" i="1"/>
  <c r="BT631" i="1"/>
  <c r="BT630" i="1"/>
  <c r="BT629" i="1"/>
  <c r="BU633" i="1"/>
  <c r="BQ633" i="1"/>
  <c r="BU632" i="1"/>
  <c r="BQ632" i="1"/>
  <c r="BU631" i="1"/>
  <c r="BQ631" i="1"/>
  <c r="BU630" i="1"/>
  <c r="BQ630" i="1"/>
  <c r="BU629" i="1"/>
  <c r="BQ629" i="1"/>
  <c r="BM633" i="1"/>
  <c r="BM632" i="1"/>
  <c r="BM631" i="1"/>
  <c r="BM630" i="1"/>
  <c r="BM629" i="1"/>
  <c r="BL633" i="1"/>
  <c r="BI633" i="1"/>
  <c r="BL632" i="1"/>
  <c r="BI632" i="1"/>
  <c r="BL631" i="1"/>
  <c r="BI631" i="1"/>
  <c r="BL630" i="1"/>
  <c r="BI630" i="1"/>
  <c r="BL629" i="1"/>
  <c r="BI629" i="1"/>
  <c r="BP633" i="1"/>
  <c r="BP632" i="1"/>
  <c r="BP631" i="1"/>
  <c r="BP630" i="1"/>
  <c r="BP629" i="1"/>
  <c r="BR996" i="1"/>
  <c r="BK996" i="1"/>
  <c r="BH996" i="1"/>
  <c r="BR635" i="1"/>
  <c r="BK635" i="1"/>
  <c r="BJ635" i="1"/>
  <c r="BH635" i="1"/>
  <c r="BR634" i="1"/>
  <c r="BK634" i="1"/>
  <c r="BJ634" i="1"/>
  <c r="BH634" i="1"/>
  <c r="BN996" i="1"/>
  <c r="BN635" i="1"/>
  <c r="BN634" i="1"/>
  <c r="BS996" i="1"/>
  <c r="BS635" i="1"/>
  <c r="BS634" i="1"/>
  <c r="BO996" i="1"/>
  <c r="BO635" i="1"/>
  <c r="BO634" i="1"/>
  <c r="BT996" i="1"/>
  <c r="BT635" i="1"/>
  <c r="BT634" i="1"/>
  <c r="BU996" i="1"/>
  <c r="BQ996" i="1"/>
  <c r="BU635" i="1"/>
  <c r="BQ635" i="1"/>
  <c r="BU634" i="1"/>
  <c r="BQ634" i="1"/>
  <c r="BM996" i="1"/>
  <c r="BM635" i="1"/>
  <c r="BM634" i="1"/>
  <c r="BL996" i="1"/>
  <c r="BI996" i="1"/>
  <c r="BL635" i="1"/>
  <c r="BI635" i="1"/>
  <c r="BL634" i="1"/>
  <c r="BI634" i="1"/>
  <c r="BP996" i="1"/>
  <c r="BP635" i="1"/>
  <c r="BP634" i="1"/>
  <c r="BR627" i="1"/>
  <c r="BK627" i="1"/>
  <c r="BJ627" i="1"/>
  <c r="BH627" i="1"/>
  <c r="BR626" i="1"/>
  <c r="BK626" i="1"/>
  <c r="BJ626" i="1"/>
  <c r="BH626" i="1"/>
  <c r="BR625" i="1"/>
  <c r="BK625" i="1"/>
  <c r="BJ625" i="1"/>
  <c r="BH625" i="1"/>
  <c r="BR624" i="1"/>
  <c r="BK624" i="1"/>
  <c r="BJ624" i="1"/>
  <c r="BH624" i="1"/>
  <c r="BN627" i="1"/>
  <c r="BN626" i="1"/>
  <c r="BN625" i="1"/>
  <c r="BN624" i="1"/>
  <c r="BS627" i="1"/>
  <c r="BS626" i="1"/>
  <c r="BS625" i="1"/>
  <c r="BS624" i="1"/>
  <c r="BO627" i="1"/>
  <c r="BO626" i="1"/>
  <c r="BO625" i="1"/>
  <c r="BO624" i="1"/>
  <c r="BT627" i="1"/>
  <c r="BT626" i="1"/>
  <c r="BT625" i="1"/>
  <c r="BT624" i="1"/>
  <c r="BU627" i="1"/>
  <c r="BQ627" i="1"/>
  <c r="BU626" i="1"/>
  <c r="BQ626" i="1"/>
  <c r="BU625" i="1"/>
  <c r="BQ625" i="1"/>
  <c r="BU624" i="1"/>
  <c r="BQ624" i="1"/>
  <c r="BM627" i="1"/>
  <c r="BM626" i="1"/>
  <c r="BM625" i="1"/>
  <c r="BM624" i="1"/>
  <c r="BL627" i="1"/>
  <c r="BI627" i="1"/>
  <c r="BL626" i="1"/>
  <c r="BI626" i="1"/>
  <c r="BL625" i="1"/>
  <c r="BI625" i="1"/>
  <c r="BL624" i="1"/>
  <c r="BI624" i="1"/>
  <c r="BP627" i="1"/>
  <c r="BP626" i="1"/>
  <c r="BP625" i="1"/>
  <c r="BP624" i="1"/>
  <c r="BR617" i="1"/>
  <c r="BK617" i="1"/>
  <c r="BJ617" i="1"/>
  <c r="BH617" i="1"/>
  <c r="BR616" i="1"/>
  <c r="BK616" i="1"/>
  <c r="BJ616" i="1"/>
  <c r="BH616" i="1"/>
  <c r="BR615" i="1"/>
  <c r="BK615" i="1"/>
  <c r="BJ615" i="1"/>
  <c r="BH615" i="1"/>
  <c r="BR614" i="1"/>
  <c r="BK614" i="1"/>
  <c r="BJ614" i="1"/>
  <c r="BH614" i="1"/>
  <c r="BR613" i="1"/>
  <c r="BK613" i="1"/>
  <c r="BJ613" i="1"/>
  <c r="BH613" i="1"/>
  <c r="BR612" i="1"/>
  <c r="BK612" i="1"/>
  <c r="BJ612" i="1"/>
  <c r="BH612" i="1"/>
  <c r="BR611" i="1"/>
  <c r="BK611" i="1"/>
  <c r="BJ611" i="1"/>
  <c r="BH611" i="1"/>
  <c r="BR610" i="1"/>
  <c r="BK610" i="1"/>
  <c r="BJ610" i="1"/>
  <c r="BH610" i="1"/>
  <c r="BR609" i="1"/>
  <c r="BK609" i="1"/>
  <c r="BJ609" i="1"/>
  <c r="BH609" i="1"/>
  <c r="BR608" i="1"/>
  <c r="BK608" i="1"/>
  <c r="BJ608" i="1"/>
  <c r="BH608" i="1"/>
  <c r="BN617" i="1"/>
  <c r="BN616" i="1"/>
  <c r="BN615" i="1"/>
  <c r="BN614" i="1"/>
  <c r="BN613" i="1"/>
  <c r="BN612" i="1"/>
  <c r="BN611" i="1"/>
  <c r="BN610" i="1"/>
  <c r="BN609" i="1"/>
  <c r="BN608" i="1"/>
  <c r="BS617" i="1"/>
  <c r="BS616" i="1"/>
  <c r="BS615" i="1"/>
  <c r="BS614" i="1"/>
  <c r="BS613" i="1"/>
  <c r="BS612" i="1"/>
  <c r="BS611" i="1"/>
  <c r="BS610" i="1"/>
  <c r="BS609" i="1"/>
  <c r="BS608" i="1"/>
  <c r="BO617" i="1"/>
  <c r="BO616" i="1"/>
  <c r="BO615" i="1"/>
  <c r="BO614" i="1"/>
  <c r="BO613" i="1"/>
  <c r="BO612" i="1"/>
  <c r="BO611" i="1"/>
  <c r="BO610" i="1"/>
  <c r="BO609" i="1"/>
  <c r="BO608" i="1"/>
  <c r="BT617" i="1"/>
  <c r="BT616" i="1"/>
  <c r="BT615" i="1"/>
  <c r="BT614" i="1"/>
  <c r="BT613" i="1"/>
  <c r="BT612" i="1"/>
  <c r="BT611" i="1"/>
  <c r="BT610" i="1"/>
  <c r="BT609" i="1"/>
  <c r="BT608" i="1"/>
  <c r="BU617" i="1"/>
  <c r="BQ617" i="1"/>
  <c r="BU616" i="1"/>
  <c r="BQ616" i="1"/>
  <c r="BU615" i="1"/>
  <c r="BQ615" i="1"/>
  <c r="BU614" i="1"/>
  <c r="BQ614" i="1"/>
  <c r="BU613" i="1"/>
  <c r="BQ613" i="1"/>
  <c r="BU612" i="1"/>
  <c r="BQ612" i="1"/>
  <c r="BU611" i="1"/>
  <c r="BQ611" i="1"/>
  <c r="BU610" i="1"/>
  <c r="BQ610" i="1"/>
  <c r="BU609" i="1"/>
  <c r="BQ609" i="1"/>
  <c r="BU608" i="1"/>
  <c r="BQ608" i="1"/>
  <c r="BM617" i="1"/>
  <c r="BM616" i="1"/>
  <c r="BM615" i="1"/>
  <c r="BM614" i="1"/>
  <c r="BM613" i="1"/>
  <c r="BM612" i="1"/>
  <c r="BM611" i="1"/>
  <c r="BM610" i="1"/>
  <c r="BM609" i="1"/>
  <c r="BM608" i="1"/>
  <c r="BL617" i="1"/>
  <c r="BI617" i="1"/>
  <c r="BL616" i="1"/>
  <c r="BI616" i="1"/>
  <c r="BL615" i="1"/>
  <c r="BI615" i="1"/>
  <c r="BL614" i="1"/>
  <c r="BI614" i="1"/>
  <c r="BL613" i="1"/>
  <c r="BI613" i="1"/>
  <c r="BL612" i="1"/>
  <c r="BI612" i="1"/>
  <c r="BL611" i="1"/>
  <c r="BI611" i="1"/>
  <c r="BL610" i="1"/>
  <c r="BI610" i="1"/>
  <c r="BL609" i="1"/>
  <c r="BI609" i="1"/>
  <c r="BL608" i="1"/>
  <c r="BI608" i="1"/>
  <c r="BP617" i="1"/>
  <c r="BP616" i="1"/>
  <c r="BP615" i="1"/>
  <c r="BP614" i="1"/>
  <c r="BP613" i="1"/>
  <c r="BP612" i="1"/>
  <c r="BP611" i="1"/>
  <c r="BP610" i="1"/>
  <c r="BP609" i="1"/>
  <c r="BP608" i="1"/>
  <c r="BR622" i="1"/>
  <c r="BK622" i="1"/>
  <c r="BJ622" i="1"/>
  <c r="BH622" i="1"/>
  <c r="BR621" i="1"/>
  <c r="BK621" i="1"/>
  <c r="BJ621" i="1"/>
  <c r="BH621" i="1"/>
  <c r="BR620" i="1"/>
  <c r="BK620" i="1"/>
  <c r="BJ620" i="1"/>
  <c r="BH620" i="1"/>
  <c r="BR619" i="1"/>
  <c r="BK619" i="1"/>
  <c r="BJ619" i="1"/>
  <c r="BH619" i="1"/>
  <c r="BR618" i="1"/>
  <c r="BK618" i="1"/>
  <c r="BJ618" i="1"/>
  <c r="BH618" i="1"/>
  <c r="BN622" i="1"/>
  <c r="BN621" i="1"/>
  <c r="BN620" i="1"/>
  <c r="BN619" i="1"/>
  <c r="BN618" i="1"/>
  <c r="BS622" i="1"/>
  <c r="BS621" i="1"/>
  <c r="BS620" i="1"/>
  <c r="BS619" i="1"/>
  <c r="BS618" i="1"/>
  <c r="BO622" i="1"/>
  <c r="BO621" i="1"/>
  <c r="BO620" i="1"/>
  <c r="BO619" i="1"/>
  <c r="BO618" i="1"/>
  <c r="BT622" i="1"/>
  <c r="BT621" i="1"/>
  <c r="BT620" i="1"/>
  <c r="BT619" i="1"/>
  <c r="BT618" i="1"/>
  <c r="BU622" i="1"/>
  <c r="BQ622" i="1"/>
  <c r="BU621" i="1"/>
  <c r="BQ621" i="1"/>
  <c r="BU620" i="1"/>
  <c r="BQ620" i="1"/>
  <c r="BU619" i="1"/>
  <c r="BQ619" i="1"/>
  <c r="BU618" i="1"/>
  <c r="BQ618" i="1"/>
  <c r="BM622" i="1"/>
  <c r="BM621" i="1"/>
  <c r="BM620" i="1"/>
  <c r="BM619" i="1"/>
  <c r="BM618" i="1"/>
  <c r="BL622" i="1"/>
  <c r="BI622" i="1"/>
  <c r="BL621" i="1"/>
  <c r="BI621" i="1"/>
  <c r="BL620" i="1"/>
  <c r="BI620" i="1"/>
  <c r="BL619" i="1"/>
  <c r="BI619" i="1"/>
  <c r="BL618" i="1"/>
  <c r="BI618" i="1"/>
  <c r="BP622" i="1"/>
  <c r="BP621" i="1"/>
  <c r="BP620" i="1"/>
  <c r="BP619" i="1"/>
  <c r="BP618" i="1"/>
  <c r="BR602" i="1"/>
  <c r="BK602" i="1"/>
  <c r="BJ602" i="1"/>
  <c r="BH602" i="1"/>
  <c r="BR601" i="1"/>
  <c r="BK601" i="1"/>
  <c r="BJ601" i="1"/>
  <c r="BH601" i="1"/>
  <c r="BR600" i="1"/>
  <c r="BK600" i="1"/>
  <c r="BJ600" i="1"/>
  <c r="BH600" i="1"/>
  <c r="BR599" i="1"/>
  <c r="BK599" i="1"/>
  <c r="BJ599" i="1"/>
  <c r="BH599" i="1"/>
  <c r="BR598" i="1"/>
  <c r="BK598" i="1"/>
  <c r="BJ598" i="1"/>
  <c r="BH598" i="1"/>
  <c r="BR597" i="1"/>
  <c r="BK597" i="1"/>
  <c r="BJ597" i="1"/>
  <c r="BH597" i="1"/>
  <c r="BR596" i="1"/>
  <c r="BK596" i="1"/>
  <c r="BJ596" i="1"/>
  <c r="BH596" i="1"/>
  <c r="BR595" i="1"/>
  <c r="BK595" i="1"/>
  <c r="BJ595" i="1"/>
  <c r="BH595" i="1"/>
  <c r="BN602" i="1"/>
  <c r="BN601" i="1"/>
  <c r="BN600" i="1"/>
  <c r="BN599" i="1"/>
  <c r="BN598" i="1"/>
  <c r="BN597" i="1"/>
  <c r="BN596" i="1"/>
  <c r="BN595" i="1"/>
  <c r="BS602" i="1"/>
  <c r="BS601" i="1"/>
  <c r="BS600" i="1"/>
  <c r="BS599" i="1"/>
  <c r="BS598" i="1"/>
  <c r="BS597" i="1"/>
  <c r="BS596" i="1"/>
  <c r="BS595" i="1"/>
  <c r="BO602" i="1"/>
  <c r="BO601" i="1"/>
  <c r="BO600" i="1"/>
  <c r="BO599" i="1"/>
  <c r="BO598" i="1"/>
  <c r="BO597" i="1"/>
  <c r="BO596" i="1"/>
  <c r="BO595" i="1"/>
  <c r="BT602" i="1"/>
  <c r="BT601" i="1"/>
  <c r="BT600" i="1"/>
  <c r="BT599" i="1"/>
  <c r="BT598" i="1"/>
  <c r="BT597" i="1"/>
  <c r="BT596" i="1"/>
  <c r="BT595" i="1"/>
  <c r="BU602" i="1"/>
  <c r="BQ602" i="1"/>
  <c r="BU601" i="1"/>
  <c r="BQ601" i="1"/>
  <c r="BU600" i="1"/>
  <c r="BQ600" i="1"/>
  <c r="BU599" i="1"/>
  <c r="BQ599" i="1"/>
  <c r="BU598" i="1"/>
  <c r="BQ598" i="1"/>
  <c r="BU597" i="1"/>
  <c r="BQ597" i="1"/>
  <c r="BU596" i="1"/>
  <c r="BQ596" i="1"/>
  <c r="BU595" i="1"/>
  <c r="BQ595" i="1"/>
  <c r="BM602" i="1"/>
  <c r="BM601" i="1"/>
  <c r="BM600" i="1"/>
  <c r="BM599" i="1"/>
  <c r="BM598" i="1"/>
  <c r="BM597" i="1"/>
  <c r="BM596" i="1"/>
  <c r="BM595" i="1"/>
  <c r="BL602" i="1"/>
  <c r="BI602" i="1"/>
  <c r="BL601" i="1"/>
  <c r="BI601" i="1"/>
  <c r="BL600" i="1"/>
  <c r="BI600" i="1"/>
  <c r="BL599" i="1"/>
  <c r="BI599" i="1"/>
  <c r="BL598" i="1"/>
  <c r="BI598" i="1"/>
  <c r="BL597" i="1"/>
  <c r="BI597" i="1"/>
  <c r="BL596" i="1"/>
  <c r="BI596" i="1"/>
  <c r="BL595" i="1"/>
  <c r="BI595" i="1"/>
  <c r="BP602" i="1"/>
  <c r="BP601" i="1"/>
  <c r="BP600" i="1"/>
  <c r="BP599" i="1"/>
  <c r="BP598" i="1"/>
  <c r="BP597" i="1"/>
  <c r="BP596" i="1"/>
  <c r="BP595" i="1"/>
  <c r="BR605" i="1"/>
  <c r="BK605" i="1"/>
  <c r="BJ605" i="1"/>
  <c r="BH605" i="1"/>
  <c r="BR604" i="1"/>
  <c r="BK604" i="1"/>
  <c r="BJ604" i="1"/>
  <c r="BH604" i="1"/>
  <c r="BR603" i="1"/>
  <c r="BK603" i="1"/>
  <c r="BJ603" i="1"/>
  <c r="BH603" i="1"/>
  <c r="BR594" i="1"/>
  <c r="BK594" i="1"/>
  <c r="BJ594" i="1"/>
  <c r="BH594" i="1"/>
  <c r="BR593" i="1"/>
  <c r="BK593" i="1"/>
  <c r="BJ593" i="1"/>
  <c r="BH593" i="1"/>
  <c r="BR592" i="1"/>
  <c r="BK592" i="1"/>
  <c r="BJ592" i="1"/>
  <c r="BH592" i="1"/>
  <c r="BN605" i="1"/>
  <c r="BN604" i="1"/>
  <c r="BN603" i="1"/>
  <c r="BN594" i="1"/>
  <c r="BN593" i="1"/>
  <c r="BN592" i="1"/>
  <c r="BS605" i="1"/>
  <c r="BS604" i="1"/>
  <c r="BS603" i="1"/>
  <c r="BS594" i="1"/>
  <c r="BS593" i="1"/>
  <c r="BS592" i="1"/>
  <c r="BO605" i="1"/>
  <c r="BO604" i="1"/>
  <c r="BO603" i="1"/>
  <c r="BO594" i="1"/>
  <c r="BO593" i="1"/>
  <c r="BO592" i="1"/>
  <c r="BT605" i="1"/>
  <c r="BT604" i="1"/>
  <c r="BT603" i="1"/>
  <c r="BT594" i="1"/>
  <c r="BT593" i="1"/>
  <c r="BT592" i="1"/>
  <c r="BU605" i="1"/>
  <c r="BQ605" i="1"/>
  <c r="BU604" i="1"/>
  <c r="BQ604" i="1"/>
  <c r="BU603" i="1"/>
  <c r="BQ603" i="1"/>
  <c r="BU594" i="1"/>
  <c r="BQ594" i="1"/>
  <c r="BU593" i="1"/>
  <c r="BQ593" i="1"/>
  <c r="BU592" i="1"/>
  <c r="BQ592" i="1"/>
  <c r="BM605" i="1"/>
  <c r="BM604" i="1"/>
  <c r="BM603" i="1"/>
  <c r="BM594" i="1"/>
  <c r="BM593" i="1"/>
  <c r="BM592" i="1"/>
  <c r="BL605" i="1"/>
  <c r="BI605" i="1"/>
  <c r="BL604" i="1"/>
  <c r="BI604" i="1"/>
  <c r="BL603" i="1"/>
  <c r="BI603" i="1"/>
  <c r="BL594" i="1"/>
  <c r="BI594" i="1"/>
  <c r="BL593" i="1"/>
  <c r="BI593" i="1"/>
  <c r="BL592" i="1"/>
  <c r="BI592" i="1"/>
  <c r="BP605" i="1"/>
  <c r="BP604" i="1"/>
  <c r="BP603" i="1"/>
  <c r="BP594" i="1"/>
  <c r="BP593" i="1"/>
  <c r="BP592" i="1"/>
  <c r="BR623" i="1"/>
  <c r="BK623" i="1"/>
  <c r="BJ623" i="1"/>
  <c r="BH623" i="1"/>
  <c r="BR607" i="1"/>
  <c r="BK607" i="1"/>
  <c r="BJ607" i="1"/>
  <c r="BH607" i="1"/>
  <c r="BR606" i="1"/>
  <c r="BK606" i="1"/>
  <c r="BJ606" i="1"/>
  <c r="BH606" i="1"/>
  <c r="BJ584" i="1"/>
  <c r="BN623" i="1"/>
  <c r="BN607" i="1"/>
  <c r="BN606" i="1"/>
  <c r="BR584" i="1"/>
  <c r="BK584" i="1"/>
  <c r="BH584" i="1"/>
  <c r="BN584" i="1"/>
  <c r="BS623" i="1"/>
  <c r="BS607" i="1"/>
  <c r="BS606" i="1"/>
  <c r="BS584" i="1"/>
  <c r="BO623" i="1"/>
  <c r="BO607" i="1"/>
  <c r="BO606" i="1"/>
  <c r="BO584" i="1"/>
  <c r="BT623" i="1"/>
  <c r="BT607" i="1"/>
  <c r="BT606" i="1"/>
  <c r="BT584" i="1"/>
  <c r="BU623" i="1"/>
  <c r="BQ623" i="1"/>
  <c r="BU607" i="1"/>
  <c r="BQ607" i="1"/>
  <c r="BU606" i="1"/>
  <c r="BQ606" i="1"/>
  <c r="BU584" i="1"/>
  <c r="BQ584" i="1"/>
  <c r="BM623" i="1"/>
  <c r="BM607" i="1"/>
  <c r="BM606" i="1"/>
  <c r="BM584" i="1"/>
  <c r="BL623" i="1"/>
  <c r="BI623" i="1"/>
  <c r="BL607" i="1"/>
  <c r="BI607" i="1"/>
  <c r="BL606" i="1"/>
  <c r="BI606" i="1"/>
  <c r="BP623" i="1"/>
  <c r="BP607" i="1"/>
  <c r="BP606" i="1"/>
  <c r="BL584" i="1"/>
  <c r="BI584" i="1"/>
  <c r="BP584" i="1"/>
  <c r="BR589" i="1"/>
  <c r="BK589" i="1"/>
  <c r="BJ589" i="1"/>
  <c r="BH589" i="1"/>
  <c r="BR588" i="1"/>
  <c r="BK588" i="1"/>
  <c r="BJ588" i="1"/>
  <c r="BH588" i="1"/>
  <c r="BR587" i="1"/>
  <c r="BK587" i="1"/>
  <c r="BJ587" i="1"/>
  <c r="BH587" i="1"/>
  <c r="BR586" i="1"/>
  <c r="BK586" i="1"/>
  <c r="BJ586" i="1"/>
  <c r="BH586" i="1"/>
  <c r="BR585" i="1"/>
  <c r="BK585" i="1"/>
  <c r="BJ585" i="1"/>
  <c r="BH585" i="1"/>
  <c r="BN589" i="1"/>
  <c r="BN588" i="1"/>
  <c r="BN587" i="1"/>
  <c r="BN586" i="1"/>
  <c r="BN585" i="1"/>
  <c r="BS589" i="1"/>
  <c r="BS588" i="1"/>
  <c r="BS587" i="1"/>
  <c r="BS586" i="1"/>
  <c r="BS585" i="1"/>
  <c r="BO589" i="1"/>
  <c r="BO588" i="1"/>
  <c r="BO587" i="1"/>
  <c r="BO586" i="1"/>
  <c r="BO585" i="1"/>
  <c r="BT589" i="1"/>
  <c r="BT588" i="1"/>
  <c r="BT587" i="1"/>
  <c r="BT586" i="1"/>
  <c r="BT585" i="1"/>
  <c r="BU589" i="1"/>
  <c r="BQ589" i="1"/>
  <c r="BU588" i="1"/>
  <c r="BQ588" i="1"/>
  <c r="BU587" i="1"/>
  <c r="BQ587" i="1"/>
  <c r="BU586" i="1"/>
  <c r="BQ586" i="1"/>
  <c r="BU585" i="1"/>
  <c r="BQ585" i="1"/>
  <c r="BM589" i="1"/>
  <c r="BM588" i="1"/>
  <c r="BM587" i="1"/>
  <c r="BM586" i="1"/>
  <c r="BM585" i="1"/>
  <c r="BL589" i="1"/>
  <c r="BI589" i="1"/>
  <c r="BL588" i="1"/>
  <c r="BI588" i="1"/>
  <c r="BL587" i="1"/>
  <c r="BI587" i="1"/>
  <c r="BL586" i="1"/>
  <c r="BI586" i="1"/>
  <c r="BL585" i="1"/>
  <c r="BI585" i="1"/>
  <c r="BP589" i="1"/>
  <c r="BP588" i="1"/>
  <c r="BP587" i="1"/>
  <c r="BP586" i="1"/>
  <c r="BP585" i="1"/>
  <c r="BR628" i="1"/>
  <c r="BK628" i="1"/>
  <c r="BJ628" i="1"/>
  <c r="BH628" i="1"/>
  <c r="BR591" i="1"/>
  <c r="BK591" i="1"/>
  <c r="BJ591" i="1"/>
  <c r="BH591" i="1"/>
  <c r="BR590" i="1"/>
  <c r="BK590" i="1"/>
  <c r="BJ590" i="1"/>
  <c r="BH590" i="1"/>
  <c r="BN628" i="1"/>
  <c r="BN591" i="1"/>
  <c r="BN590" i="1"/>
  <c r="BS628" i="1"/>
  <c r="BS591" i="1"/>
  <c r="BS590" i="1"/>
  <c r="BO628" i="1"/>
  <c r="BO591" i="1"/>
  <c r="BO590" i="1"/>
  <c r="BT628" i="1"/>
  <c r="BT591" i="1"/>
  <c r="BT590" i="1"/>
  <c r="BU628" i="1"/>
  <c r="BQ628" i="1"/>
  <c r="BU591" i="1"/>
  <c r="BQ591" i="1"/>
  <c r="BU590" i="1"/>
  <c r="BQ590" i="1"/>
  <c r="BM628" i="1"/>
  <c r="BM591" i="1"/>
  <c r="BM590" i="1"/>
  <c r="BL628" i="1"/>
  <c r="BI628" i="1"/>
  <c r="BL591" i="1"/>
  <c r="BI591" i="1"/>
  <c r="BL590" i="1"/>
  <c r="BI590" i="1"/>
  <c r="BP628" i="1"/>
  <c r="BP591" i="1"/>
  <c r="BP590" i="1"/>
  <c r="BR583" i="1"/>
  <c r="BK583" i="1"/>
  <c r="BJ583" i="1"/>
  <c r="BH583" i="1"/>
  <c r="BR582" i="1"/>
  <c r="BK582" i="1"/>
  <c r="BJ582" i="1"/>
  <c r="BH582" i="1"/>
  <c r="BR581" i="1"/>
  <c r="BK581" i="1"/>
  <c r="BJ581" i="1"/>
  <c r="BH581" i="1"/>
  <c r="BR580" i="1"/>
  <c r="BK580" i="1"/>
  <c r="BJ580" i="1"/>
  <c r="BH580" i="1"/>
  <c r="BN583" i="1"/>
  <c r="BN582" i="1"/>
  <c r="BN581" i="1"/>
  <c r="BN580" i="1"/>
  <c r="BS583" i="1"/>
  <c r="BS582" i="1"/>
  <c r="BS581" i="1"/>
  <c r="BS580" i="1"/>
  <c r="BO583" i="1"/>
  <c r="BO582" i="1"/>
  <c r="BO581" i="1"/>
  <c r="BO580" i="1"/>
  <c r="BT583" i="1"/>
  <c r="BT582" i="1"/>
  <c r="BT581" i="1"/>
  <c r="BT580" i="1"/>
  <c r="BU583" i="1"/>
  <c r="BQ583" i="1"/>
  <c r="BU582" i="1"/>
  <c r="BQ582" i="1"/>
  <c r="BU581" i="1"/>
  <c r="BQ581" i="1"/>
  <c r="BU580" i="1"/>
  <c r="BQ580" i="1"/>
  <c r="BM583" i="1"/>
  <c r="BM582" i="1"/>
  <c r="BM581" i="1"/>
  <c r="BM580" i="1"/>
  <c r="BL583" i="1"/>
  <c r="BI583" i="1"/>
  <c r="BL582" i="1"/>
  <c r="BI582" i="1"/>
  <c r="BL581" i="1"/>
  <c r="BI581" i="1"/>
  <c r="BL580" i="1"/>
  <c r="BI580" i="1"/>
  <c r="BP583" i="1"/>
  <c r="BP582" i="1"/>
  <c r="BP581" i="1"/>
  <c r="BP580" i="1"/>
  <c r="BR579" i="1"/>
  <c r="BK579" i="1"/>
  <c r="BJ579" i="1"/>
  <c r="BH579" i="1"/>
  <c r="BR578" i="1"/>
  <c r="BK578" i="1"/>
  <c r="BJ578" i="1"/>
  <c r="BH578" i="1"/>
  <c r="BR577" i="1"/>
  <c r="BK577" i="1"/>
  <c r="BJ577" i="1"/>
  <c r="BH577" i="1"/>
  <c r="BK567" i="1"/>
  <c r="BN579" i="1"/>
  <c r="BN578" i="1"/>
  <c r="BN577" i="1"/>
  <c r="BN567" i="1"/>
  <c r="BR567" i="1"/>
  <c r="BJ567" i="1"/>
  <c r="BS579" i="1"/>
  <c r="BS578" i="1"/>
  <c r="BS577" i="1"/>
  <c r="BO579" i="1"/>
  <c r="BO578" i="1"/>
  <c r="BO577" i="1"/>
  <c r="BO567" i="1"/>
  <c r="BT579" i="1"/>
  <c r="BT578" i="1"/>
  <c r="BT577" i="1"/>
  <c r="BU579" i="1"/>
  <c r="BQ579" i="1"/>
  <c r="BU578" i="1"/>
  <c r="BQ578" i="1"/>
  <c r="BU577" i="1"/>
  <c r="BQ577" i="1"/>
  <c r="BU567" i="1"/>
  <c r="BM579" i="1"/>
  <c r="BM578" i="1"/>
  <c r="BM577" i="1"/>
  <c r="BM567" i="1"/>
  <c r="BL579" i="1"/>
  <c r="BI579" i="1"/>
  <c r="BL578" i="1"/>
  <c r="BI578" i="1"/>
  <c r="BL577" i="1"/>
  <c r="BI577" i="1"/>
  <c r="BP579" i="1"/>
  <c r="BP578" i="1"/>
  <c r="BP577" i="1"/>
  <c r="BP567" i="1"/>
  <c r="BT567" i="1"/>
  <c r="BI567" i="1"/>
  <c r="BL567" i="1"/>
  <c r="BS567" i="1"/>
  <c r="BQ567" i="1"/>
  <c r="BH567" i="1"/>
  <c r="BR571" i="1"/>
  <c r="BK571" i="1"/>
  <c r="BJ571" i="1"/>
  <c r="BH571" i="1"/>
  <c r="BR570" i="1"/>
  <c r="BK570" i="1"/>
  <c r="BJ570" i="1"/>
  <c r="BH570" i="1"/>
  <c r="BR569" i="1"/>
  <c r="BK569" i="1"/>
  <c r="BJ569" i="1"/>
  <c r="BH569" i="1"/>
  <c r="BR568" i="1"/>
  <c r="BK568" i="1"/>
  <c r="BJ568" i="1"/>
  <c r="BH568" i="1"/>
  <c r="BR566" i="1"/>
  <c r="BK566" i="1"/>
  <c r="BJ566" i="1"/>
  <c r="BH566" i="1"/>
  <c r="BR565" i="1"/>
  <c r="BK565" i="1"/>
  <c r="BJ565" i="1"/>
  <c r="BH565" i="1"/>
  <c r="BR564" i="1"/>
  <c r="BK564" i="1"/>
  <c r="BJ564" i="1"/>
  <c r="BH564" i="1"/>
  <c r="BN571" i="1"/>
  <c r="BN570" i="1"/>
  <c r="BN569" i="1"/>
  <c r="BN568" i="1"/>
  <c r="BN566" i="1"/>
  <c r="BN565" i="1"/>
  <c r="BN564" i="1"/>
  <c r="BS571" i="1"/>
  <c r="BS570" i="1"/>
  <c r="BS569" i="1"/>
  <c r="BS568" i="1"/>
  <c r="BS566" i="1"/>
  <c r="BS565" i="1"/>
  <c r="BS564" i="1"/>
  <c r="BO571" i="1"/>
  <c r="BO570" i="1"/>
  <c r="BO569" i="1"/>
  <c r="BO568" i="1"/>
  <c r="BO566" i="1"/>
  <c r="BO565" i="1"/>
  <c r="BO564" i="1"/>
  <c r="BT571" i="1"/>
  <c r="BT570" i="1"/>
  <c r="BT569" i="1"/>
  <c r="BT568" i="1"/>
  <c r="BT566" i="1"/>
  <c r="BT565" i="1"/>
  <c r="BT564" i="1"/>
  <c r="BU571" i="1"/>
  <c r="BQ571" i="1"/>
  <c r="BU570" i="1"/>
  <c r="BQ570" i="1"/>
  <c r="BU569" i="1"/>
  <c r="BQ569" i="1"/>
  <c r="BU568" i="1"/>
  <c r="BQ568" i="1"/>
  <c r="BU566" i="1"/>
  <c r="BQ566" i="1"/>
  <c r="BU565" i="1"/>
  <c r="BQ565" i="1"/>
  <c r="BU564" i="1"/>
  <c r="BQ564" i="1"/>
  <c r="BM571" i="1"/>
  <c r="BM570" i="1"/>
  <c r="BM569" i="1"/>
  <c r="BM568" i="1"/>
  <c r="BM566" i="1"/>
  <c r="BM565" i="1"/>
  <c r="BM564" i="1"/>
  <c r="BL571" i="1"/>
  <c r="BI571" i="1"/>
  <c r="BL570" i="1"/>
  <c r="BI570" i="1"/>
  <c r="BL569" i="1"/>
  <c r="BI569" i="1"/>
  <c r="BL568" i="1"/>
  <c r="BI568" i="1"/>
  <c r="BL566" i="1"/>
  <c r="BI566" i="1"/>
  <c r="BL565" i="1"/>
  <c r="BI565" i="1"/>
  <c r="BL564" i="1"/>
  <c r="BI564" i="1"/>
  <c r="BP571" i="1"/>
  <c r="BP570" i="1"/>
  <c r="BP569" i="1"/>
  <c r="BP568" i="1"/>
  <c r="BP566" i="1"/>
  <c r="BP565" i="1"/>
  <c r="BP564" i="1"/>
  <c r="BR575" i="1"/>
  <c r="BK575" i="1"/>
  <c r="BJ575" i="1"/>
  <c r="BH575" i="1"/>
  <c r="BR574" i="1"/>
  <c r="BK574" i="1"/>
  <c r="BJ574" i="1"/>
  <c r="BH574" i="1"/>
  <c r="BR573" i="1"/>
  <c r="BK573" i="1"/>
  <c r="BJ573" i="1"/>
  <c r="BH573" i="1"/>
  <c r="BR572" i="1"/>
  <c r="BK572" i="1"/>
  <c r="BJ572" i="1"/>
  <c r="BH572" i="1"/>
  <c r="BN575" i="1"/>
  <c r="BN574" i="1"/>
  <c r="BN573" i="1"/>
  <c r="BN572" i="1"/>
  <c r="BS575" i="1"/>
  <c r="BS574" i="1"/>
  <c r="BS573" i="1"/>
  <c r="BS572" i="1"/>
  <c r="BO575" i="1"/>
  <c r="BO574" i="1"/>
  <c r="BO573" i="1"/>
  <c r="BO572" i="1"/>
  <c r="BT575" i="1"/>
  <c r="BT574" i="1"/>
  <c r="BT573" i="1"/>
  <c r="BT572" i="1"/>
  <c r="BU575" i="1"/>
  <c r="BQ575" i="1"/>
  <c r="BU574" i="1"/>
  <c r="BQ574" i="1"/>
  <c r="BU573" i="1"/>
  <c r="BQ573" i="1"/>
  <c r="BU572" i="1"/>
  <c r="BQ572" i="1"/>
  <c r="BM575" i="1"/>
  <c r="BM574" i="1"/>
  <c r="BM573" i="1"/>
  <c r="BM572" i="1"/>
  <c r="BL575" i="1"/>
  <c r="BI575" i="1"/>
  <c r="BL574" i="1"/>
  <c r="BI574" i="1"/>
  <c r="BL573" i="1"/>
  <c r="BI573" i="1"/>
  <c r="BL572" i="1"/>
  <c r="BI572" i="1"/>
  <c r="BP575" i="1"/>
  <c r="BP574" i="1"/>
  <c r="BP573" i="1"/>
  <c r="BP572" i="1"/>
  <c r="BR576" i="1"/>
  <c r="BK576" i="1"/>
  <c r="BJ576" i="1"/>
  <c r="BH576" i="1"/>
  <c r="BN576" i="1"/>
  <c r="BS576" i="1"/>
  <c r="BO576" i="1"/>
  <c r="BT576" i="1"/>
  <c r="BU576" i="1"/>
  <c r="BQ576" i="1"/>
  <c r="BM576" i="1"/>
  <c r="BL576" i="1"/>
  <c r="BI576" i="1"/>
  <c r="BP576" i="1"/>
  <c r="BR560" i="1"/>
  <c r="BK560" i="1"/>
  <c r="BJ560" i="1"/>
  <c r="BH560" i="1"/>
  <c r="BR559" i="1"/>
  <c r="BK559" i="1"/>
  <c r="BJ559" i="1"/>
  <c r="BH559" i="1"/>
  <c r="BR558" i="1"/>
  <c r="BK558" i="1"/>
  <c r="BJ558" i="1"/>
  <c r="BH558" i="1"/>
  <c r="BR557" i="1"/>
  <c r="BK557" i="1"/>
  <c r="BJ557" i="1"/>
  <c r="BH557" i="1"/>
  <c r="BR556" i="1"/>
  <c r="BK556" i="1"/>
  <c r="BJ556" i="1"/>
  <c r="BH556" i="1"/>
  <c r="BH267" i="1"/>
  <c r="BJ267" i="1"/>
  <c r="BK267" i="1"/>
  <c r="BR267" i="1"/>
  <c r="BH268" i="1"/>
  <c r="BJ268" i="1"/>
  <c r="BK268" i="1"/>
  <c r="BR268" i="1"/>
  <c r="BH269" i="1"/>
  <c r="BJ269" i="1"/>
  <c r="BK269" i="1"/>
  <c r="BR269" i="1"/>
  <c r="BH270" i="1"/>
  <c r="BJ270" i="1"/>
  <c r="BK270" i="1"/>
  <c r="BR270" i="1"/>
  <c r="BH271" i="1"/>
  <c r="BJ271" i="1"/>
  <c r="BK271" i="1"/>
  <c r="BR271" i="1"/>
  <c r="BH272" i="1"/>
  <c r="BJ272" i="1"/>
  <c r="BK272" i="1"/>
  <c r="BR272" i="1"/>
  <c r="BH273" i="1"/>
  <c r="BJ273" i="1"/>
  <c r="BK273" i="1"/>
  <c r="BR273" i="1"/>
  <c r="BH274" i="1"/>
  <c r="BJ274" i="1"/>
  <c r="BK274" i="1"/>
  <c r="BR274" i="1"/>
  <c r="BH275" i="1"/>
  <c r="BJ275" i="1"/>
  <c r="BK275" i="1"/>
  <c r="BR275" i="1"/>
  <c r="BH276" i="1"/>
  <c r="BJ276" i="1"/>
  <c r="BK276" i="1"/>
  <c r="BR276" i="1"/>
  <c r="BH277" i="1"/>
  <c r="BJ277" i="1"/>
  <c r="BK277" i="1"/>
  <c r="BR277" i="1"/>
  <c r="BH278" i="1"/>
  <c r="BJ278" i="1"/>
  <c r="BK278" i="1"/>
  <c r="BR278" i="1"/>
  <c r="BH279" i="1"/>
  <c r="BJ279" i="1"/>
  <c r="BK279" i="1"/>
  <c r="BR279" i="1"/>
  <c r="BH280" i="1"/>
  <c r="BJ280" i="1"/>
  <c r="BK280" i="1"/>
  <c r="BR280" i="1"/>
  <c r="BH281" i="1"/>
  <c r="BJ281" i="1"/>
  <c r="BK281" i="1"/>
  <c r="BR281" i="1"/>
  <c r="BH282" i="1"/>
  <c r="BJ282" i="1"/>
  <c r="BK282" i="1"/>
  <c r="BR282" i="1"/>
  <c r="BH283" i="1"/>
  <c r="BJ283" i="1"/>
  <c r="BK283" i="1"/>
  <c r="BR283" i="1"/>
  <c r="BH284" i="1"/>
  <c r="BJ284" i="1"/>
  <c r="BK284" i="1"/>
  <c r="BR284" i="1"/>
  <c r="BH285" i="1"/>
  <c r="BJ285" i="1"/>
  <c r="BK285" i="1"/>
  <c r="BR285" i="1"/>
  <c r="BH286" i="1"/>
  <c r="BJ286" i="1"/>
  <c r="BK286" i="1"/>
  <c r="BR286" i="1"/>
  <c r="BH287" i="1"/>
  <c r="BJ287" i="1"/>
  <c r="BK287" i="1"/>
  <c r="BR287" i="1"/>
  <c r="BH288" i="1"/>
  <c r="BJ288" i="1"/>
  <c r="BK288" i="1"/>
  <c r="BR288" i="1"/>
  <c r="BH289" i="1"/>
  <c r="BJ289" i="1"/>
  <c r="BK289" i="1"/>
  <c r="BR289" i="1"/>
  <c r="BH290" i="1"/>
  <c r="BJ290" i="1"/>
  <c r="BK290" i="1"/>
  <c r="BR290" i="1"/>
  <c r="BH291" i="1"/>
  <c r="BJ291" i="1"/>
  <c r="BK291" i="1"/>
  <c r="BR291" i="1"/>
  <c r="BH292" i="1"/>
  <c r="BJ292" i="1"/>
  <c r="BK292" i="1"/>
  <c r="BR292" i="1"/>
  <c r="BH293" i="1"/>
  <c r="BJ293" i="1"/>
  <c r="BK293" i="1"/>
  <c r="BR293" i="1"/>
  <c r="BH294" i="1"/>
  <c r="BJ294" i="1"/>
  <c r="BK294" i="1"/>
  <c r="BR294" i="1"/>
  <c r="BH295" i="1"/>
  <c r="BJ295" i="1"/>
  <c r="BK295" i="1"/>
  <c r="BR295" i="1"/>
  <c r="BH296" i="1"/>
  <c r="BJ296" i="1"/>
  <c r="BK296" i="1"/>
  <c r="BR296" i="1"/>
  <c r="BH297" i="1"/>
  <c r="BJ297" i="1"/>
  <c r="BK297" i="1"/>
  <c r="BR297" i="1"/>
  <c r="BH298" i="1"/>
  <c r="BJ298" i="1"/>
  <c r="BK298" i="1"/>
  <c r="BR298" i="1"/>
  <c r="BH299" i="1"/>
  <c r="BJ299" i="1"/>
  <c r="BK299" i="1"/>
  <c r="BR299" i="1"/>
  <c r="BH300" i="1"/>
  <c r="BJ300" i="1"/>
  <c r="BK300" i="1"/>
  <c r="BR300" i="1"/>
  <c r="BH301" i="1"/>
  <c r="BJ301" i="1"/>
  <c r="BK301" i="1"/>
  <c r="BR301" i="1"/>
  <c r="BH302" i="1"/>
  <c r="BJ302" i="1"/>
  <c r="BK302" i="1"/>
  <c r="BR302" i="1"/>
  <c r="BH303" i="1"/>
  <c r="BJ303" i="1"/>
  <c r="BK303" i="1"/>
  <c r="BR303" i="1"/>
  <c r="BH304" i="1"/>
  <c r="BJ304" i="1"/>
  <c r="BK304" i="1"/>
  <c r="BR304" i="1"/>
  <c r="BH305" i="1"/>
  <c r="BJ305" i="1"/>
  <c r="BK305" i="1"/>
  <c r="BR305" i="1"/>
  <c r="BH306" i="1"/>
  <c r="BJ306" i="1"/>
  <c r="BK306" i="1"/>
  <c r="BR306" i="1"/>
  <c r="BH307" i="1"/>
  <c r="BJ307" i="1"/>
  <c r="BK307" i="1"/>
  <c r="BR307" i="1"/>
  <c r="BH308" i="1"/>
  <c r="BJ308" i="1"/>
  <c r="BK308" i="1"/>
  <c r="BR308" i="1"/>
  <c r="BH309" i="1"/>
  <c r="BJ309" i="1"/>
  <c r="BK309" i="1"/>
  <c r="BR309" i="1"/>
  <c r="BH310" i="1"/>
  <c r="BJ310" i="1"/>
  <c r="BK310" i="1"/>
  <c r="BR310" i="1"/>
  <c r="BH311" i="1"/>
  <c r="BJ311" i="1"/>
  <c r="BK311" i="1"/>
  <c r="BR311" i="1"/>
  <c r="BH312" i="1"/>
  <c r="BJ312" i="1"/>
  <c r="BK312" i="1"/>
  <c r="BR312" i="1"/>
  <c r="BH313" i="1"/>
  <c r="BJ313" i="1"/>
  <c r="BK313" i="1"/>
  <c r="BR313" i="1"/>
  <c r="BH314" i="1"/>
  <c r="BJ314" i="1"/>
  <c r="BK314" i="1"/>
  <c r="BR314" i="1"/>
  <c r="BH315" i="1"/>
  <c r="BJ315" i="1"/>
  <c r="BK315" i="1"/>
  <c r="BR315" i="1"/>
  <c r="BH316" i="1"/>
  <c r="BJ316" i="1"/>
  <c r="BK316" i="1"/>
  <c r="BR316" i="1"/>
  <c r="BH317" i="1"/>
  <c r="BJ317" i="1"/>
  <c r="BK317" i="1"/>
  <c r="BR317" i="1"/>
  <c r="BH318" i="1"/>
  <c r="BJ318" i="1"/>
  <c r="BK318" i="1"/>
  <c r="BR318" i="1"/>
  <c r="BH319" i="1"/>
  <c r="BJ319" i="1"/>
  <c r="BK319" i="1"/>
  <c r="BR319" i="1"/>
  <c r="BH320" i="1"/>
  <c r="BJ320" i="1"/>
  <c r="BK320" i="1"/>
  <c r="BR320" i="1"/>
  <c r="BH321" i="1"/>
  <c r="BJ321" i="1"/>
  <c r="BK321" i="1"/>
  <c r="BR321" i="1"/>
  <c r="BH322" i="1"/>
  <c r="BJ322" i="1"/>
  <c r="BK322" i="1"/>
  <c r="BR322" i="1"/>
  <c r="BH323" i="1"/>
  <c r="BJ323" i="1"/>
  <c r="BK323" i="1"/>
  <c r="BR323" i="1"/>
  <c r="BH324" i="1"/>
  <c r="BJ324" i="1"/>
  <c r="BK324" i="1"/>
  <c r="BR324" i="1"/>
  <c r="BH325" i="1"/>
  <c r="BJ325" i="1"/>
  <c r="BK325" i="1"/>
  <c r="BR325" i="1"/>
  <c r="BH326" i="1"/>
  <c r="BJ326" i="1"/>
  <c r="BK326" i="1"/>
  <c r="BR326" i="1"/>
  <c r="BH327" i="1"/>
  <c r="BJ327" i="1"/>
  <c r="BK327" i="1"/>
  <c r="BR327" i="1"/>
  <c r="BH328" i="1"/>
  <c r="BJ328" i="1"/>
  <c r="BK328" i="1"/>
  <c r="BR328" i="1"/>
  <c r="BH329" i="1"/>
  <c r="BJ329" i="1"/>
  <c r="BK329" i="1"/>
  <c r="BR329" i="1"/>
  <c r="BH330" i="1"/>
  <c r="BJ330" i="1"/>
  <c r="BK330" i="1"/>
  <c r="BR330" i="1"/>
  <c r="BH331" i="1"/>
  <c r="BJ331" i="1"/>
  <c r="BK331" i="1"/>
  <c r="BR331" i="1"/>
  <c r="BH332" i="1"/>
  <c r="BJ332" i="1"/>
  <c r="BK332" i="1"/>
  <c r="BR332" i="1"/>
  <c r="BH333" i="1"/>
  <c r="BJ333" i="1"/>
  <c r="BK333" i="1"/>
  <c r="BR333" i="1"/>
  <c r="BH334" i="1"/>
  <c r="BJ334" i="1"/>
  <c r="BK334" i="1"/>
  <c r="BR334" i="1"/>
  <c r="BH335" i="1"/>
  <c r="BJ335" i="1"/>
  <c r="BK335" i="1"/>
  <c r="BR335" i="1"/>
  <c r="BH336" i="1"/>
  <c r="BJ336" i="1"/>
  <c r="BK336" i="1"/>
  <c r="BR336" i="1"/>
  <c r="BH337" i="1"/>
  <c r="BJ337" i="1"/>
  <c r="BK337" i="1"/>
  <c r="BR337" i="1"/>
  <c r="BH338" i="1"/>
  <c r="BJ338" i="1"/>
  <c r="BK338" i="1"/>
  <c r="BR338" i="1"/>
  <c r="BH339" i="1"/>
  <c r="BJ339" i="1"/>
  <c r="BK339" i="1"/>
  <c r="BR339" i="1"/>
  <c r="BH340" i="1"/>
  <c r="BJ340" i="1"/>
  <c r="BK340" i="1"/>
  <c r="BR340" i="1"/>
  <c r="BH341" i="1"/>
  <c r="BJ341" i="1"/>
  <c r="BK341" i="1"/>
  <c r="BR341" i="1"/>
  <c r="BH342" i="1"/>
  <c r="BJ342" i="1"/>
  <c r="BK342" i="1"/>
  <c r="BR342" i="1"/>
  <c r="BH343" i="1"/>
  <c r="BJ343" i="1"/>
  <c r="BK343" i="1"/>
  <c r="BR343" i="1"/>
  <c r="BH344" i="1"/>
  <c r="BJ344" i="1"/>
  <c r="BK344" i="1"/>
  <c r="BR344" i="1"/>
  <c r="BH345" i="1"/>
  <c r="BJ345" i="1"/>
  <c r="BK345" i="1"/>
  <c r="BR345" i="1"/>
  <c r="BH346" i="1"/>
  <c r="BJ346" i="1"/>
  <c r="BK346" i="1"/>
  <c r="BR346" i="1"/>
  <c r="BH347" i="1"/>
  <c r="BJ347" i="1"/>
  <c r="BK347" i="1"/>
  <c r="BR347" i="1"/>
  <c r="BH348" i="1"/>
  <c r="BJ348" i="1"/>
  <c r="BK348" i="1"/>
  <c r="BR348" i="1"/>
  <c r="BH349" i="1"/>
  <c r="BJ349" i="1"/>
  <c r="BK349" i="1"/>
  <c r="BR349" i="1"/>
  <c r="BH350" i="1"/>
  <c r="BJ350" i="1"/>
  <c r="BK350" i="1"/>
  <c r="BR350" i="1"/>
  <c r="BH351" i="1"/>
  <c r="BJ351" i="1"/>
  <c r="BK351" i="1"/>
  <c r="BR351" i="1"/>
  <c r="BH352" i="1"/>
  <c r="BJ352" i="1"/>
  <c r="BK352" i="1"/>
  <c r="BR352" i="1"/>
  <c r="BH353" i="1"/>
  <c r="BJ353" i="1"/>
  <c r="BK353" i="1"/>
  <c r="BR353" i="1"/>
  <c r="BH354" i="1"/>
  <c r="BJ354" i="1"/>
  <c r="BK354" i="1"/>
  <c r="BR354" i="1"/>
  <c r="BH355" i="1"/>
  <c r="BJ355" i="1"/>
  <c r="BK355" i="1"/>
  <c r="BR355" i="1"/>
  <c r="BH356" i="1"/>
  <c r="BJ356" i="1"/>
  <c r="BK356" i="1"/>
  <c r="BR356" i="1"/>
  <c r="BH357" i="1"/>
  <c r="BJ357" i="1"/>
  <c r="BK357" i="1"/>
  <c r="BR357" i="1"/>
  <c r="BH358" i="1"/>
  <c r="BJ358" i="1"/>
  <c r="BK358" i="1"/>
  <c r="BR358" i="1"/>
  <c r="BH359" i="1"/>
  <c r="BJ359" i="1"/>
  <c r="BK359" i="1"/>
  <c r="BR359" i="1"/>
  <c r="BH360" i="1"/>
  <c r="BJ360" i="1"/>
  <c r="BK360" i="1"/>
  <c r="BR360" i="1"/>
  <c r="BH361" i="1"/>
  <c r="BJ361" i="1"/>
  <c r="BK361" i="1"/>
  <c r="BR361" i="1"/>
  <c r="BH362" i="1"/>
  <c r="BJ362" i="1"/>
  <c r="BK362" i="1"/>
  <c r="BR362" i="1"/>
  <c r="BH363" i="1"/>
  <c r="BJ363" i="1"/>
  <c r="BK363" i="1"/>
  <c r="BR363" i="1"/>
  <c r="BH364" i="1"/>
  <c r="BJ364" i="1"/>
  <c r="BK364" i="1"/>
  <c r="BR364" i="1"/>
  <c r="BH365" i="1"/>
  <c r="BJ365" i="1"/>
  <c r="BK365" i="1"/>
  <c r="BR365" i="1"/>
  <c r="BH366" i="1"/>
  <c r="BJ366" i="1"/>
  <c r="BK366" i="1"/>
  <c r="BR366" i="1"/>
  <c r="BH367" i="1"/>
  <c r="BJ367" i="1"/>
  <c r="BK367" i="1"/>
  <c r="BR367" i="1"/>
  <c r="BH368" i="1"/>
  <c r="BJ368" i="1"/>
  <c r="BK368" i="1"/>
  <c r="BR368" i="1"/>
  <c r="BH369" i="1"/>
  <c r="BJ369" i="1"/>
  <c r="BK369" i="1"/>
  <c r="BR369" i="1"/>
  <c r="BH370" i="1"/>
  <c r="BJ370" i="1"/>
  <c r="BK370" i="1"/>
  <c r="BR370" i="1"/>
  <c r="BH371" i="1"/>
  <c r="BJ371" i="1"/>
  <c r="BK371" i="1"/>
  <c r="BR371" i="1"/>
  <c r="BH372" i="1"/>
  <c r="BJ372" i="1"/>
  <c r="BK372" i="1"/>
  <c r="BR372" i="1"/>
  <c r="BH373" i="1"/>
  <c r="BJ373" i="1"/>
  <c r="BK373" i="1"/>
  <c r="BR373" i="1"/>
  <c r="BH374" i="1"/>
  <c r="BJ374" i="1"/>
  <c r="BK374" i="1"/>
  <c r="BR374" i="1"/>
  <c r="BH375" i="1"/>
  <c r="BJ375" i="1"/>
  <c r="BK375" i="1"/>
  <c r="BR375" i="1"/>
  <c r="BH376" i="1"/>
  <c r="BJ376" i="1"/>
  <c r="BK376" i="1"/>
  <c r="BR376" i="1"/>
  <c r="BH377" i="1"/>
  <c r="BJ377" i="1"/>
  <c r="BK377" i="1"/>
  <c r="BR377" i="1"/>
  <c r="BH378" i="1"/>
  <c r="BJ378" i="1"/>
  <c r="BK378" i="1"/>
  <c r="BR378" i="1"/>
  <c r="BH379" i="1"/>
  <c r="BJ379" i="1"/>
  <c r="BK379" i="1"/>
  <c r="BR379" i="1"/>
  <c r="BH380" i="1"/>
  <c r="BJ380" i="1"/>
  <c r="BK380" i="1"/>
  <c r="BR380" i="1"/>
  <c r="BH381" i="1"/>
  <c r="BJ381" i="1"/>
  <c r="BK381" i="1"/>
  <c r="BR381" i="1"/>
  <c r="BH382" i="1"/>
  <c r="BJ382" i="1"/>
  <c r="BK382" i="1"/>
  <c r="BR382" i="1"/>
  <c r="BH383" i="1"/>
  <c r="BJ383" i="1"/>
  <c r="BK383" i="1"/>
  <c r="BR383" i="1"/>
  <c r="BH384" i="1"/>
  <c r="BJ384" i="1"/>
  <c r="BK384" i="1"/>
  <c r="BR384" i="1"/>
  <c r="BH385" i="1"/>
  <c r="BJ385" i="1"/>
  <c r="BK385" i="1"/>
  <c r="BR385" i="1"/>
  <c r="BH386" i="1"/>
  <c r="BJ386" i="1"/>
  <c r="BK386" i="1"/>
  <c r="BR386" i="1"/>
  <c r="BH387" i="1"/>
  <c r="BJ387" i="1"/>
  <c r="BK387" i="1"/>
  <c r="BR387" i="1"/>
  <c r="BH388" i="1"/>
  <c r="BJ388" i="1"/>
  <c r="BK388" i="1"/>
  <c r="BR388" i="1"/>
  <c r="BH389" i="1"/>
  <c r="BJ389" i="1"/>
  <c r="BK389" i="1"/>
  <c r="BR389" i="1"/>
  <c r="BH390" i="1"/>
  <c r="BJ390" i="1"/>
  <c r="BK390" i="1"/>
  <c r="BR390" i="1"/>
  <c r="BH391" i="1"/>
  <c r="BJ391" i="1"/>
  <c r="BK391" i="1"/>
  <c r="BR391" i="1"/>
  <c r="BH392" i="1"/>
  <c r="BJ392" i="1"/>
  <c r="BK392" i="1"/>
  <c r="BR392" i="1"/>
  <c r="BH393" i="1"/>
  <c r="BJ393" i="1"/>
  <c r="BK393" i="1"/>
  <c r="BR393" i="1"/>
  <c r="BH394" i="1"/>
  <c r="BJ394" i="1"/>
  <c r="BK394" i="1"/>
  <c r="BR394" i="1"/>
  <c r="BH395" i="1"/>
  <c r="BJ395" i="1"/>
  <c r="BK395" i="1"/>
  <c r="BR395" i="1"/>
  <c r="BH396" i="1"/>
  <c r="BJ396" i="1"/>
  <c r="BK396" i="1"/>
  <c r="BR396" i="1"/>
  <c r="BH397" i="1"/>
  <c r="BJ397" i="1"/>
  <c r="BK397" i="1"/>
  <c r="BR397" i="1"/>
  <c r="BH398" i="1"/>
  <c r="BJ398" i="1"/>
  <c r="BK398" i="1"/>
  <c r="BR398" i="1"/>
  <c r="BH399" i="1"/>
  <c r="BJ399" i="1"/>
  <c r="BK399" i="1"/>
  <c r="BR399" i="1"/>
  <c r="BH400" i="1"/>
  <c r="BJ400" i="1"/>
  <c r="BK400" i="1"/>
  <c r="BR400" i="1"/>
  <c r="BH401" i="1"/>
  <c r="BJ401" i="1"/>
  <c r="BK401" i="1"/>
  <c r="BR401" i="1"/>
  <c r="BH402" i="1"/>
  <c r="BJ402" i="1"/>
  <c r="BK402" i="1"/>
  <c r="BR402" i="1"/>
  <c r="BH403" i="1"/>
  <c r="BJ403" i="1"/>
  <c r="BK403" i="1"/>
  <c r="BR403" i="1"/>
  <c r="BH404" i="1"/>
  <c r="BJ404" i="1"/>
  <c r="BK404" i="1"/>
  <c r="BR404" i="1"/>
  <c r="BH405" i="1"/>
  <c r="BJ405" i="1"/>
  <c r="BK405" i="1"/>
  <c r="BR405" i="1"/>
  <c r="BH406" i="1"/>
  <c r="BJ406" i="1"/>
  <c r="BK406" i="1"/>
  <c r="BR406" i="1"/>
  <c r="BH407" i="1"/>
  <c r="BJ407" i="1"/>
  <c r="BK407" i="1"/>
  <c r="BR407" i="1"/>
  <c r="BH408" i="1"/>
  <c r="BJ408" i="1"/>
  <c r="BK408" i="1"/>
  <c r="BR408" i="1"/>
  <c r="BH409" i="1"/>
  <c r="BJ409" i="1"/>
  <c r="BK409" i="1"/>
  <c r="BR409" i="1"/>
  <c r="BH410" i="1"/>
  <c r="BJ410" i="1"/>
  <c r="BK410" i="1"/>
  <c r="BR410" i="1"/>
  <c r="BH411" i="1"/>
  <c r="BJ411" i="1"/>
  <c r="BK411" i="1"/>
  <c r="BR411" i="1"/>
  <c r="BH412" i="1"/>
  <c r="BJ412" i="1"/>
  <c r="BK412" i="1"/>
  <c r="BR412" i="1"/>
  <c r="BH413" i="1"/>
  <c r="BJ413" i="1"/>
  <c r="BK413" i="1"/>
  <c r="BR413" i="1"/>
  <c r="BH414" i="1"/>
  <c r="BJ414" i="1"/>
  <c r="BK414" i="1"/>
  <c r="BR414" i="1"/>
  <c r="BH415" i="1"/>
  <c r="BJ415" i="1"/>
  <c r="BK415" i="1"/>
  <c r="BR415" i="1"/>
  <c r="BH416" i="1"/>
  <c r="BJ416" i="1"/>
  <c r="BK416" i="1"/>
  <c r="BR416" i="1"/>
  <c r="BH417" i="1"/>
  <c r="BJ417" i="1"/>
  <c r="BK417" i="1"/>
  <c r="BR417" i="1"/>
  <c r="BH418" i="1"/>
  <c r="BJ418" i="1"/>
  <c r="BK418" i="1"/>
  <c r="BR418" i="1"/>
  <c r="BH419" i="1"/>
  <c r="BJ419" i="1"/>
  <c r="BK419" i="1"/>
  <c r="BR419" i="1"/>
  <c r="BH420" i="1"/>
  <c r="BJ420" i="1"/>
  <c r="BK420" i="1"/>
  <c r="BR420" i="1"/>
  <c r="BH421" i="1"/>
  <c r="BJ421" i="1"/>
  <c r="BK421" i="1"/>
  <c r="BR421" i="1"/>
  <c r="BH422" i="1"/>
  <c r="BJ422" i="1"/>
  <c r="BK422" i="1"/>
  <c r="BR422" i="1"/>
  <c r="BH423" i="1"/>
  <c r="BJ423" i="1"/>
  <c r="BK423" i="1"/>
  <c r="BR423" i="1"/>
  <c r="BH424" i="1"/>
  <c r="BJ424" i="1"/>
  <c r="BK424" i="1"/>
  <c r="BR424" i="1"/>
  <c r="BH425" i="1"/>
  <c r="BJ425" i="1"/>
  <c r="BK425" i="1"/>
  <c r="BR425" i="1"/>
  <c r="BH426" i="1"/>
  <c r="BJ426" i="1"/>
  <c r="BK426" i="1"/>
  <c r="BR426" i="1"/>
  <c r="BH427" i="1"/>
  <c r="BJ427" i="1"/>
  <c r="BK427" i="1"/>
  <c r="BR427" i="1"/>
  <c r="BH428" i="1"/>
  <c r="BJ428" i="1"/>
  <c r="BK428" i="1"/>
  <c r="BR428" i="1"/>
  <c r="BH429" i="1"/>
  <c r="BJ429" i="1"/>
  <c r="BK429" i="1"/>
  <c r="BR429" i="1"/>
  <c r="BH430" i="1"/>
  <c r="BJ430" i="1"/>
  <c r="BK430" i="1"/>
  <c r="BR430" i="1"/>
  <c r="BH431" i="1"/>
  <c r="BJ431" i="1"/>
  <c r="BK431" i="1"/>
  <c r="BR431" i="1"/>
  <c r="BH432" i="1"/>
  <c r="BJ432" i="1"/>
  <c r="BK432" i="1"/>
  <c r="BR432" i="1"/>
  <c r="BH433" i="1"/>
  <c r="BJ433" i="1"/>
  <c r="BK433" i="1"/>
  <c r="BR433" i="1"/>
  <c r="BH434" i="1"/>
  <c r="BJ434" i="1"/>
  <c r="BK434" i="1"/>
  <c r="BR434" i="1"/>
  <c r="BH435" i="1"/>
  <c r="BJ435" i="1"/>
  <c r="BK435" i="1"/>
  <c r="BR435" i="1"/>
  <c r="BH436" i="1"/>
  <c r="BJ436" i="1"/>
  <c r="BK436" i="1"/>
  <c r="BR436" i="1"/>
  <c r="BH437" i="1"/>
  <c r="BJ437" i="1"/>
  <c r="BK437" i="1"/>
  <c r="BR437" i="1"/>
  <c r="BH438" i="1"/>
  <c r="BJ438" i="1"/>
  <c r="BK438" i="1"/>
  <c r="BR438" i="1"/>
  <c r="BH439" i="1"/>
  <c r="BJ439" i="1"/>
  <c r="BK439" i="1"/>
  <c r="BR439" i="1"/>
  <c r="BH440" i="1"/>
  <c r="BJ440" i="1"/>
  <c r="BK440" i="1"/>
  <c r="BR440" i="1"/>
  <c r="BH441" i="1"/>
  <c r="BJ441" i="1"/>
  <c r="BK441" i="1"/>
  <c r="BR441" i="1"/>
  <c r="BH442" i="1"/>
  <c r="BJ442" i="1"/>
  <c r="BK442" i="1"/>
  <c r="BR442" i="1"/>
  <c r="BH443" i="1"/>
  <c r="BJ443" i="1"/>
  <c r="BK443" i="1"/>
  <c r="BR443" i="1"/>
  <c r="BH444" i="1"/>
  <c r="BJ444" i="1"/>
  <c r="BK444" i="1"/>
  <c r="BR444" i="1"/>
  <c r="BH445" i="1"/>
  <c r="BJ445" i="1"/>
  <c r="BK445" i="1"/>
  <c r="BR445" i="1"/>
  <c r="BH446" i="1"/>
  <c r="BJ446" i="1"/>
  <c r="BK446" i="1"/>
  <c r="BR446" i="1"/>
  <c r="BH447" i="1"/>
  <c r="BJ447" i="1"/>
  <c r="BK447" i="1"/>
  <c r="BR447" i="1"/>
  <c r="BH448" i="1"/>
  <c r="BJ448" i="1"/>
  <c r="BK448" i="1"/>
  <c r="BR448" i="1"/>
  <c r="BH449" i="1"/>
  <c r="BJ449" i="1"/>
  <c r="BK449" i="1"/>
  <c r="BR449" i="1"/>
  <c r="BH450" i="1"/>
  <c r="BJ450" i="1"/>
  <c r="BK450" i="1"/>
  <c r="BR450" i="1"/>
  <c r="BH451" i="1"/>
  <c r="BJ451" i="1"/>
  <c r="BK451" i="1"/>
  <c r="BR451" i="1"/>
  <c r="BH452" i="1"/>
  <c r="BJ452" i="1"/>
  <c r="BK452" i="1"/>
  <c r="BR452" i="1"/>
  <c r="BH453" i="1"/>
  <c r="BJ453" i="1"/>
  <c r="BK453" i="1"/>
  <c r="BR453" i="1"/>
  <c r="BH454" i="1"/>
  <c r="BJ454" i="1"/>
  <c r="BK454" i="1"/>
  <c r="BR454" i="1"/>
  <c r="BH455" i="1"/>
  <c r="BJ455" i="1"/>
  <c r="BK455" i="1"/>
  <c r="BR455" i="1"/>
  <c r="BH456" i="1"/>
  <c r="BJ456" i="1"/>
  <c r="BK456" i="1"/>
  <c r="BR456" i="1"/>
  <c r="BH457" i="1"/>
  <c r="BJ457" i="1"/>
  <c r="BK457" i="1"/>
  <c r="BR457" i="1"/>
  <c r="BH458" i="1"/>
  <c r="BJ458" i="1"/>
  <c r="BK458" i="1"/>
  <c r="BR458" i="1"/>
  <c r="BH459" i="1"/>
  <c r="BJ459" i="1"/>
  <c r="BK459" i="1"/>
  <c r="BR459" i="1"/>
  <c r="BH460" i="1"/>
  <c r="BJ460" i="1"/>
  <c r="BK460" i="1"/>
  <c r="BR460" i="1"/>
  <c r="BH461" i="1"/>
  <c r="BJ461" i="1"/>
  <c r="BK461" i="1"/>
  <c r="BR461" i="1"/>
  <c r="BH462" i="1"/>
  <c r="BJ462" i="1"/>
  <c r="BK462" i="1"/>
  <c r="BR462" i="1"/>
  <c r="BH463" i="1"/>
  <c r="BJ463" i="1"/>
  <c r="BK463" i="1"/>
  <c r="BR463" i="1"/>
  <c r="BH464" i="1"/>
  <c r="BJ464" i="1"/>
  <c r="BK464" i="1"/>
  <c r="BR464" i="1"/>
  <c r="BH465" i="1"/>
  <c r="BJ465" i="1"/>
  <c r="BK465" i="1"/>
  <c r="BR465" i="1"/>
  <c r="BH466" i="1"/>
  <c r="BJ466" i="1"/>
  <c r="BK466" i="1"/>
  <c r="BR466" i="1"/>
  <c r="BH467" i="1"/>
  <c r="BJ467" i="1"/>
  <c r="BK467" i="1"/>
  <c r="BR467" i="1"/>
  <c r="BH468" i="1"/>
  <c r="BJ468" i="1"/>
  <c r="BK468" i="1"/>
  <c r="BR468" i="1"/>
  <c r="BH469" i="1"/>
  <c r="BJ469" i="1"/>
  <c r="BK469" i="1"/>
  <c r="BR469" i="1"/>
  <c r="BH470" i="1"/>
  <c r="BJ470" i="1"/>
  <c r="BK470" i="1"/>
  <c r="BR470" i="1"/>
  <c r="BH471" i="1"/>
  <c r="BJ471" i="1"/>
  <c r="BK471" i="1"/>
  <c r="BR471" i="1"/>
  <c r="BH472" i="1"/>
  <c r="BJ472" i="1"/>
  <c r="BK472" i="1"/>
  <c r="BR472" i="1"/>
  <c r="BH473" i="1"/>
  <c r="BJ473" i="1"/>
  <c r="BK473" i="1"/>
  <c r="BR473" i="1"/>
  <c r="BH474" i="1"/>
  <c r="BJ474" i="1"/>
  <c r="BK474" i="1"/>
  <c r="BR474" i="1"/>
  <c r="BH475" i="1"/>
  <c r="BJ475" i="1"/>
  <c r="BK475" i="1"/>
  <c r="BR475" i="1"/>
  <c r="BH476" i="1"/>
  <c r="BJ476" i="1"/>
  <c r="BK476" i="1"/>
  <c r="BR476" i="1"/>
  <c r="BH477" i="1"/>
  <c r="BJ477" i="1"/>
  <c r="BK477" i="1"/>
  <c r="BR477" i="1"/>
  <c r="BH478" i="1"/>
  <c r="BJ478" i="1"/>
  <c r="BK478" i="1"/>
  <c r="BR478" i="1"/>
  <c r="BH479" i="1"/>
  <c r="BJ479" i="1"/>
  <c r="BK479" i="1"/>
  <c r="BR479" i="1"/>
  <c r="BH480" i="1"/>
  <c r="BJ480" i="1"/>
  <c r="BK480" i="1"/>
  <c r="BR480" i="1"/>
  <c r="BH481" i="1"/>
  <c r="BJ481" i="1"/>
  <c r="BK481" i="1"/>
  <c r="BR481" i="1"/>
  <c r="BH482" i="1"/>
  <c r="BJ482" i="1"/>
  <c r="BK482" i="1"/>
  <c r="BR482" i="1"/>
  <c r="BH483" i="1"/>
  <c r="BJ483" i="1"/>
  <c r="BK483" i="1"/>
  <c r="BR483" i="1"/>
  <c r="BH484" i="1"/>
  <c r="BJ484" i="1"/>
  <c r="BK484" i="1"/>
  <c r="BR484" i="1"/>
  <c r="BH485" i="1"/>
  <c r="BJ485" i="1"/>
  <c r="BK485" i="1"/>
  <c r="BR485" i="1"/>
  <c r="BH486" i="1"/>
  <c r="BJ486" i="1"/>
  <c r="BK486" i="1"/>
  <c r="BR486" i="1"/>
  <c r="BH487" i="1"/>
  <c r="BJ487" i="1"/>
  <c r="BK487" i="1"/>
  <c r="BR487" i="1"/>
  <c r="BH488" i="1"/>
  <c r="BJ488" i="1"/>
  <c r="BK488" i="1"/>
  <c r="BR488" i="1"/>
  <c r="BH489" i="1"/>
  <c r="BJ489" i="1"/>
  <c r="BK489" i="1"/>
  <c r="BR489" i="1"/>
  <c r="BH490" i="1"/>
  <c r="BJ490" i="1"/>
  <c r="BK490" i="1"/>
  <c r="BR490" i="1"/>
  <c r="BH491" i="1"/>
  <c r="BJ491" i="1"/>
  <c r="BK491" i="1"/>
  <c r="BR491" i="1"/>
  <c r="BH492" i="1"/>
  <c r="BJ492" i="1"/>
  <c r="BK492" i="1"/>
  <c r="BR492" i="1"/>
  <c r="BH493" i="1"/>
  <c r="BJ493" i="1"/>
  <c r="BK493" i="1"/>
  <c r="BR493" i="1"/>
  <c r="BH494" i="1"/>
  <c r="BJ494" i="1"/>
  <c r="BK494" i="1"/>
  <c r="BR494" i="1"/>
  <c r="BH495" i="1"/>
  <c r="BJ495" i="1"/>
  <c r="BK495" i="1"/>
  <c r="BR495" i="1"/>
  <c r="BH496" i="1"/>
  <c r="BJ496" i="1"/>
  <c r="BK496" i="1"/>
  <c r="BR496" i="1"/>
  <c r="BH497" i="1"/>
  <c r="BJ497" i="1"/>
  <c r="BK497" i="1"/>
  <c r="BR497" i="1"/>
  <c r="BH498" i="1"/>
  <c r="BJ498" i="1"/>
  <c r="BK498" i="1"/>
  <c r="BR498" i="1"/>
  <c r="BH499" i="1"/>
  <c r="BJ499" i="1"/>
  <c r="BK499" i="1"/>
  <c r="BR499" i="1"/>
  <c r="BH500" i="1"/>
  <c r="BJ500" i="1"/>
  <c r="BK500" i="1"/>
  <c r="BR500" i="1"/>
  <c r="BH501" i="1"/>
  <c r="BJ501" i="1"/>
  <c r="BK501" i="1"/>
  <c r="BR501" i="1"/>
  <c r="BH502" i="1"/>
  <c r="BJ502" i="1"/>
  <c r="BK502" i="1"/>
  <c r="BR502" i="1"/>
  <c r="BH503" i="1"/>
  <c r="BJ503" i="1"/>
  <c r="BK503" i="1"/>
  <c r="BR503" i="1"/>
  <c r="BH504" i="1"/>
  <c r="BJ504" i="1"/>
  <c r="BK504" i="1"/>
  <c r="BR504" i="1"/>
  <c r="BH505" i="1"/>
  <c r="BJ505" i="1"/>
  <c r="BK505" i="1"/>
  <c r="BR505" i="1"/>
  <c r="BH506" i="1"/>
  <c r="BJ506" i="1"/>
  <c r="BK506" i="1"/>
  <c r="BR506" i="1"/>
  <c r="BH507" i="1"/>
  <c r="BJ507" i="1"/>
  <c r="BK507" i="1"/>
  <c r="BR507" i="1"/>
  <c r="BH508" i="1"/>
  <c r="BJ508" i="1"/>
  <c r="BK508" i="1"/>
  <c r="BR508" i="1"/>
  <c r="BH509" i="1"/>
  <c r="BJ509" i="1"/>
  <c r="BK509" i="1"/>
  <c r="BR509" i="1"/>
  <c r="BH510" i="1"/>
  <c r="BJ510" i="1"/>
  <c r="BK510" i="1"/>
  <c r="BR510" i="1"/>
  <c r="BH511" i="1"/>
  <c r="BJ511" i="1"/>
  <c r="BK511" i="1"/>
  <c r="BR511" i="1"/>
  <c r="BH512" i="1"/>
  <c r="BJ512" i="1"/>
  <c r="BK512" i="1"/>
  <c r="BR512" i="1"/>
  <c r="BH513" i="1"/>
  <c r="BJ513" i="1"/>
  <c r="BK513" i="1"/>
  <c r="BR513" i="1"/>
  <c r="BH514" i="1"/>
  <c r="BJ514" i="1"/>
  <c r="BK514" i="1"/>
  <c r="BR514" i="1"/>
  <c r="BJ515" i="1"/>
  <c r="BK515" i="1"/>
  <c r="BR515" i="1"/>
  <c r="BJ516" i="1"/>
  <c r="BK516" i="1"/>
  <c r="BR516" i="1"/>
  <c r="BJ517" i="1"/>
  <c r="BK517" i="1"/>
  <c r="BR517" i="1"/>
  <c r="BJ518" i="1"/>
  <c r="BK518" i="1"/>
  <c r="BR518" i="1"/>
  <c r="BJ519" i="1"/>
  <c r="BK519" i="1"/>
  <c r="BR519" i="1"/>
  <c r="BJ520" i="1"/>
  <c r="BK520" i="1"/>
  <c r="BR520" i="1"/>
  <c r="BJ521" i="1"/>
  <c r="BK521" i="1"/>
  <c r="BR521" i="1"/>
  <c r="BJ522" i="1"/>
  <c r="BK522" i="1"/>
  <c r="BR522" i="1"/>
  <c r="BJ523" i="1"/>
  <c r="BK523" i="1"/>
  <c r="BR523" i="1"/>
  <c r="BJ524" i="1"/>
  <c r="BK524" i="1"/>
  <c r="BR524" i="1"/>
  <c r="BJ525" i="1"/>
  <c r="BK525" i="1"/>
  <c r="BR525" i="1"/>
  <c r="BJ526" i="1"/>
  <c r="BK526" i="1"/>
  <c r="BR526" i="1"/>
  <c r="BJ527" i="1"/>
  <c r="BK527" i="1"/>
  <c r="BR527" i="1"/>
  <c r="BJ528" i="1"/>
  <c r="BK528" i="1"/>
  <c r="BR528" i="1"/>
  <c r="BJ529" i="1"/>
  <c r="BK529" i="1"/>
  <c r="BR529" i="1"/>
  <c r="BJ530" i="1"/>
  <c r="BK530" i="1"/>
  <c r="BR530" i="1"/>
  <c r="BJ531" i="1"/>
  <c r="BK531" i="1"/>
  <c r="BR531" i="1"/>
  <c r="BJ532" i="1"/>
  <c r="BK532" i="1"/>
  <c r="BR532" i="1"/>
  <c r="BJ533" i="1"/>
  <c r="BK533" i="1"/>
  <c r="BR533" i="1"/>
  <c r="BJ534" i="1"/>
  <c r="BK534" i="1"/>
  <c r="BR534" i="1"/>
  <c r="BJ535" i="1"/>
  <c r="BK535" i="1"/>
  <c r="BR535" i="1"/>
  <c r="BJ536" i="1"/>
  <c r="BK536" i="1"/>
  <c r="BR536" i="1"/>
  <c r="BJ537" i="1"/>
  <c r="BK537" i="1"/>
  <c r="BR537" i="1"/>
  <c r="BJ538" i="1"/>
  <c r="BK538" i="1"/>
  <c r="BR538" i="1"/>
  <c r="BJ539" i="1"/>
  <c r="BK539" i="1"/>
  <c r="BR539" i="1"/>
  <c r="BJ540" i="1"/>
  <c r="BK540" i="1"/>
  <c r="BR540" i="1"/>
  <c r="BJ541" i="1"/>
  <c r="BK541" i="1"/>
  <c r="BR541" i="1"/>
  <c r="BJ542" i="1"/>
  <c r="BK542" i="1"/>
  <c r="BR542" i="1"/>
  <c r="BJ543" i="1"/>
  <c r="BK543" i="1"/>
  <c r="BR543" i="1"/>
  <c r="BJ544" i="1"/>
  <c r="BK544" i="1"/>
  <c r="BR544" i="1"/>
  <c r="BJ545" i="1"/>
  <c r="BK545" i="1"/>
  <c r="BR545" i="1"/>
  <c r="BJ546" i="1"/>
  <c r="BK546" i="1"/>
  <c r="BR546" i="1"/>
  <c r="BJ547" i="1"/>
  <c r="BK547" i="1"/>
  <c r="BR547" i="1"/>
  <c r="BJ548" i="1"/>
  <c r="BK548" i="1"/>
  <c r="BR548" i="1"/>
  <c r="BJ549" i="1"/>
  <c r="BK549" i="1"/>
  <c r="BR549" i="1"/>
  <c r="BJ550" i="1"/>
  <c r="BK550" i="1"/>
  <c r="BR550" i="1"/>
  <c r="BJ551" i="1"/>
  <c r="BK551" i="1"/>
  <c r="BR551" i="1"/>
  <c r="BJ552" i="1"/>
  <c r="BK552" i="1"/>
  <c r="BR552" i="1"/>
  <c r="BJ553" i="1"/>
  <c r="BK553" i="1"/>
  <c r="BR553" i="1"/>
  <c r="BJ554" i="1"/>
  <c r="BK554" i="1"/>
  <c r="BR554" i="1"/>
  <c r="BJ555" i="1"/>
  <c r="BK555" i="1"/>
  <c r="BR555" i="1"/>
  <c r="BJ561" i="1"/>
  <c r="BK561" i="1"/>
  <c r="BR561" i="1"/>
  <c r="BJ562" i="1"/>
  <c r="BK562" i="1"/>
  <c r="BR562" i="1"/>
  <c r="BJ563" i="1"/>
  <c r="BK563" i="1"/>
  <c r="BR563" i="1"/>
  <c r="BJ260" i="1"/>
  <c r="BK260" i="1"/>
  <c r="BR260" i="1"/>
  <c r="BN560" i="1"/>
  <c r="BN559" i="1"/>
  <c r="BN558" i="1"/>
  <c r="BN557" i="1"/>
  <c r="BN556" i="1"/>
  <c r="BN267" i="1"/>
  <c r="BN268" i="1"/>
  <c r="BN269" i="1"/>
  <c r="BN270" i="1"/>
  <c r="BN271" i="1"/>
  <c r="BN272" i="1"/>
  <c r="BN273" i="1"/>
  <c r="BN274" i="1"/>
  <c r="BN275" i="1"/>
  <c r="BN276" i="1"/>
  <c r="BN277" i="1"/>
  <c r="BN278" i="1"/>
  <c r="BN279" i="1"/>
  <c r="BN280" i="1"/>
  <c r="BN281" i="1"/>
  <c r="BN282" i="1"/>
  <c r="BN283" i="1"/>
  <c r="BN284" i="1"/>
  <c r="BN285" i="1"/>
  <c r="BN286" i="1"/>
  <c r="BN287" i="1"/>
  <c r="BN288" i="1"/>
  <c r="BN289" i="1"/>
  <c r="BN290" i="1"/>
  <c r="BN291" i="1"/>
  <c r="BN292" i="1"/>
  <c r="BN293" i="1"/>
  <c r="BN294" i="1"/>
  <c r="BN295" i="1"/>
  <c r="BN296" i="1"/>
  <c r="BN297" i="1"/>
  <c r="BN298" i="1"/>
  <c r="BN299" i="1"/>
  <c r="BN300" i="1"/>
  <c r="BN301" i="1"/>
  <c r="BN302" i="1"/>
  <c r="BN303" i="1"/>
  <c r="BN304" i="1"/>
  <c r="BN305" i="1"/>
  <c r="BN306" i="1"/>
  <c r="BN307" i="1"/>
  <c r="BN308" i="1"/>
  <c r="BN309" i="1"/>
  <c r="BN310" i="1"/>
  <c r="BN311" i="1"/>
  <c r="BN312" i="1"/>
  <c r="BN313" i="1"/>
  <c r="BN314" i="1"/>
  <c r="BN315" i="1"/>
  <c r="BN316" i="1"/>
  <c r="BN317" i="1"/>
  <c r="BN318" i="1"/>
  <c r="BN319" i="1"/>
  <c r="BN320" i="1"/>
  <c r="BN321" i="1"/>
  <c r="BN322" i="1"/>
  <c r="BN323" i="1"/>
  <c r="BN324" i="1"/>
  <c r="BN325" i="1"/>
  <c r="BN326" i="1"/>
  <c r="BN327" i="1"/>
  <c r="BN328" i="1"/>
  <c r="BN329" i="1"/>
  <c r="BN330" i="1"/>
  <c r="BN331" i="1"/>
  <c r="BN332" i="1"/>
  <c r="BN333" i="1"/>
  <c r="BN334" i="1"/>
  <c r="BN335" i="1"/>
  <c r="BN336" i="1"/>
  <c r="BN337" i="1"/>
  <c r="BN338" i="1"/>
  <c r="BN339" i="1"/>
  <c r="BN340" i="1"/>
  <c r="BN341" i="1"/>
  <c r="BN342" i="1"/>
  <c r="BN343" i="1"/>
  <c r="BN344" i="1"/>
  <c r="BN345" i="1"/>
  <c r="BN346" i="1"/>
  <c r="BN347" i="1"/>
  <c r="BN348" i="1"/>
  <c r="BN349" i="1"/>
  <c r="BN350" i="1"/>
  <c r="BN351" i="1"/>
  <c r="BN352" i="1"/>
  <c r="BN353" i="1"/>
  <c r="BN354" i="1"/>
  <c r="BN355" i="1"/>
  <c r="BN356" i="1"/>
  <c r="BN357" i="1"/>
  <c r="BN358" i="1"/>
  <c r="BN359" i="1"/>
  <c r="BN360" i="1"/>
  <c r="BN361" i="1"/>
  <c r="BN362" i="1"/>
  <c r="BN363" i="1"/>
  <c r="BN364" i="1"/>
  <c r="BN365" i="1"/>
  <c r="BN366" i="1"/>
  <c r="BN367" i="1"/>
  <c r="BN368" i="1"/>
  <c r="BN369" i="1"/>
  <c r="BN370" i="1"/>
  <c r="BN371" i="1"/>
  <c r="BN372" i="1"/>
  <c r="BN373" i="1"/>
  <c r="BN374" i="1"/>
  <c r="BN375" i="1"/>
  <c r="BN376" i="1"/>
  <c r="BN377" i="1"/>
  <c r="BN378" i="1"/>
  <c r="BN379" i="1"/>
  <c r="BN380" i="1"/>
  <c r="BN381" i="1"/>
  <c r="BN382" i="1"/>
  <c r="BN383" i="1"/>
  <c r="BN384" i="1"/>
  <c r="BN385" i="1"/>
  <c r="BN386" i="1"/>
  <c r="BN387" i="1"/>
  <c r="BN388" i="1"/>
  <c r="BN389" i="1"/>
  <c r="BN390" i="1"/>
  <c r="BN391" i="1"/>
  <c r="BN392" i="1"/>
  <c r="BN393" i="1"/>
  <c r="BN394" i="1"/>
  <c r="BN395" i="1"/>
  <c r="BN396" i="1"/>
  <c r="BN397" i="1"/>
  <c r="BN398" i="1"/>
  <c r="BN399" i="1"/>
  <c r="BN400" i="1"/>
  <c r="BN401" i="1"/>
  <c r="BN402" i="1"/>
  <c r="BN403" i="1"/>
  <c r="BN404" i="1"/>
  <c r="BN405" i="1"/>
  <c r="BN406" i="1"/>
  <c r="BN407" i="1"/>
  <c r="BN408" i="1"/>
  <c r="BN409" i="1"/>
  <c r="BN410" i="1"/>
  <c r="BN411" i="1"/>
  <c r="BN412" i="1"/>
  <c r="BN413" i="1"/>
  <c r="BN414" i="1"/>
  <c r="BN415" i="1"/>
  <c r="BN416" i="1"/>
  <c r="BN417" i="1"/>
  <c r="BN418" i="1"/>
  <c r="BN419" i="1"/>
  <c r="BN420" i="1"/>
  <c r="BN421" i="1"/>
  <c r="BN422" i="1"/>
  <c r="BN423" i="1"/>
  <c r="BN424" i="1"/>
  <c r="BN425" i="1"/>
  <c r="BN426" i="1"/>
  <c r="BN427" i="1"/>
  <c r="BN428" i="1"/>
  <c r="BN429" i="1"/>
  <c r="BN430" i="1"/>
  <c r="BN431" i="1"/>
  <c r="BN432" i="1"/>
  <c r="BN433" i="1"/>
  <c r="BN434" i="1"/>
  <c r="BN435" i="1"/>
  <c r="BN436" i="1"/>
  <c r="BN437" i="1"/>
  <c r="BN438" i="1"/>
  <c r="BN439" i="1"/>
  <c r="BN440" i="1"/>
  <c r="BN441" i="1"/>
  <c r="BN442" i="1"/>
  <c r="BN443" i="1"/>
  <c r="BN444" i="1"/>
  <c r="BN445" i="1"/>
  <c r="BN446" i="1"/>
  <c r="BN447" i="1"/>
  <c r="BN448" i="1"/>
  <c r="BN449" i="1"/>
  <c r="BN450" i="1"/>
  <c r="BN451" i="1"/>
  <c r="BN452" i="1"/>
  <c r="BN453" i="1"/>
  <c r="BN454" i="1"/>
  <c r="BN455" i="1"/>
  <c r="BN456" i="1"/>
  <c r="BN457" i="1"/>
  <c r="BN458" i="1"/>
  <c r="BN459" i="1"/>
  <c r="BN460" i="1"/>
  <c r="BN461" i="1"/>
  <c r="BN462" i="1"/>
  <c r="BN463" i="1"/>
  <c r="BN464" i="1"/>
  <c r="BN465" i="1"/>
  <c r="BN466" i="1"/>
  <c r="BN467" i="1"/>
  <c r="BN468" i="1"/>
  <c r="BN469" i="1"/>
  <c r="BN470" i="1"/>
  <c r="BN471" i="1"/>
  <c r="BN472" i="1"/>
  <c r="BN473" i="1"/>
  <c r="BN474" i="1"/>
  <c r="BN475" i="1"/>
  <c r="BN476" i="1"/>
  <c r="BN477" i="1"/>
  <c r="BN478" i="1"/>
  <c r="BN479" i="1"/>
  <c r="BN480" i="1"/>
  <c r="BN481" i="1"/>
  <c r="BN482" i="1"/>
  <c r="BN483" i="1"/>
  <c r="BN484" i="1"/>
  <c r="BN485" i="1"/>
  <c r="BN486" i="1"/>
  <c r="BN487" i="1"/>
  <c r="BN488" i="1"/>
  <c r="BN489" i="1"/>
  <c r="BN490" i="1"/>
  <c r="BN491" i="1"/>
  <c r="BN492" i="1"/>
  <c r="BN493" i="1"/>
  <c r="BN494" i="1"/>
  <c r="BN495" i="1"/>
  <c r="BN496" i="1"/>
  <c r="BN497" i="1"/>
  <c r="BN498" i="1"/>
  <c r="BN499" i="1"/>
  <c r="BN500" i="1"/>
  <c r="BN501" i="1"/>
  <c r="BN502" i="1"/>
  <c r="BN503" i="1"/>
  <c r="BN504" i="1"/>
  <c r="BN505" i="1"/>
  <c r="BN506" i="1"/>
  <c r="BN507" i="1"/>
  <c r="BN508" i="1"/>
  <c r="BN509" i="1"/>
  <c r="BN510" i="1"/>
  <c r="BN511" i="1"/>
  <c r="BN512" i="1"/>
  <c r="BN513" i="1"/>
  <c r="BN514" i="1"/>
  <c r="BN515" i="1"/>
  <c r="BN516" i="1"/>
  <c r="BN517" i="1"/>
  <c r="BN518" i="1"/>
  <c r="BN519" i="1"/>
  <c r="BN520" i="1"/>
  <c r="BN521" i="1"/>
  <c r="BN522" i="1"/>
  <c r="BN523" i="1"/>
  <c r="BN524" i="1"/>
  <c r="BN525" i="1"/>
  <c r="BN526" i="1"/>
  <c r="BN527" i="1"/>
  <c r="BN528" i="1"/>
  <c r="BN529" i="1"/>
  <c r="BN530" i="1"/>
  <c r="BN531" i="1"/>
  <c r="BN532" i="1"/>
  <c r="BN533" i="1"/>
  <c r="BN534" i="1"/>
  <c r="BN535" i="1"/>
  <c r="BN536" i="1"/>
  <c r="BN537" i="1"/>
  <c r="BN538" i="1"/>
  <c r="BN539" i="1"/>
  <c r="BN540" i="1"/>
  <c r="BN541" i="1"/>
  <c r="BN542" i="1"/>
  <c r="BN543" i="1"/>
  <c r="BN544" i="1"/>
  <c r="BN545" i="1"/>
  <c r="BN546" i="1"/>
  <c r="BN547" i="1"/>
  <c r="BN548" i="1"/>
  <c r="BN549" i="1"/>
  <c r="BN550" i="1"/>
  <c r="BN551" i="1"/>
  <c r="BN552" i="1"/>
  <c r="BN553" i="1"/>
  <c r="BN554" i="1"/>
  <c r="BN555" i="1"/>
  <c r="BN561" i="1"/>
  <c r="BN562" i="1"/>
  <c r="BN563" i="1"/>
  <c r="BN260"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61" i="1"/>
  <c r="BH562" i="1"/>
  <c r="BH563" i="1"/>
  <c r="BS560" i="1"/>
  <c r="BS559" i="1"/>
  <c r="BS558" i="1"/>
  <c r="BS557" i="1"/>
  <c r="BS556" i="1"/>
  <c r="BS267" i="1"/>
  <c r="BS268" i="1"/>
  <c r="BS269" i="1"/>
  <c r="BS270" i="1"/>
  <c r="BS271" i="1"/>
  <c r="BS272" i="1"/>
  <c r="BS273" i="1"/>
  <c r="BS274" i="1"/>
  <c r="BS275" i="1"/>
  <c r="BS276" i="1"/>
  <c r="BS277" i="1"/>
  <c r="BS278" i="1"/>
  <c r="BS279" i="1"/>
  <c r="BS280" i="1"/>
  <c r="BS281" i="1"/>
  <c r="BS282" i="1"/>
  <c r="BS283" i="1"/>
  <c r="BS284" i="1"/>
  <c r="BS285" i="1"/>
  <c r="BS286" i="1"/>
  <c r="BS287" i="1"/>
  <c r="BS288" i="1"/>
  <c r="BS289" i="1"/>
  <c r="BS290" i="1"/>
  <c r="BS291" i="1"/>
  <c r="BS292" i="1"/>
  <c r="BS293" i="1"/>
  <c r="BS294" i="1"/>
  <c r="BS295" i="1"/>
  <c r="BS296" i="1"/>
  <c r="BS297" i="1"/>
  <c r="BS298" i="1"/>
  <c r="BS299" i="1"/>
  <c r="BS300" i="1"/>
  <c r="BS301" i="1"/>
  <c r="BS302" i="1"/>
  <c r="BS303" i="1"/>
  <c r="BS304" i="1"/>
  <c r="BS305" i="1"/>
  <c r="BS306" i="1"/>
  <c r="BS307" i="1"/>
  <c r="BS308" i="1"/>
  <c r="BS309" i="1"/>
  <c r="BS310" i="1"/>
  <c r="BS311" i="1"/>
  <c r="BS312" i="1"/>
  <c r="BS313" i="1"/>
  <c r="BS314" i="1"/>
  <c r="BS315" i="1"/>
  <c r="BS316" i="1"/>
  <c r="BS317" i="1"/>
  <c r="BS318" i="1"/>
  <c r="BS319" i="1"/>
  <c r="BS320" i="1"/>
  <c r="BS321" i="1"/>
  <c r="BS322" i="1"/>
  <c r="BS323" i="1"/>
  <c r="BS324" i="1"/>
  <c r="BS325" i="1"/>
  <c r="BS326" i="1"/>
  <c r="BS327" i="1"/>
  <c r="BS328" i="1"/>
  <c r="BS329" i="1"/>
  <c r="BS330" i="1"/>
  <c r="BS331" i="1"/>
  <c r="BS332" i="1"/>
  <c r="BS333" i="1"/>
  <c r="BS334" i="1"/>
  <c r="BS335" i="1"/>
  <c r="BS336" i="1"/>
  <c r="BS337" i="1"/>
  <c r="BS338" i="1"/>
  <c r="BS339" i="1"/>
  <c r="BS340" i="1"/>
  <c r="BS341" i="1"/>
  <c r="BS342" i="1"/>
  <c r="BS343" i="1"/>
  <c r="BS344" i="1"/>
  <c r="BS345" i="1"/>
  <c r="BS346" i="1"/>
  <c r="BS347" i="1"/>
  <c r="BS348" i="1"/>
  <c r="BS349" i="1"/>
  <c r="BS350" i="1"/>
  <c r="BS351" i="1"/>
  <c r="BS352" i="1"/>
  <c r="BS353" i="1"/>
  <c r="BS354" i="1"/>
  <c r="BS355" i="1"/>
  <c r="BS356" i="1"/>
  <c r="BS357" i="1"/>
  <c r="BS358" i="1"/>
  <c r="BS359" i="1"/>
  <c r="BS360" i="1"/>
  <c r="BS361" i="1"/>
  <c r="BS362" i="1"/>
  <c r="BS363" i="1"/>
  <c r="BS364" i="1"/>
  <c r="BS365" i="1"/>
  <c r="BS366" i="1"/>
  <c r="BS367" i="1"/>
  <c r="BS368" i="1"/>
  <c r="BS369" i="1"/>
  <c r="BS370" i="1"/>
  <c r="BS371" i="1"/>
  <c r="BS372" i="1"/>
  <c r="BS373" i="1"/>
  <c r="BS374" i="1"/>
  <c r="BS375" i="1"/>
  <c r="BS376" i="1"/>
  <c r="BS377" i="1"/>
  <c r="BS378" i="1"/>
  <c r="BS379" i="1"/>
  <c r="BS380" i="1"/>
  <c r="BS381" i="1"/>
  <c r="BS382" i="1"/>
  <c r="BS383" i="1"/>
  <c r="BS384" i="1"/>
  <c r="BS385" i="1"/>
  <c r="BS386" i="1"/>
  <c r="BS387" i="1"/>
  <c r="BS388" i="1"/>
  <c r="BS389" i="1"/>
  <c r="BS390" i="1"/>
  <c r="BS391" i="1"/>
  <c r="BS392" i="1"/>
  <c r="BS393" i="1"/>
  <c r="BS394" i="1"/>
  <c r="BS395" i="1"/>
  <c r="BS396" i="1"/>
  <c r="BS397" i="1"/>
  <c r="BS398" i="1"/>
  <c r="BS399" i="1"/>
  <c r="BS400" i="1"/>
  <c r="BS401" i="1"/>
  <c r="BS402" i="1"/>
  <c r="BS403" i="1"/>
  <c r="BS404" i="1"/>
  <c r="BS405" i="1"/>
  <c r="BS406" i="1"/>
  <c r="BS407" i="1"/>
  <c r="BS408" i="1"/>
  <c r="BS409" i="1"/>
  <c r="BS410" i="1"/>
  <c r="BS411" i="1"/>
  <c r="BS412" i="1"/>
  <c r="BS413" i="1"/>
  <c r="BS414" i="1"/>
  <c r="BS415" i="1"/>
  <c r="BS416" i="1"/>
  <c r="BS417" i="1"/>
  <c r="BS418" i="1"/>
  <c r="BS419" i="1"/>
  <c r="BS420" i="1"/>
  <c r="BS421" i="1"/>
  <c r="BS422" i="1"/>
  <c r="BS423" i="1"/>
  <c r="BS424" i="1"/>
  <c r="BS425" i="1"/>
  <c r="BS426" i="1"/>
  <c r="BS427" i="1"/>
  <c r="BS428" i="1"/>
  <c r="BS429" i="1"/>
  <c r="BS430" i="1"/>
  <c r="BS431" i="1"/>
  <c r="BS432" i="1"/>
  <c r="BS433" i="1"/>
  <c r="BS434" i="1"/>
  <c r="BS435" i="1"/>
  <c r="BS436" i="1"/>
  <c r="BS437" i="1"/>
  <c r="BS438" i="1"/>
  <c r="BS439" i="1"/>
  <c r="BS440" i="1"/>
  <c r="BS441" i="1"/>
  <c r="BS442" i="1"/>
  <c r="BS443" i="1"/>
  <c r="BS444" i="1"/>
  <c r="BS445" i="1"/>
  <c r="BS446" i="1"/>
  <c r="BS447" i="1"/>
  <c r="BS448" i="1"/>
  <c r="BS449" i="1"/>
  <c r="BS450" i="1"/>
  <c r="BS451" i="1"/>
  <c r="BS452" i="1"/>
  <c r="BS453" i="1"/>
  <c r="BS454" i="1"/>
  <c r="BS455" i="1"/>
  <c r="BS456" i="1"/>
  <c r="BS457" i="1"/>
  <c r="BS458" i="1"/>
  <c r="BS459" i="1"/>
  <c r="BS460" i="1"/>
  <c r="BS461" i="1"/>
  <c r="BS462" i="1"/>
  <c r="BS463" i="1"/>
  <c r="BS464" i="1"/>
  <c r="BS465" i="1"/>
  <c r="BS466" i="1"/>
  <c r="BS467" i="1"/>
  <c r="BS468" i="1"/>
  <c r="BS469" i="1"/>
  <c r="BS470" i="1"/>
  <c r="BS471" i="1"/>
  <c r="BS472" i="1"/>
  <c r="BS473" i="1"/>
  <c r="BS474" i="1"/>
  <c r="BS475" i="1"/>
  <c r="BS476" i="1"/>
  <c r="BS477" i="1"/>
  <c r="BS478" i="1"/>
  <c r="BS479" i="1"/>
  <c r="BS480" i="1"/>
  <c r="BS481" i="1"/>
  <c r="BS482" i="1"/>
  <c r="BS483" i="1"/>
  <c r="BS484" i="1"/>
  <c r="BS485" i="1"/>
  <c r="BS486" i="1"/>
  <c r="BS487" i="1"/>
  <c r="BS488" i="1"/>
  <c r="BS489" i="1"/>
  <c r="BS490" i="1"/>
  <c r="BS491" i="1"/>
  <c r="BS492" i="1"/>
  <c r="BS493" i="1"/>
  <c r="BS494" i="1"/>
  <c r="BS495" i="1"/>
  <c r="BS496" i="1"/>
  <c r="BS497" i="1"/>
  <c r="BS498" i="1"/>
  <c r="BS499" i="1"/>
  <c r="BS500" i="1"/>
  <c r="BS501" i="1"/>
  <c r="BS502" i="1"/>
  <c r="BS503" i="1"/>
  <c r="BS504" i="1"/>
  <c r="BS505" i="1"/>
  <c r="BS506" i="1"/>
  <c r="BS507" i="1"/>
  <c r="BS508" i="1"/>
  <c r="BS509" i="1"/>
  <c r="BS510" i="1"/>
  <c r="BS511" i="1"/>
  <c r="BS512" i="1"/>
  <c r="BS513" i="1"/>
  <c r="BS514" i="1"/>
  <c r="BS260" i="1"/>
  <c r="BO560" i="1"/>
  <c r="BO559" i="1"/>
  <c r="BO558" i="1"/>
  <c r="BO557" i="1"/>
  <c r="BO556" i="1"/>
  <c r="BO267" i="1"/>
  <c r="BO268" i="1"/>
  <c r="BO269" i="1"/>
  <c r="BO270" i="1"/>
  <c r="BO271" i="1"/>
  <c r="BO272" i="1"/>
  <c r="BO273" i="1"/>
  <c r="BO274" i="1"/>
  <c r="BO275" i="1"/>
  <c r="BO276" i="1"/>
  <c r="BO277" i="1"/>
  <c r="BO278" i="1"/>
  <c r="BO279" i="1"/>
  <c r="BO280" i="1"/>
  <c r="BO281" i="1"/>
  <c r="BO282" i="1"/>
  <c r="BO283" i="1"/>
  <c r="BO284" i="1"/>
  <c r="BO285" i="1"/>
  <c r="BO286" i="1"/>
  <c r="BO287" i="1"/>
  <c r="BO288" i="1"/>
  <c r="BO289" i="1"/>
  <c r="BO290" i="1"/>
  <c r="BO291" i="1"/>
  <c r="BO292" i="1"/>
  <c r="BO293" i="1"/>
  <c r="BO294" i="1"/>
  <c r="BO295" i="1"/>
  <c r="BO296" i="1"/>
  <c r="BO297" i="1"/>
  <c r="BO298" i="1"/>
  <c r="BO299" i="1"/>
  <c r="BO300" i="1"/>
  <c r="BO301" i="1"/>
  <c r="BO302" i="1"/>
  <c r="BO303" i="1"/>
  <c r="BO304" i="1"/>
  <c r="BO305" i="1"/>
  <c r="BO306" i="1"/>
  <c r="BO307" i="1"/>
  <c r="BO308" i="1"/>
  <c r="BO309" i="1"/>
  <c r="BO310" i="1"/>
  <c r="BO311" i="1"/>
  <c r="BO312" i="1"/>
  <c r="BO313" i="1"/>
  <c r="BO314" i="1"/>
  <c r="BO315" i="1"/>
  <c r="BO316" i="1"/>
  <c r="BO317" i="1"/>
  <c r="BO318" i="1"/>
  <c r="BO319" i="1"/>
  <c r="BO320" i="1"/>
  <c r="BO321" i="1"/>
  <c r="BO322" i="1"/>
  <c r="BO323" i="1"/>
  <c r="BO324" i="1"/>
  <c r="BO325" i="1"/>
  <c r="BO326" i="1"/>
  <c r="BO327" i="1"/>
  <c r="BO328" i="1"/>
  <c r="BO329" i="1"/>
  <c r="BO330" i="1"/>
  <c r="BO331" i="1"/>
  <c r="BO332" i="1"/>
  <c r="BO333" i="1"/>
  <c r="BO334" i="1"/>
  <c r="BO335" i="1"/>
  <c r="BO336" i="1"/>
  <c r="BO337" i="1"/>
  <c r="BO338" i="1"/>
  <c r="BO339" i="1"/>
  <c r="BO340" i="1"/>
  <c r="BO341" i="1"/>
  <c r="BO342" i="1"/>
  <c r="BO343" i="1"/>
  <c r="BO344" i="1"/>
  <c r="BO345" i="1"/>
  <c r="BO346" i="1"/>
  <c r="BO347" i="1"/>
  <c r="BO348" i="1"/>
  <c r="BO349" i="1"/>
  <c r="BO350" i="1"/>
  <c r="BO351" i="1"/>
  <c r="BO352" i="1"/>
  <c r="BO353" i="1"/>
  <c r="BO354" i="1"/>
  <c r="BO355" i="1"/>
  <c r="BO356" i="1"/>
  <c r="BO357" i="1"/>
  <c r="BO358" i="1"/>
  <c r="BO359" i="1"/>
  <c r="BO360" i="1"/>
  <c r="BO361" i="1"/>
  <c r="BO362" i="1"/>
  <c r="BO363" i="1"/>
  <c r="BO364" i="1"/>
  <c r="BO365" i="1"/>
  <c r="BO366" i="1"/>
  <c r="BO367" i="1"/>
  <c r="BO368" i="1"/>
  <c r="BO369" i="1"/>
  <c r="BO370" i="1"/>
  <c r="BO371" i="1"/>
  <c r="BO372" i="1"/>
  <c r="BO373" i="1"/>
  <c r="BO374" i="1"/>
  <c r="BO375" i="1"/>
  <c r="BO376" i="1"/>
  <c r="BO377" i="1"/>
  <c r="BO378" i="1"/>
  <c r="BO379" i="1"/>
  <c r="BO380" i="1"/>
  <c r="BO381" i="1"/>
  <c r="BO382" i="1"/>
  <c r="BO383" i="1"/>
  <c r="BO384" i="1"/>
  <c r="BO385" i="1"/>
  <c r="BO386" i="1"/>
  <c r="BO387" i="1"/>
  <c r="BO388" i="1"/>
  <c r="BO389" i="1"/>
  <c r="BO390" i="1"/>
  <c r="BO391" i="1"/>
  <c r="BO392" i="1"/>
  <c r="BO393" i="1"/>
  <c r="BO394" i="1"/>
  <c r="BO395" i="1"/>
  <c r="BO396" i="1"/>
  <c r="BO397" i="1"/>
  <c r="BO398" i="1"/>
  <c r="BO399" i="1"/>
  <c r="BO400" i="1"/>
  <c r="BO401" i="1"/>
  <c r="BO402" i="1"/>
  <c r="BO403" i="1"/>
  <c r="BO404" i="1"/>
  <c r="BO405" i="1"/>
  <c r="BO406" i="1"/>
  <c r="BO407" i="1"/>
  <c r="BO408" i="1"/>
  <c r="BO409" i="1"/>
  <c r="BO410" i="1"/>
  <c r="BO411" i="1"/>
  <c r="BO412" i="1"/>
  <c r="BO413" i="1"/>
  <c r="BO414" i="1"/>
  <c r="BO415" i="1"/>
  <c r="BO416" i="1"/>
  <c r="BO417" i="1"/>
  <c r="BO418" i="1"/>
  <c r="BO419" i="1"/>
  <c r="BO420" i="1"/>
  <c r="BO421" i="1"/>
  <c r="BO422" i="1"/>
  <c r="BO423" i="1"/>
  <c r="BO424" i="1"/>
  <c r="BO425" i="1"/>
  <c r="BO426" i="1"/>
  <c r="BO427" i="1"/>
  <c r="BO428" i="1"/>
  <c r="BO429" i="1"/>
  <c r="BO430" i="1"/>
  <c r="BO431" i="1"/>
  <c r="BO432" i="1"/>
  <c r="BO433" i="1"/>
  <c r="BO434" i="1"/>
  <c r="BO435" i="1"/>
  <c r="BO436" i="1"/>
  <c r="BO437" i="1"/>
  <c r="BO438" i="1"/>
  <c r="BO439" i="1"/>
  <c r="BO440" i="1"/>
  <c r="BO441" i="1"/>
  <c r="BO442" i="1"/>
  <c r="BO443" i="1"/>
  <c r="BO444" i="1"/>
  <c r="BO445" i="1"/>
  <c r="BO446" i="1"/>
  <c r="BO447" i="1"/>
  <c r="BO448" i="1"/>
  <c r="BO449" i="1"/>
  <c r="BO450" i="1"/>
  <c r="BO451" i="1"/>
  <c r="BO452" i="1"/>
  <c r="BO453" i="1"/>
  <c r="BO454" i="1"/>
  <c r="BO455" i="1"/>
  <c r="BO456" i="1"/>
  <c r="BO457" i="1"/>
  <c r="BO458" i="1"/>
  <c r="BO459" i="1"/>
  <c r="BO460" i="1"/>
  <c r="BO461" i="1"/>
  <c r="BO462" i="1"/>
  <c r="BO463" i="1"/>
  <c r="BO464" i="1"/>
  <c r="BO465" i="1"/>
  <c r="BO466" i="1"/>
  <c r="BO467" i="1"/>
  <c r="BO468" i="1"/>
  <c r="BO469" i="1"/>
  <c r="BO470" i="1"/>
  <c r="BO471" i="1"/>
  <c r="BO472" i="1"/>
  <c r="BO473" i="1"/>
  <c r="BO474" i="1"/>
  <c r="BO475" i="1"/>
  <c r="BO476" i="1"/>
  <c r="BO477" i="1"/>
  <c r="BO478" i="1"/>
  <c r="BO479" i="1"/>
  <c r="BO480" i="1"/>
  <c r="BO481" i="1"/>
  <c r="BO482" i="1"/>
  <c r="BO483" i="1"/>
  <c r="BO484" i="1"/>
  <c r="BO485" i="1"/>
  <c r="BO486" i="1"/>
  <c r="BO487" i="1"/>
  <c r="BO488" i="1"/>
  <c r="BO489" i="1"/>
  <c r="BO490" i="1"/>
  <c r="BO491" i="1"/>
  <c r="BO492" i="1"/>
  <c r="BO493" i="1"/>
  <c r="BO494" i="1"/>
  <c r="BO495" i="1"/>
  <c r="BO496" i="1"/>
  <c r="BO497" i="1"/>
  <c r="BO498" i="1"/>
  <c r="BO499" i="1"/>
  <c r="BO500" i="1"/>
  <c r="BO501" i="1"/>
  <c r="BO502" i="1"/>
  <c r="BO503" i="1"/>
  <c r="BO504" i="1"/>
  <c r="BO505" i="1"/>
  <c r="BO506" i="1"/>
  <c r="BO507" i="1"/>
  <c r="BO508" i="1"/>
  <c r="BO509" i="1"/>
  <c r="BO510" i="1"/>
  <c r="BO511" i="1"/>
  <c r="BO512" i="1"/>
  <c r="BO513" i="1"/>
  <c r="BO514" i="1"/>
  <c r="BO515" i="1"/>
  <c r="BO516" i="1"/>
  <c r="BO517" i="1"/>
  <c r="BO518" i="1"/>
  <c r="BO519" i="1"/>
  <c r="BO520" i="1"/>
  <c r="BO521" i="1"/>
  <c r="BO522" i="1"/>
  <c r="BO523" i="1"/>
  <c r="BO524" i="1"/>
  <c r="BO525" i="1"/>
  <c r="BO526" i="1"/>
  <c r="BO527" i="1"/>
  <c r="BO528" i="1"/>
  <c r="BO529" i="1"/>
  <c r="BO530" i="1"/>
  <c r="BO531" i="1"/>
  <c r="BO532" i="1"/>
  <c r="BO533" i="1"/>
  <c r="BO534" i="1"/>
  <c r="BO535" i="1"/>
  <c r="BO536" i="1"/>
  <c r="BO537" i="1"/>
  <c r="BO538" i="1"/>
  <c r="BO539" i="1"/>
  <c r="BO540" i="1"/>
  <c r="BO541" i="1"/>
  <c r="BO542" i="1"/>
  <c r="BO543" i="1"/>
  <c r="BO544" i="1"/>
  <c r="BO545" i="1"/>
  <c r="BO546" i="1"/>
  <c r="BO547" i="1"/>
  <c r="BO548" i="1"/>
  <c r="BO549" i="1"/>
  <c r="BO550" i="1"/>
  <c r="BO551" i="1"/>
  <c r="BO552" i="1"/>
  <c r="BO553" i="1"/>
  <c r="BO554" i="1"/>
  <c r="BO555" i="1"/>
  <c r="BO561" i="1"/>
  <c r="BO562" i="1"/>
  <c r="BO563" i="1"/>
  <c r="BO260" i="1"/>
  <c r="BS515" i="1"/>
  <c r="BS516" i="1"/>
  <c r="BS517" i="1"/>
  <c r="BS518" i="1"/>
  <c r="BS519" i="1"/>
  <c r="BS520" i="1"/>
  <c r="BS521" i="1"/>
  <c r="BS522" i="1"/>
  <c r="BS523" i="1"/>
  <c r="BS524" i="1"/>
  <c r="BS525" i="1"/>
  <c r="BS526" i="1"/>
  <c r="BS527" i="1"/>
  <c r="BS528" i="1"/>
  <c r="BS529" i="1"/>
  <c r="BS530" i="1"/>
  <c r="BS531" i="1"/>
  <c r="BS532" i="1"/>
  <c r="BS533" i="1"/>
  <c r="BS534" i="1"/>
  <c r="BS535" i="1"/>
  <c r="BS536" i="1"/>
  <c r="BS537" i="1"/>
  <c r="BS538" i="1"/>
  <c r="BS539" i="1"/>
  <c r="BS540" i="1"/>
  <c r="BS541" i="1"/>
  <c r="BS542" i="1"/>
  <c r="BS543" i="1"/>
  <c r="BS544" i="1"/>
  <c r="BS545" i="1"/>
  <c r="BS546" i="1"/>
  <c r="BS547" i="1"/>
  <c r="BS548" i="1"/>
  <c r="BS549" i="1"/>
  <c r="BS550" i="1"/>
  <c r="BS551" i="1"/>
  <c r="BS552" i="1"/>
  <c r="BS553" i="1"/>
  <c r="BS554" i="1"/>
  <c r="BS555" i="1"/>
  <c r="BS561" i="1"/>
  <c r="BS562" i="1"/>
  <c r="BS563" i="1"/>
  <c r="BT560" i="1"/>
  <c r="BT559" i="1"/>
  <c r="BT558" i="1"/>
  <c r="BT557" i="1"/>
  <c r="BT556" i="1"/>
  <c r="BT267" i="1"/>
  <c r="BT268" i="1"/>
  <c r="BT269" i="1"/>
  <c r="BT270" i="1"/>
  <c r="BT271" i="1"/>
  <c r="BT272" i="1"/>
  <c r="BT273" i="1"/>
  <c r="BT274" i="1"/>
  <c r="BT275" i="1"/>
  <c r="BT276" i="1"/>
  <c r="BT277" i="1"/>
  <c r="BT278" i="1"/>
  <c r="BT279" i="1"/>
  <c r="BT280" i="1"/>
  <c r="BT281" i="1"/>
  <c r="BT282" i="1"/>
  <c r="BT283" i="1"/>
  <c r="BT284" i="1"/>
  <c r="BT285" i="1"/>
  <c r="BT286" i="1"/>
  <c r="BT287" i="1"/>
  <c r="BT288" i="1"/>
  <c r="BT289" i="1"/>
  <c r="BT290" i="1"/>
  <c r="BT291" i="1"/>
  <c r="BT292" i="1"/>
  <c r="BT293" i="1"/>
  <c r="BT294" i="1"/>
  <c r="BT295" i="1"/>
  <c r="BT296" i="1"/>
  <c r="BT297" i="1"/>
  <c r="BT298" i="1"/>
  <c r="BT299" i="1"/>
  <c r="BT300" i="1"/>
  <c r="BT301" i="1"/>
  <c r="BT302" i="1"/>
  <c r="BT303" i="1"/>
  <c r="BT304" i="1"/>
  <c r="BT305" i="1"/>
  <c r="BT306" i="1"/>
  <c r="BT307" i="1"/>
  <c r="BT308" i="1"/>
  <c r="BT309" i="1"/>
  <c r="BT310" i="1"/>
  <c r="BT311" i="1"/>
  <c r="BT312" i="1"/>
  <c r="BT313" i="1"/>
  <c r="BT314" i="1"/>
  <c r="BT315" i="1"/>
  <c r="BT316" i="1"/>
  <c r="BT317" i="1"/>
  <c r="BT318" i="1"/>
  <c r="BT319" i="1"/>
  <c r="BT320" i="1"/>
  <c r="BT321" i="1"/>
  <c r="BT322" i="1"/>
  <c r="BT323" i="1"/>
  <c r="BT324" i="1"/>
  <c r="BT325" i="1"/>
  <c r="BT326" i="1"/>
  <c r="BT327" i="1"/>
  <c r="BT328" i="1"/>
  <c r="BT329" i="1"/>
  <c r="BT330" i="1"/>
  <c r="BT331" i="1"/>
  <c r="BT332" i="1"/>
  <c r="BT333" i="1"/>
  <c r="BT334" i="1"/>
  <c r="BT335" i="1"/>
  <c r="BT336" i="1"/>
  <c r="BT337" i="1"/>
  <c r="BT338" i="1"/>
  <c r="BT339" i="1"/>
  <c r="BT340" i="1"/>
  <c r="BT341" i="1"/>
  <c r="BT342" i="1"/>
  <c r="BT343" i="1"/>
  <c r="BT344" i="1"/>
  <c r="BT345" i="1"/>
  <c r="BT346" i="1"/>
  <c r="BT347" i="1"/>
  <c r="BT348" i="1"/>
  <c r="BT349" i="1"/>
  <c r="BT350" i="1"/>
  <c r="BT351" i="1"/>
  <c r="BT352" i="1"/>
  <c r="BT353" i="1"/>
  <c r="BT354" i="1"/>
  <c r="BT355" i="1"/>
  <c r="BT356" i="1"/>
  <c r="BT357" i="1"/>
  <c r="BT358" i="1"/>
  <c r="BT359" i="1"/>
  <c r="BT360" i="1"/>
  <c r="BT361" i="1"/>
  <c r="BT362" i="1"/>
  <c r="BT363" i="1"/>
  <c r="BT364" i="1"/>
  <c r="BT365" i="1"/>
  <c r="BT366" i="1"/>
  <c r="BT367" i="1"/>
  <c r="BT368" i="1"/>
  <c r="BT369" i="1"/>
  <c r="BT370" i="1"/>
  <c r="BT371" i="1"/>
  <c r="BT372" i="1"/>
  <c r="BT373" i="1"/>
  <c r="BT374" i="1"/>
  <c r="BT375" i="1"/>
  <c r="BT376" i="1"/>
  <c r="BT377" i="1"/>
  <c r="BT378" i="1"/>
  <c r="BT379" i="1"/>
  <c r="BT380" i="1"/>
  <c r="BT381" i="1"/>
  <c r="BT382" i="1"/>
  <c r="BT383" i="1"/>
  <c r="BT384" i="1"/>
  <c r="BT385" i="1"/>
  <c r="BT386" i="1"/>
  <c r="BT387" i="1"/>
  <c r="BT388" i="1"/>
  <c r="BT389" i="1"/>
  <c r="BT390" i="1"/>
  <c r="BT391" i="1"/>
  <c r="BT392" i="1"/>
  <c r="BT393" i="1"/>
  <c r="BT394" i="1"/>
  <c r="BT395" i="1"/>
  <c r="BT396" i="1"/>
  <c r="BT397" i="1"/>
  <c r="BT398" i="1"/>
  <c r="BT399" i="1"/>
  <c r="BT400" i="1"/>
  <c r="BT401" i="1"/>
  <c r="BT402" i="1"/>
  <c r="BT403" i="1"/>
  <c r="BT404" i="1"/>
  <c r="BT405" i="1"/>
  <c r="BT406" i="1"/>
  <c r="BT407" i="1"/>
  <c r="BT408" i="1"/>
  <c r="BT409" i="1"/>
  <c r="BT410" i="1"/>
  <c r="BT411" i="1"/>
  <c r="BT412" i="1"/>
  <c r="BT413" i="1"/>
  <c r="BT414" i="1"/>
  <c r="BT415" i="1"/>
  <c r="BT416" i="1"/>
  <c r="BT417" i="1"/>
  <c r="BT418" i="1"/>
  <c r="BT419" i="1"/>
  <c r="BT420" i="1"/>
  <c r="BT421" i="1"/>
  <c r="BT422" i="1"/>
  <c r="BT423" i="1"/>
  <c r="BT424" i="1"/>
  <c r="BT425" i="1"/>
  <c r="BT426" i="1"/>
  <c r="BT427" i="1"/>
  <c r="BT428" i="1"/>
  <c r="BT429" i="1"/>
  <c r="BT430" i="1"/>
  <c r="BT431" i="1"/>
  <c r="BT432" i="1"/>
  <c r="BT433" i="1"/>
  <c r="BT434" i="1"/>
  <c r="BT435" i="1"/>
  <c r="BT436" i="1"/>
  <c r="BT437" i="1"/>
  <c r="BT438" i="1"/>
  <c r="BT439" i="1"/>
  <c r="BT440" i="1"/>
  <c r="BT441" i="1"/>
  <c r="BT442" i="1"/>
  <c r="BT443" i="1"/>
  <c r="BT444" i="1"/>
  <c r="BT445" i="1"/>
  <c r="BT446" i="1"/>
  <c r="BT447" i="1"/>
  <c r="BT448" i="1"/>
  <c r="BT449" i="1"/>
  <c r="BT450" i="1"/>
  <c r="BT451" i="1"/>
  <c r="BT452" i="1"/>
  <c r="BT453" i="1"/>
  <c r="BT454" i="1"/>
  <c r="BT455" i="1"/>
  <c r="BT456" i="1"/>
  <c r="BT457" i="1"/>
  <c r="BT458" i="1"/>
  <c r="BT459" i="1"/>
  <c r="BT460" i="1"/>
  <c r="BT461" i="1"/>
  <c r="BT462" i="1"/>
  <c r="BT463" i="1"/>
  <c r="BT464" i="1"/>
  <c r="BT465" i="1"/>
  <c r="BT466" i="1"/>
  <c r="BT467" i="1"/>
  <c r="BT468" i="1"/>
  <c r="BT469" i="1"/>
  <c r="BT470" i="1"/>
  <c r="BT471" i="1"/>
  <c r="BT472" i="1"/>
  <c r="BT473" i="1"/>
  <c r="BT474" i="1"/>
  <c r="BT475" i="1"/>
  <c r="BT476" i="1"/>
  <c r="BT477" i="1"/>
  <c r="BT478" i="1"/>
  <c r="BT479" i="1"/>
  <c r="BT480" i="1"/>
  <c r="BT481" i="1"/>
  <c r="BT482" i="1"/>
  <c r="BT483" i="1"/>
  <c r="BT484" i="1"/>
  <c r="BT485" i="1"/>
  <c r="BT486" i="1"/>
  <c r="BT487" i="1"/>
  <c r="BT488" i="1"/>
  <c r="BT489" i="1"/>
  <c r="BT490" i="1"/>
  <c r="BT491" i="1"/>
  <c r="BT492" i="1"/>
  <c r="BT493" i="1"/>
  <c r="BT494" i="1"/>
  <c r="BT495" i="1"/>
  <c r="BT496" i="1"/>
  <c r="BT497" i="1"/>
  <c r="BT498" i="1"/>
  <c r="BT499" i="1"/>
  <c r="BT500" i="1"/>
  <c r="BT501" i="1"/>
  <c r="BT502" i="1"/>
  <c r="BT503" i="1"/>
  <c r="BT504" i="1"/>
  <c r="BT505" i="1"/>
  <c r="BT506" i="1"/>
  <c r="BT507" i="1"/>
  <c r="BT508" i="1"/>
  <c r="BT509" i="1"/>
  <c r="BT510" i="1"/>
  <c r="BT511" i="1"/>
  <c r="BT512" i="1"/>
  <c r="BT513" i="1"/>
  <c r="BT260" i="1"/>
  <c r="BT514" i="1"/>
  <c r="BT515" i="1"/>
  <c r="BT516" i="1"/>
  <c r="BT517" i="1"/>
  <c r="BT518" i="1"/>
  <c r="BT519" i="1"/>
  <c r="BT520" i="1"/>
  <c r="BT521" i="1"/>
  <c r="BT522" i="1"/>
  <c r="BT523" i="1"/>
  <c r="BT524" i="1"/>
  <c r="BT525" i="1"/>
  <c r="BT526" i="1"/>
  <c r="BT527" i="1"/>
  <c r="BT528" i="1"/>
  <c r="BT529" i="1"/>
  <c r="BT530" i="1"/>
  <c r="BT531" i="1"/>
  <c r="BT532" i="1"/>
  <c r="BT533" i="1"/>
  <c r="BT534" i="1"/>
  <c r="BT535" i="1"/>
  <c r="BT536" i="1"/>
  <c r="BT537" i="1"/>
  <c r="BT538" i="1"/>
  <c r="BT539" i="1"/>
  <c r="BT540" i="1"/>
  <c r="BT541" i="1"/>
  <c r="BT542" i="1"/>
  <c r="BT543" i="1"/>
  <c r="BT544" i="1"/>
  <c r="BT545" i="1"/>
  <c r="BT546" i="1"/>
  <c r="BT547" i="1"/>
  <c r="BT548" i="1"/>
  <c r="BT549" i="1"/>
  <c r="BT550" i="1"/>
  <c r="BT551" i="1"/>
  <c r="BT552" i="1"/>
  <c r="BT553" i="1"/>
  <c r="BT554" i="1"/>
  <c r="BT555" i="1"/>
  <c r="BT561" i="1"/>
  <c r="BT562" i="1"/>
  <c r="BT563" i="1"/>
  <c r="BU560" i="1"/>
  <c r="BQ560" i="1"/>
  <c r="BU559" i="1"/>
  <c r="BQ559" i="1"/>
  <c r="BU558" i="1"/>
  <c r="BQ558" i="1"/>
  <c r="BU557" i="1"/>
  <c r="BQ557" i="1"/>
  <c r="BU556" i="1"/>
  <c r="BQ556" i="1"/>
  <c r="BQ267" i="1"/>
  <c r="BU267" i="1"/>
  <c r="BQ268" i="1"/>
  <c r="BU268" i="1"/>
  <c r="BQ269" i="1"/>
  <c r="BU269" i="1"/>
  <c r="BQ270" i="1"/>
  <c r="BU270" i="1"/>
  <c r="BQ271" i="1"/>
  <c r="BU271" i="1"/>
  <c r="BQ272" i="1"/>
  <c r="BU272" i="1"/>
  <c r="BQ273" i="1"/>
  <c r="BU273" i="1"/>
  <c r="BQ274" i="1"/>
  <c r="BU274" i="1"/>
  <c r="BQ275" i="1"/>
  <c r="BU275" i="1"/>
  <c r="BQ276" i="1"/>
  <c r="BU276" i="1"/>
  <c r="BQ277" i="1"/>
  <c r="BU277" i="1"/>
  <c r="BQ278" i="1"/>
  <c r="BU278" i="1"/>
  <c r="BQ279" i="1"/>
  <c r="BU279" i="1"/>
  <c r="BQ280" i="1"/>
  <c r="BU280" i="1"/>
  <c r="BQ281" i="1"/>
  <c r="BU281" i="1"/>
  <c r="BQ282" i="1"/>
  <c r="BU282" i="1"/>
  <c r="BQ283" i="1"/>
  <c r="BU283" i="1"/>
  <c r="BQ284" i="1"/>
  <c r="BU284" i="1"/>
  <c r="BQ285" i="1"/>
  <c r="BU285" i="1"/>
  <c r="BQ286" i="1"/>
  <c r="BU286" i="1"/>
  <c r="BQ287" i="1"/>
  <c r="BU287" i="1"/>
  <c r="BQ288" i="1"/>
  <c r="BU288" i="1"/>
  <c r="BQ289" i="1"/>
  <c r="BU289" i="1"/>
  <c r="BQ290" i="1"/>
  <c r="BU290" i="1"/>
  <c r="BQ291" i="1"/>
  <c r="BU291" i="1"/>
  <c r="BQ292" i="1"/>
  <c r="BU292" i="1"/>
  <c r="BQ293" i="1"/>
  <c r="BU293" i="1"/>
  <c r="BQ294" i="1"/>
  <c r="BU294" i="1"/>
  <c r="BQ295" i="1"/>
  <c r="BU295" i="1"/>
  <c r="BQ296" i="1"/>
  <c r="BU296" i="1"/>
  <c r="BQ297" i="1"/>
  <c r="BU297" i="1"/>
  <c r="BQ298" i="1"/>
  <c r="BU298" i="1"/>
  <c r="BQ299" i="1"/>
  <c r="BU299" i="1"/>
  <c r="BQ300" i="1"/>
  <c r="BU300" i="1"/>
  <c r="BQ301" i="1"/>
  <c r="BU301" i="1"/>
  <c r="BQ302" i="1"/>
  <c r="BU302" i="1"/>
  <c r="BQ303" i="1"/>
  <c r="BU303" i="1"/>
  <c r="BQ304" i="1"/>
  <c r="BU304" i="1"/>
  <c r="BQ305" i="1"/>
  <c r="BU305" i="1"/>
  <c r="BQ306" i="1"/>
  <c r="BU306" i="1"/>
  <c r="BQ307" i="1"/>
  <c r="BU307" i="1"/>
  <c r="BQ308" i="1"/>
  <c r="BU308" i="1"/>
  <c r="BQ309" i="1"/>
  <c r="BU309" i="1"/>
  <c r="BQ310" i="1"/>
  <c r="BU310" i="1"/>
  <c r="BQ311" i="1"/>
  <c r="BU311" i="1"/>
  <c r="BQ312" i="1"/>
  <c r="BU312" i="1"/>
  <c r="BQ313" i="1"/>
  <c r="BU313" i="1"/>
  <c r="BQ314" i="1"/>
  <c r="BU314" i="1"/>
  <c r="BQ315" i="1"/>
  <c r="BU315" i="1"/>
  <c r="BQ316" i="1"/>
  <c r="BU316" i="1"/>
  <c r="BQ317" i="1"/>
  <c r="BU317" i="1"/>
  <c r="BQ318" i="1"/>
  <c r="BU318" i="1"/>
  <c r="BQ319" i="1"/>
  <c r="BU319" i="1"/>
  <c r="BQ320" i="1"/>
  <c r="BU320" i="1"/>
  <c r="BQ321" i="1"/>
  <c r="BU321" i="1"/>
  <c r="BQ322" i="1"/>
  <c r="BU322" i="1"/>
  <c r="BQ323" i="1"/>
  <c r="BU323" i="1"/>
  <c r="BQ324" i="1"/>
  <c r="BU324" i="1"/>
  <c r="BQ325" i="1"/>
  <c r="BU325" i="1"/>
  <c r="BQ326" i="1"/>
  <c r="BU326" i="1"/>
  <c r="BQ327" i="1"/>
  <c r="BU327" i="1"/>
  <c r="BQ328" i="1"/>
  <c r="BU328" i="1"/>
  <c r="BQ329" i="1"/>
  <c r="BU329" i="1"/>
  <c r="BQ330" i="1"/>
  <c r="BU330" i="1"/>
  <c r="BQ331" i="1"/>
  <c r="BU331" i="1"/>
  <c r="BQ332" i="1"/>
  <c r="BU332" i="1"/>
  <c r="BQ333" i="1"/>
  <c r="BU333" i="1"/>
  <c r="BQ334" i="1"/>
  <c r="BU334" i="1"/>
  <c r="BQ335" i="1"/>
  <c r="BU335" i="1"/>
  <c r="BQ336" i="1"/>
  <c r="BU336" i="1"/>
  <c r="BQ337" i="1"/>
  <c r="BU337" i="1"/>
  <c r="BQ338" i="1"/>
  <c r="BU338" i="1"/>
  <c r="BQ339" i="1"/>
  <c r="BU339" i="1"/>
  <c r="BQ340" i="1"/>
  <c r="BU340" i="1"/>
  <c r="BQ341" i="1"/>
  <c r="BU341" i="1"/>
  <c r="BQ342" i="1"/>
  <c r="BU342" i="1"/>
  <c r="BQ343" i="1"/>
  <c r="BU343" i="1"/>
  <c r="BQ344" i="1"/>
  <c r="BU344" i="1"/>
  <c r="BQ345" i="1"/>
  <c r="BU345" i="1"/>
  <c r="BQ346" i="1"/>
  <c r="BU346" i="1"/>
  <c r="BQ347" i="1"/>
  <c r="BU347" i="1"/>
  <c r="BQ348" i="1"/>
  <c r="BU348" i="1"/>
  <c r="BQ349" i="1"/>
  <c r="BU349" i="1"/>
  <c r="BQ350" i="1"/>
  <c r="BU350" i="1"/>
  <c r="BQ351" i="1"/>
  <c r="BU351" i="1"/>
  <c r="BQ352" i="1"/>
  <c r="BU352" i="1"/>
  <c r="BQ353" i="1"/>
  <c r="BU353" i="1"/>
  <c r="BQ354" i="1"/>
  <c r="BU354" i="1"/>
  <c r="BQ355" i="1"/>
  <c r="BU355" i="1"/>
  <c r="BQ356" i="1"/>
  <c r="BU356" i="1"/>
  <c r="BQ357" i="1"/>
  <c r="BU357" i="1"/>
  <c r="BQ358" i="1"/>
  <c r="BU358" i="1"/>
  <c r="BQ359" i="1"/>
  <c r="BU359" i="1"/>
  <c r="BQ360" i="1"/>
  <c r="BU360" i="1"/>
  <c r="BQ361" i="1"/>
  <c r="BU361" i="1"/>
  <c r="BQ362" i="1"/>
  <c r="BU362" i="1"/>
  <c r="BQ363" i="1"/>
  <c r="BU363" i="1"/>
  <c r="BQ364" i="1"/>
  <c r="BU364" i="1"/>
  <c r="BQ365" i="1"/>
  <c r="BU365" i="1"/>
  <c r="BQ366" i="1"/>
  <c r="BU366" i="1"/>
  <c r="BQ367" i="1"/>
  <c r="BU367" i="1"/>
  <c r="BQ368" i="1"/>
  <c r="BU368" i="1"/>
  <c r="BQ369" i="1"/>
  <c r="BU369" i="1"/>
  <c r="BQ370" i="1"/>
  <c r="BU370" i="1"/>
  <c r="BQ371" i="1"/>
  <c r="BU371" i="1"/>
  <c r="BQ372" i="1"/>
  <c r="BU372" i="1"/>
  <c r="BQ373" i="1"/>
  <c r="BU373" i="1"/>
  <c r="BQ374" i="1"/>
  <c r="BU374" i="1"/>
  <c r="BQ375" i="1"/>
  <c r="BU375" i="1"/>
  <c r="BQ376" i="1"/>
  <c r="BU376" i="1"/>
  <c r="BQ377" i="1"/>
  <c r="BU377" i="1"/>
  <c r="BQ378" i="1"/>
  <c r="BU378" i="1"/>
  <c r="BQ379" i="1"/>
  <c r="BU379" i="1"/>
  <c r="BQ380" i="1"/>
  <c r="BU380" i="1"/>
  <c r="BQ381" i="1"/>
  <c r="BU381" i="1"/>
  <c r="BQ382" i="1"/>
  <c r="BU382" i="1"/>
  <c r="BQ383" i="1"/>
  <c r="BU383" i="1"/>
  <c r="BQ384" i="1"/>
  <c r="BU384" i="1"/>
  <c r="BQ385" i="1"/>
  <c r="BU385" i="1"/>
  <c r="BQ386" i="1"/>
  <c r="BU386" i="1"/>
  <c r="BQ387" i="1"/>
  <c r="BU387" i="1"/>
  <c r="BQ388" i="1"/>
  <c r="BU388" i="1"/>
  <c r="BQ389" i="1"/>
  <c r="BU389" i="1"/>
  <c r="BQ390" i="1"/>
  <c r="BU390" i="1"/>
  <c r="BQ391" i="1"/>
  <c r="BU391" i="1"/>
  <c r="BQ392" i="1"/>
  <c r="BU392" i="1"/>
  <c r="BQ393" i="1"/>
  <c r="BU393" i="1"/>
  <c r="BQ394" i="1"/>
  <c r="BU394" i="1"/>
  <c r="BQ395" i="1"/>
  <c r="BU395" i="1"/>
  <c r="BQ396" i="1"/>
  <c r="BU396" i="1"/>
  <c r="BQ397" i="1"/>
  <c r="BU397" i="1"/>
  <c r="BQ398" i="1"/>
  <c r="BU398" i="1"/>
  <c r="BQ399" i="1"/>
  <c r="BU399" i="1"/>
  <c r="BQ400" i="1"/>
  <c r="BU400" i="1"/>
  <c r="BQ401" i="1"/>
  <c r="BU401" i="1"/>
  <c r="BQ402" i="1"/>
  <c r="BU402" i="1"/>
  <c r="BQ403" i="1"/>
  <c r="BU403" i="1"/>
  <c r="BQ404" i="1"/>
  <c r="BU404" i="1"/>
  <c r="BQ405" i="1"/>
  <c r="BU405" i="1"/>
  <c r="BQ406" i="1"/>
  <c r="BU406" i="1"/>
  <c r="BQ407" i="1"/>
  <c r="BU407" i="1"/>
  <c r="BQ408" i="1"/>
  <c r="BU408" i="1"/>
  <c r="BQ409" i="1"/>
  <c r="BU409" i="1"/>
  <c r="BQ410" i="1"/>
  <c r="BU410" i="1"/>
  <c r="BQ411" i="1"/>
  <c r="BU411" i="1"/>
  <c r="BQ412" i="1"/>
  <c r="BU412" i="1"/>
  <c r="BQ413" i="1"/>
  <c r="BU413" i="1"/>
  <c r="BQ414" i="1"/>
  <c r="BU414" i="1"/>
  <c r="BQ415" i="1"/>
  <c r="BU415" i="1"/>
  <c r="BQ416" i="1"/>
  <c r="BU416" i="1"/>
  <c r="BQ417" i="1"/>
  <c r="BU417" i="1"/>
  <c r="BQ418" i="1"/>
  <c r="BU418" i="1"/>
  <c r="BQ419" i="1"/>
  <c r="BU419" i="1"/>
  <c r="BQ420" i="1"/>
  <c r="BU420" i="1"/>
  <c r="BQ421" i="1"/>
  <c r="BU421" i="1"/>
  <c r="BQ422" i="1"/>
  <c r="BU422" i="1"/>
  <c r="BQ423" i="1"/>
  <c r="BU423" i="1"/>
  <c r="BQ424" i="1"/>
  <c r="BU424" i="1"/>
  <c r="BQ425" i="1"/>
  <c r="BU425" i="1"/>
  <c r="BQ426" i="1"/>
  <c r="BU426" i="1"/>
  <c r="BQ427" i="1"/>
  <c r="BU427" i="1"/>
  <c r="BQ428" i="1"/>
  <c r="BU428" i="1"/>
  <c r="BQ429" i="1"/>
  <c r="BU429" i="1"/>
  <c r="BQ430" i="1"/>
  <c r="BU430" i="1"/>
  <c r="BQ431" i="1"/>
  <c r="BU431" i="1"/>
  <c r="BQ432" i="1"/>
  <c r="BU432" i="1"/>
  <c r="BQ433" i="1"/>
  <c r="BU433" i="1"/>
  <c r="BQ434" i="1"/>
  <c r="BU434" i="1"/>
  <c r="BQ435" i="1"/>
  <c r="BU435" i="1"/>
  <c r="BQ436" i="1"/>
  <c r="BU436" i="1"/>
  <c r="BQ437" i="1"/>
  <c r="BU437" i="1"/>
  <c r="BQ438" i="1"/>
  <c r="BU438" i="1"/>
  <c r="BQ439" i="1"/>
  <c r="BU439" i="1"/>
  <c r="BQ440" i="1"/>
  <c r="BU440" i="1"/>
  <c r="BQ441" i="1"/>
  <c r="BU441" i="1"/>
  <c r="BQ442" i="1"/>
  <c r="BU442" i="1"/>
  <c r="BQ443" i="1"/>
  <c r="BU443" i="1"/>
  <c r="BQ444" i="1"/>
  <c r="BU444" i="1"/>
  <c r="BQ445" i="1"/>
  <c r="BU445" i="1"/>
  <c r="BQ446" i="1"/>
  <c r="BU446" i="1"/>
  <c r="BQ447" i="1"/>
  <c r="BU447" i="1"/>
  <c r="BQ448" i="1"/>
  <c r="BU448" i="1"/>
  <c r="BQ449" i="1"/>
  <c r="BU449" i="1"/>
  <c r="BQ450" i="1"/>
  <c r="BU450" i="1"/>
  <c r="BQ451" i="1"/>
  <c r="BU451" i="1"/>
  <c r="BQ452" i="1"/>
  <c r="BU452" i="1"/>
  <c r="BQ453" i="1"/>
  <c r="BU453" i="1"/>
  <c r="BQ454" i="1"/>
  <c r="BU454" i="1"/>
  <c r="BQ455" i="1"/>
  <c r="BU455" i="1"/>
  <c r="BQ456" i="1"/>
  <c r="BU456" i="1"/>
  <c r="BQ457" i="1"/>
  <c r="BU457" i="1"/>
  <c r="BQ458" i="1"/>
  <c r="BU458" i="1"/>
  <c r="BQ459" i="1"/>
  <c r="BU459" i="1"/>
  <c r="BQ460" i="1"/>
  <c r="BU460" i="1"/>
  <c r="BQ461" i="1"/>
  <c r="BU461" i="1"/>
  <c r="BQ462" i="1"/>
  <c r="BU462" i="1"/>
  <c r="BQ463" i="1"/>
  <c r="BU463" i="1"/>
  <c r="BQ464" i="1"/>
  <c r="BU464" i="1"/>
  <c r="BQ465" i="1"/>
  <c r="BU465" i="1"/>
  <c r="BQ466" i="1"/>
  <c r="BU466" i="1"/>
  <c r="BQ467" i="1"/>
  <c r="BU467" i="1"/>
  <c r="BQ468" i="1"/>
  <c r="BU468" i="1"/>
  <c r="BQ469" i="1"/>
  <c r="BU469" i="1"/>
  <c r="BQ470" i="1"/>
  <c r="BU470" i="1"/>
  <c r="BQ471" i="1"/>
  <c r="BU471" i="1"/>
  <c r="BQ472" i="1"/>
  <c r="BU472" i="1"/>
  <c r="BQ473" i="1"/>
  <c r="BU473" i="1"/>
  <c r="BQ474" i="1"/>
  <c r="BU474" i="1"/>
  <c r="BQ475" i="1"/>
  <c r="BU475" i="1"/>
  <c r="BQ476" i="1"/>
  <c r="BU476" i="1"/>
  <c r="BQ477" i="1"/>
  <c r="BU477" i="1"/>
  <c r="BQ478" i="1"/>
  <c r="BU478" i="1"/>
  <c r="BQ479" i="1"/>
  <c r="BU479" i="1"/>
  <c r="BQ480" i="1"/>
  <c r="BU480" i="1"/>
  <c r="BQ481" i="1"/>
  <c r="BU481" i="1"/>
  <c r="BQ482" i="1"/>
  <c r="BU482" i="1"/>
  <c r="BQ483" i="1"/>
  <c r="BU483" i="1"/>
  <c r="BQ484" i="1"/>
  <c r="BU484" i="1"/>
  <c r="BQ485" i="1"/>
  <c r="BU485" i="1"/>
  <c r="BQ486" i="1"/>
  <c r="BU486" i="1"/>
  <c r="BQ487" i="1"/>
  <c r="BU487" i="1"/>
  <c r="BQ488" i="1"/>
  <c r="BU488" i="1"/>
  <c r="BQ489" i="1"/>
  <c r="BU489" i="1"/>
  <c r="BQ490" i="1"/>
  <c r="BU490" i="1"/>
  <c r="BQ491" i="1"/>
  <c r="BU491" i="1"/>
  <c r="BQ492" i="1"/>
  <c r="BU492" i="1"/>
  <c r="BQ493" i="1"/>
  <c r="BU493" i="1"/>
  <c r="BQ494" i="1"/>
  <c r="BU494" i="1"/>
  <c r="BQ495" i="1"/>
  <c r="BU495" i="1"/>
  <c r="BQ496" i="1"/>
  <c r="BU496" i="1"/>
  <c r="BQ497" i="1"/>
  <c r="BU497" i="1"/>
  <c r="BQ498" i="1"/>
  <c r="BU498" i="1"/>
  <c r="BQ499" i="1"/>
  <c r="BU499" i="1"/>
  <c r="BQ500" i="1"/>
  <c r="BU500" i="1"/>
  <c r="BQ501" i="1"/>
  <c r="BU501" i="1"/>
  <c r="BQ502" i="1"/>
  <c r="BU502" i="1"/>
  <c r="BQ503" i="1"/>
  <c r="BU503" i="1"/>
  <c r="BQ504" i="1"/>
  <c r="BU504" i="1"/>
  <c r="BQ505" i="1"/>
  <c r="BU505" i="1"/>
  <c r="BQ506" i="1"/>
  <c r="BU506" i="1"/>
  <c r="BQ507" i="1"/>
  <c r="BU507" i="1"/>
  <c r="BQ508" i="1"/>
  <c r="BU508" i="1"/>
  <c r="BQ509" i="1"/>
  <c r="BU509" i="1"/>
  <c r="BQ510" i="1"/>
  <c r="BU510" i="1"/>
  <c r="BQ511" i="1"/>
  <c r="BU511" i="1"/>
  <c r="BQ512" i="1"/>
  <c r="BU512" i="1"/>
  <c r="BQ513" i="1"/>
  <c r="BU513" i="1"/>
  <c r="BQ514" i="1"/>
  <c r="BU514" i="1"/>
  <c r="BU515" i="1"/>
  <c r="BU516" i="1"/>
  <c r="BU517" i="1"/>
  <c r="BU518" i="1"/>
  <c r="BU519" i="1"/>
  <c r="BU520" i="1"/>
  <c r="BU521" i="1"/>
  <c r="BU522" i="1"/>
  <c r="BU523" i="1"/>
  <c r="BU524" i="1"/>
  <c r="BU525" i="1"/>
  <c r="BU526" i="1"/>
  <c r="BU527" i="1"/>
  <c r="BU528" i="1"/>
  <c r="BU529" i="1"/>
  <c r="BU530" i="1"/>
  <c r="BU531" i="1"/>
  <c r="BU532" i="1"/>
  <c r="BU533" i="1"/>
  <c r="BU534" i="1"/>
  <c r="BU535" i="1"/>
  <c r="BU536" i="1"/>
  <c r="BU537" i="1"/>
  <c r="BU538" i="1"/>
  <c r="BU539" i="1"/>
  <c r="BU540" i="1"/>
  <c r="BU541" i="1"/>
  <c r="BU542" i="1"/>
  <c r="BU543" i="1"/>
  <c r="BU544" i="1"/>
  <c r="BU545" i="1"/>
  <c r="BU546" i="1"/>
  <c r="BU547" i="1"/>
  <c r="BU548" i="1"/>
  <c r="BU549" i="1"/>
  <c r="BU550" i="1"/>
  <c r="BU551" i="1"/>
  <c r="BU552" i="1"/>
  <c r="BU553" i="1"/>
  <c r="BU554" i="1"/>
  <c r="BU555" i="1"/>
  <c r="BU561" i="1"/>
  <c r="BU562" i="1"/>
  <c r="BU563" i="1"/>
  <c r="BQ260" i="1"/>
  <c r="BU260" i="1"/>
  <c r="BM560" i="1"/>
  <c r="BM559" i="1"/>
  <c r="BM558" i="1"/>
  <c r="BM557" i="1"/>
  <c r="BM55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399" i="1"/>
  <c r="BM400" i="1"/>
  <c r="BM401" i="1"/>
  <c r="BM402" i="1"/>
  <c r="BM403" i="1"/>
  <c r="BM404" i="1"/>
  <c r="BM405" i="1"/>
  <c r="BM406" i="1"/>
  <c r="BM407" i="1"/>
  <c r="BM408" i="1"/>
  <c r="BM409" i="1"/>
  <c r="BM410" i="1"/>
  <c r="BM411" i="1"/>
  <c r="BM412" i="1"/>
  <c r="BM413" i="1"/>
  <c r="BM414" i="1"/>
  <c r="BM415" i="1"/>
  <c r="BM416" i="1"/>
  <c r="BM417" i="1"/>
  <c r="BM418" i="1"/>
  <c r="BM419" i="1"/>
  <c r="BM420" i="1"/>
  <c r="BM421" i="1"/>
  <c r="BM422" i="1"/>
  <c r="BM423" i="1"/>
  <c r="BM424" i="1"/>
  <c r="BM425" i="1"/>
  <c r="BM426" i="1"/>
  <c r="BM427" i="1"/>
  <c r="BM428" i="1"/>
  <c r="BM429" i="1"/>
  <c r="BM430" i="1"/>
  <c r="BM431" i="1"/>
  <c r="BM432" i="1"/>
  <c r="BM433" i="1"/>
  <c r="BM434" i="1"/>
  <c r="BM435" i="1"/>
  <c r="BM436" i="1"/>
  <c r="BM437" i="1"/>
  <c r="BM438" i="1"/>
  <c r="BM439" i="1"/>
  <c r="BM440" i="1"/>
  <c r="BM441" i="1"/>
  <c r="BM442" i="1"/>
  <c r="BM443" i="1"/>
  <c r="BM444" i="1"/>
  <c r="BM445" i="1"/>
  <c r="BM446" i="1"/>
  <c r="BM447" i="1"/>
  <c r="BM448" i="1"/>
  <c r="BM449" i="1"/>
  <c r="BM450" i="1"/>
  <c r="BM451" i="1"/>
  <c r="BM452" i="1"/>
  <c r="BM453" i="1"/>
  <c r="BM454" i="1"/>
  <c r="BM455" i="1"/>
  <c r="BM456" i="1"/>
  <c r="BM457" i="1"/>
  <c r="BM458" i="1"/>
  <c r="BM459" i="1"/>
  <c r="BM460" i="1"/>
  <c r="BM461" i="1"/>
  <c r="BM462" i="1"/>
  <c r="BM463" i="1"/>
  <c r="BM464" i="1"/>
  <c r="BM465" i="1"/>
  <c r="BM466" i="1"/>
  <c r="BM467" i="1"/>
  <c r="BM468" i="1"/>
  <c r="BM469" i="1"/>
  <c r="BM470" i="1"/>
  <c r="BM471" i="1"/>
  <c r="BM472" i="1"/>
  <c r="BM473" i="1"/>
  <c r="BM474" i="1"/>
  <c r="BM475" i="1"/>
  <c r="BM476" i="1"/>
  <c r="BM477" i="1"/>
  <c r="BM478" i="1"/>
  <c r="BM479" i="1"/>
  <c r="BM480" i="1"/>
  <c r="BM481" i="1"/>
  <c r="BM482" i="1"/>
  <c r="BM483" i="1"/>
  <c r="BM484" i="1"/>
  <c r="BM485" i="1"/>
  <c r="BM486" i="1"/>
  <c r="BM487" i="1"/>
  <c r="BM488" i="1"/>
  <c r="BM489" i="1"/>
  <c r="BM490" i="1"/>
  <c r="BM491" i="1"/>
  <c r="BM492" i="1"/>
  <c r="BM493" i="1"/>
  <c r="BM494" i="1"/>
  <c r="BM495" i="1"/>
  <c r="BM496" i="1"/>
  <c r="BM497" i="1"/>
  <c r="BM498" i="1"/>
  <c r="BM499" i="1"/>
  <c r="BM500" i="1"/>
  <c r="BM501" i="1"/>
  <c r="BM502" i="1"/>
  <c r="BM503" i="1"/>
  <c r="BM504" i="1"/>
  <c r="BM505" i="1"/>
  <c r="BM506" i="1"/>
  <c r="BM507" i="1"/>
  <c r="BM508" i="1"/>
  <c r="BM509" i="1"/>
  <c r="BM510" i="1"/>
  <c r="BM511" i="1"/>
  <c r="BM512" i="1"/>
  <c r="BM513" i="1"/>
  <c r="BM514" i="1"/>
  <c r="BM515" i="1"/>
  <c r="BM516" i="1"/>
  <c r="BM517" i="1"/>
  <c r="BM518" i="1"/>
  <c r="BM519" i="1"/>
  <c r="BM520" i="1"/>
  <c r="BM521" i="1"/>
  <c r="BM522" i="1"/>
  <c r="BM523" i="1"/>
  <c r="BM524" i="1"/>
  <c r="BM525" i="1"/>
  <c r="BM526" i="1"/>
  <c r="BM527" i="1"/>
  <c r="BM528" i="1"/>
  <c r="BM529" i="1"/>
  <c r="BM530" i="1"/>
  <c r="BM531" i="1"/>
  <c r="BM532" i="1"/>
  <c r="BM533" i="1"/>
  <c r="BM534" i="1"/>
  <c r="BM535" i="1"/>
  <c r="BM536" i="1"/>
  <c r="BM537" i="1"/>
  <c r="BM538" i="1"/>
  <c r="BM539" i="1"/>
  <c r="BM540" i="1"/>
  <c r="BM541" i="1"/>
  <c r="BM542" i="1"/>
  <c r="BM543" i="1"/>
  <c r="BM544" i="1"/>
  <c r="BM545" i="1"/>
  <c r="BM546" i="1"/>
  <c r="BM547" i="1"/>
  <c r="BM548" i="1"/>
  <c r="BM549" i="1"/>
  <c r="BM550" i="1"/>
  <c r="BM551" i="1"/>
  <c r="BM552" i="1"/>
  <c r="BM553" i="1"/>
  <c r="BM554" i="1"/>
  <c r="BM555" i="1"/>
  <c r="BM561" i="1"/>
  <c r="BM562" i="1"/>
  <c r="BM563" i="1"/>
  <c r="BM260" i="1"/>
  <c r="BQ515" i="1"/>
  <c r="BQ516" i="1"/>
  <c r="BQ517" i="1"/>
  <c r="BQ518" i="1"/>
  <c r="BQ519" i="1"/>
  <c r="BQ520" i="1"/>
  <c r="BQ521" i="1"/>
  <c r="BQ522" i="1"/>
  <c r="BQ523" i="1"/>
  <c r="BQ524" i="1"/>
  <c r="BQ525" i="1"/>
  <c r="BQ526" i="1"/>
  <c r="BQ527" i="1"/>
  <c r="BQ528" i="1"/>
  <c r="BQ529" i="1"/>
  <c r="BQ530" i="1"/>
  <c r="BQ531" i="1"/>
  <c r="BQ532" i="1"/>
  <c r="BQ533" i="1"/>
  <c r="BQ534" i="1"/>
  <c r="BQ535" i="1"/>
  <c r="BQ536" i="1"/>
  <c r="BQ537" i="1"/>
  <c r="BQ538" i="1"/>
  <c r="BQ539" i="1"/>
  <c r="BQ540" i="1"/>
  <c r="BQ541" i="1"/>
  <c r="BQ542" i="1"/>
  <c r="BQ543" i="1"/>
  <c r="BQ544" i="1"/>
  <c r="BQ545" i="1"/>
  <c r="BQ546" i="1"/>
  <c r="BQ547" i="1"/>
  <c r="BQ548" i="1"/>
  <c r="BQ549" i="1"/>
  <c r="BQ550" i="1"/>
  <c r="BQ551" i="1"/>
  <c r="BQ552" i="1"/>
  <c r="BQ553" i="1"/>
  <c r="BQ554" i="1"/>
  <c r="BQ555" i="1"/>
  <c r="BQ561" i="1"/>
  <c r="BQ562" i="1"/>
  <c r="BQ563" i="1"/>
  <c r="BL560" i="1"/>
  <c r="BI560" i="1"/>
  <c r="BL559" i="1"/>
  <c r="BI559" i="1"/>
  <c r="BL558" i="1"/>
  <c r="BI558" i="1"/>
  <c r="BL557" i="1"/>
  <c r="BI557" i="1"/>
  <c r="BL556" i="1"/>
  <c r="BI556" i="1"/>
  <c r="BI267" i="1"/>
  <c r="BL267" i="1"/>
  <c r="BI268" i="1"/>
  <c r="BL268" i="1"/>
  <c r="BI269" i="1"/>
  <c r="BL269" i="1"/>
  <c r="BI270" i="1"/>
  <c r="BL270" i="1"/>
  <c r="BI271" i="1"/>
  <c r="BL271" i="1"/>
  <c r="BI272" i="1"/>
  <c r="BL272" i="1"/>
  <c r="BI273" i="1"/>
  <c r="BL273" i="1"/>
  <c r="BI274" i="1"/>
  <c r="BL274" i="1"/>
  <c r="BI275" i="1"/>
  <c r="BL275" i="1"/>
  <c r="BI276" i="1"/>
  <c r="BL276" i="1"/>
  <c r="BI277" i="1"/>
  <c r="BL277" i="1"/>
  <c r="BI278" i="1"/>
  <c r="BL278" i="1"/>
  <c r="BI279" i="1"/>
  <c r="BL279" i="1"/>
  <c r="BI280" i="1"/>
  <c r="BL280" i="1"/>
  <c r="BI281" i="1"/>
  <c r="BL281" i="1"/>
  <c r="BI282" i="1"/>
  <c r="BL282" i="1"/>
  <c r="BI283" i="1"/>
  <c r="BL283" i="1"/>
  <c r="BI284" i="1"/>
  <c r="BL284" i="1"/>
  <c r="BI285" i="1"/>
  <c r="BL285" i="1"/>
  <c r="BI286" i="1"/>
  <c r="BL286" i="1"/>
  <c r="BI287" i="1"/>
  <c r="BL287" i="1"/>
  <c r="BI288" i="1"/>
  <c r="BL288" i="1"/>
  <c r="BI289" i="1"/>
  <c r="BL289" i="1"/>
  <c r="BI290" i="1"/>
  <c r="BL290" i="1"/>
  <c r="BI291" i="1"/>
  <c r="BL291" i="1"/>
  <c r="BI292" i="1"/>
  <c r="BL292" i="1"/>
  <c r="BI293" i="1"/>
  <c r="BL293" i="1"/>
  <c r="BI294" i="1"/>
  <c r="BL294" i="1"/>
  <c r="BI295" i="1"/>
  <c r="BL295" i="1"/>
  <c r="BI296" i="1"/>
  <c r="BL296" i="1"/>
  <c r="BI297" i="1"/>
  <c r="BL297" i="1"/>
  <c r="BI298" i="1"/>
  <c r="BL298" i="1"/>
  <c r="BI299" i="1"/>
  <c r="BL299" i="1"/>
  <c r="BI300" i="1"/>
  <c r="BL300" i="1"/>
  <c r="BI301" i="1"/>
  <c r="BL301" i="1"/>
  <c r="BI302" i="1"/>
  <c r="BL302" i="1"/>
  <c r="BI303" i="1"/>
  <c r="BL303" i="1"/>
  <c r="BI304" i="1"/>
  <c r="BL304" i="1"/>
  <c r="BI305" i="1"/>
  <c r="BL305" i="1"/>
  <c r="BI306" i="1"/>
  <c r="BL306" i="1"/>
  <c r="BI307" i="1"/>
  <c r="BL307" i="1"/>
  <c r="BI308" i="1"/>
  <c r="BL308" i="1"/>
  <c r="BI309" i="1"/>
  <c r="BL309" i="1"/>
  <c r="BI310" i="1"/>
  <c r="BL310" i="1"/>
  <c r="BI311" i="1"/>
  <c r="BL311" i="1"/>
  <c r="BI312" i="1"/>
  <c r="BL312" i="1"/>
  <c r="BI313" i="1"/>
  <c r="BL313" i="1"/>
  <c r="BI314" i="1"/>
  <c r="BL314" i="1"/>
  <c r="BI315" i="1"/>
  <c r="BL315" i="1"/>
  <c r="BI316" i="1"/>
  <c r="BL316" i="1"/>
  <c r="BI317" i="1"/>
  <c r="BL317" i="1"/>
  <c r="BI318" i="1"/>
  <c r="BL318" i="1"/>
  <c r="BI319" i="1"/>
  <c r="BL319" i="1"/>
  <c r="BI320" i="1"/>
  <c r="BL320" i="1"/>
  <c r="BI321" i="1"/>
  <c r="BL321" i="1"/>
  <c r="BI322" i="1"/>
  <c r="BL322" i="1"/>
  <c r="BI323" i="1"/>
  <c r="BL323" i="1"/>
  <c r="BI324" i="1"/>
  <c r="BL324" i="1"/>
  <c r="BI325" i="1"/>
  <c r="BL325" i="1"/>
  <c r="BI326" i="1"/>
  <c r="BL326" i="1"/>
  <c r="BI327" i="1"/>
  <c r="BL327" i="1"/>
  <c r="BI328" i="1"/>
  <c r="BL328" i="1"/>
  <c r="BI329" i="1"/>
  <c r="BL329" i="1"/>
  <c r="BI330" i="1"/>
  <c r="BL330" i="1"/>
  <c r="BI331" i="1"/>
  <c r="BL331" i="1"/>
  <c r="BI332" i="1"/>
  <c r="BL332" i="1"/>
  <c r="BI333" i="1"/>
  <c r="BL333" i="1"/>
  <c r="BI334" i="1"/>
  <c r="BL334" i="1"/>
  <c r="BI335" i="1"/>
  <c r="BL335" i="1"/>
  <c r="BI336" i="1"/>
  <c r="BL336" i="1"/>
  <c r="BI337" i="1"/>
  <c r="BL337" i="1"/>
  <c r="BI338" i="1"/>
  <c r="BL338" i="1"/>
  <c r="BI339" i="1"/>
  <c r="BL339" i="1"/>
  <c r="BI340" i="1"/>
  <c r="BL340" i="1"/>
  <c r="BI341" i="1"/>
  <c r="BL341" i="1"/>
  <c r="BI342" i="1"/>
  <c r="BL342" i="1"/>
  <c r="BI343" i="1"/>
  <c r="BL343" i="1"/>
  <c r="BI344" i="1"/>
  <c r="BL344" i="1"/>
  <c r="BI345" i="1"/>
  <c r="BL345" i="1"/>
  <c r="BI346" i="1"/>
  <c r="BL346" i="1"/>
  <c r="BI347" i="1"/>
  <c r="BL347" i="1"/>
  <c r="BI348" i="1"/>
  <c r="BL348" i="1"/>
  <c r="BI349" i="1"/>
  <c r="BL349" i="1"/>
  <c r="BI350" i="1"/>
  <c r="BL350" i="1"/>
  <c r="BI351" i="1"/>
  <c r="BL351" i="1"/>
  <c r="BI352" i="1"/>
  <c r="BL352" i="1"/>
  <c r="BI353" i="1"/>
  <c r="BL353" i="1"/>
  <c r="BI354" i="1"/>
  <c r="BL354" i="1"/>
  <c r="BI355" i="1"/>
  <c r="BL355" i="1"/>
  <c r="BI356" i="1"/>
  <c r="BL356" i="1"/>
  <c r="BI357" i="1"/>
  <c r="BL357" i="1"/>
  <c r="BI358" i="1"/>
  <c r="BL358" i="1"/>
  <c r="BI359" i="1"/>
  <c r="BL359" i="1"/>
  <c r="BI360" i="1"/>
  <c r="BL360" i="1"/>
  <c r="BI361" i="1"/>
  <c r="BL361" i="1"/>
  <c r="BI362" i="1"/>
  <c r="BL362" i="1"/>
  <c r="BI363" i="1"/>
  <c r="BL363" i="1"/>
  <c r="BI364" i="1"/>
  <c r="BL364" i="1"/>
  <c r="BI365" i="1"/>
  <c r="BL365" i="1"/>
  <c r="BI366" i="1"/>
  <c r="BL366" i="1"/>
  <c r="BI367" i="1"/>
  <c r="BL367" i="1"/>
  <c r="BI368" i="1"/>
  <c r="BL368" i="1"/>
  <c r="BI369" i="1"/>
  <c r="BL369" i="1"/>
  <c r="BI370" i="1"/>
  <c r="BL370" i="1"/>
  <c r="BI371" i="1"/>
  <c r="BL371" i="1"/>
  <c r="BI372" i="1"/>
  <c r="BL372" i="1"/>
  <c r="BI373" i="1"/>
  <c r="BL373" i="1"/>
  <c r="BI374" i="1"/>
  <c r="BL374" i="1"/>
  <c r="BI375" i="1"/>
  <c r="BL375" i="1"/>
  <c r="BI376" i="1"/>
  <c r="BL376" i="1"/>
  <c r="BI377" i="1"/>
  <c r="BL377" i="1"/>
  <c r="BI378" i="1"/>
  <c r="BL378" i="1"/>
  <c r="BI379" i="1"/>
  <c r="BL379" i="1"/>
  <c r="BI380" i="1"/>
  <c r="BL380" i="1"/>
  <c r="BI381" i="1"/>
  <c r="BL381" i="1"/>
  <c r="BI382" i="1"/>
  <c r="BL382" i="1"/>
  <c r="BI383" i="1"/>
  <c r="BL383" i="1"/>
  <c r="BI384" i="1"/>
  <c r="BL384" i="1"/>
  <c r="BI385" i="1"/>
  <c r="BL385" i="1"/>
  <c r="BI386" i="1"/>
  <c r="BL386" i="1"/>
  <c r="BI387" i="1"/>
  <c r="BL387" i="1"/>
  <c r="BI388" i="1"/>
  <c r="BL388" i="1"/>
  <c r="BI389" i="1"/>
  <c r="BL389" i="1"/>
  <c r="BI390" i="1"/>
  <c r="BL390" i="1"/>
  <c r="BI391" i="1"/>
  <c r="BL391" i="1"/>
  <c r="BI392" i="1"/>
  <c r="BL392" i="1"/>
  <c r="BI393" i="1"/>
  <c r="BL393" i="1"/>
  <c r="BI394" i="1"/>
  <c r="BL394" i="1"/>
  <c r="BI395" i="1"/>
  <c r="BL395" i="1"/>
  <c r="BI396" i="1"/>
  <c r="BL396" i="1"/>
  <c r="BI397" i="1"/>
  <c r="BL397" i="1"/>
  <c r="BI398" i="1"/>
  <c r="BL398" i="1"/>
  <c r="BI399" i="1"/>
  <c r="BL399" i="1"/>
  <c r="BI400" i="1"/>
  <c r="BL400" i="1"/>
  <c r="BI401" i="1"/>
  <c r="BL401" i="1"/>
  <c r="BI402" i="1"/>
  <c r="BL402" i="1"/>
  <c r="BI403" i="1"/>
  <c r="BL403" i="1"/>
  <c r="BI404" i="1"/>
  <c r="BL404" i="1"/>
  <c r="BI405" i="1"/>
  <c r="BL405" i="1"/>
  <c r="BI406" i="1"/>
  <c r="BL406" i="1"/>
  <c r="BI407" i="1"/>
  <c r="BL407" i="1"/>
  <c r="BI408" i="1"/>
  <c r="BL408" i="1"/>
  <c r="BI409" i="1"/>
  <c r="BL409" i="1"/>
  <c r="BI410" i="1"/>
  <c r="BL410" i="1"/>
  <c r="BI411" i="1"/>
  <c r="BL411" i="1"/>
  <c r="BI412" i="1"/>
  <c r="BL412" i="1"/>
  <c r="BI413" i="1"/>
  <c r="BL413" i="1"/>
  <c r="BI414" i="1"/>
  <c r="BL414" i="1"/>
  <c r="BI415" i="1"/>
  <c r="BL415" i="1"/>
  <c r="BI416" i="1"/>
  <c r="BL416" i="1"/>
  <c r="BI417" i="1"/>
  <c r="BL417" i="1"/>
  <c r="BI418" i="1"/>
  <c r="BL418" i="1"/>
  <c r="BI419" i="1"/>
  <c r="BL419" i="1"/>
  <c r="BI420" i="1"/>
  <c r="BL420" i="1"/>
  <c r="BI421" i="1"/>
  <c r="BL421" i="1"/>
  <c r="BI422" i="1"/>
  <c r="BL422" i="1"/>
  <c r="BI423" i="1"/>
  <c r="BL423" i="1"/>
  <c r="BI424" i="1"/>
  <c r="BL424" i="1"/>
  <c r="BI425" i="1"/>
  <c r="BL425" i="1"/>
  <c r="BI426" i="1"/>
  <c r="BL426" i="1"/>
  <c r="BI427" i="1"/>
  <c r="BL427" i="1"/>
  <c r="BI428" i="1"/>
  <c r="BL428" i="1"/>
  <c r="BI429" i="1"/>
  <c r="BL429" i="1"/>
  <c r="BI430" i="1"/>
  <c r="BL430" i="1"/>
  <c r="BI431" i="1"/>
  <c r="BL431" i="1"/>
  <c r="BI432" i="1"/>
  <c r="BL432" i="1"/>
  <c r="BI433" i="1"/>
  <c r="BL433" i="1"/>
  <c r="BI434" i="1"/>
  <c r="BL434" i="1"/>
  <c r="BI435" i="1"/>
  <c r="BL435" i="1"/>
  <c r="BI436" i="1"/>
  <c r="BL436" i="1"/>
  <c r="BI437" i="1"/>
  <c r="BL437" i="1"/>
  <c r="BI438" i="1"/>
  <c r="BL438" i="1"/>
  <c r="BI439" i="1"/>
  <c r="BL439" i="1"/>
  <c r="BI440" i="1"/>
  <c r="BL440" i="1"/>
  <c r="BI441" i="1"/>
  <c r="BL441" i="1"/>
  <c r="BI442" i="1"/>
  <c r="BL442" i="1"/>
  <c r="BI443" i="1"/>
  <c r="BL443" i="1"/>
  <c r="BI444" i="1"/>
  <c r="BL444" i="1"/>
  <c r="BI445" i="1"/>
  <c r="BL445" i="1"/>
  <c r="BI446" i="1"/>
  <c r="BL446" i="1"/>
  <c r="BI447" i="1"/>
  <c r="BL447" i="1"/>
  <c r="BI448" i="1"/>
  <c r="BL448" i="1"/>
  <c r="BI449" i="1"/>
  <c r="BL449" i="1"/>
  <c r="BI450" i="1"/>
  <c r="BL450" i="1"/>
  <c r="BI451" i="1"/>
  <c r="BL451" i="1"/>
  <c r="BI452" i="1"/>
  <c r="BL452" i="1"/>
  <c r="BI453" i="1"/>
  <c r="BL453" i="1"/>
  <c r="BI454" i="1"/>
  <c r="BL454" i="1"/>
  <c r="BI455" i="1"/>
  <c r="BL455" i="1"/>
  <c r="BI456" i="1"/>
  <c r="BL456" i="1"/>
  <c r="BI457" i="1"/>
  <c r="BL457" i="1"/>
  <c r="BI458" i="1"/>
  <c r="BL458" i="1"/>
  <c r="BI459" i="1"/>
  <c r="BL459" i="1"/>
  <c r="BI460" i="1"/>
  <c r="BL460" i="1"/>
  <c r="BI461" i="1"/>
  <c r="BL461" i="1"/>
  <c r="BI462" i="1"/>
  <c r="BL462" i="1"/>
  <c r="BI463" i="1"/>
  <c r="BL463" i="1"/>
  <c r="BI464" i="1"/>
  <c r="BL464" i="1"/>
  <c r="BI465" i="1"/>
  <c r="BL465" i="1"/>
  <c r="BI466" i="1"/>
  <c r="BL466" i="1"/>
  <c r="BI467" i="1"/>
  <c r="BL467" i="1"/>
  <c r="BI468" i="1"/>
  <c r="BL468" i="1"/>
  <c r="BI469" i="1"/>
  <c r="BL469" i="1"/>
  <c r="BI470" i="1"/>
  <c r="BL470" i="1"/>
  <c r="BI471" i="1"/>
  <c r="BL471" i="1"/>
  <c r="BI472" i="1"/>
  <c r="BL472" i="1"/>
  <c r="BI473" i="1"/>
  <c r="BL473" i="1"/>
  <c r="BI474" i="1"/>
  <c r="BL474" i="1"/>
  <c r="BI475" i="1"/>
  <c r="BL475" i="1"/>
  <c r="BI476" i="1"/>
  <c r="BL476" i="1"/>
  <c r="BI477" i="1"/>
  <c r="BL477" i="1"/>
  <c r="BI478" i="1"/>
  <c r="BL478" i="1"/>
  <c r="BI479" i="1"/>
  <c r="BL479" i="1"/>
  <c r="BI480" i="1"/>
  <c r="BL480" i="1"/>
  <c r="BI481" i="1"/>
  <c r="BL481" i="1"/>
  <c r="BI482" i="1"/>
  <c r="BL482" i="1"/>
  <c r="BI483" i="1"/>
  <c r="BL483" i="1"/>
  <c r="BI484" i="1"/>
  <c r="BL484" i="1"/>
  <c r="BI485" i="1"/>
  <c r="BL485" i="1"/>
  <c r="BI486" i="1"/>
  <c r="BL486" i="1"/>
  <c r="BI487" i="1"/>
  <c r="BL487" i="1"/>
  <c r="BI488" i="1"/>
  <c r="BL488" i="1"/>
  <c r="BI489" i="1"/>
  <c r="BL489" i="1"/>
  <c r="BI490" i="1"/>
  <c r="BL490" i="1"/>
  <c r="BI491" i="1"/>
  <c r="BL491" i="1"/>
  <c r="BI492" i="1"/>
  <c r="BL492" i="1"/>
  <c r="BI493" i="1"/>
  <c r="BL493" i="1"/>
  <c r="BI494" i="1"/>
  <c r="BL494" i="1"/>
  <c r="BI495" i="1"/>
  <c r="BL495" i="1"/>
  <c r="BI496" i="1"/>
  <c r="BL496" i="1"/>
  <c r="BI497" i="1"/>
  <c r="BL497" i="1"/>
  <c r="BI498" i="1"/>
  <c r="BL498" i="1"/>
  <c r="BI499" i="1"/>
  <c r="BL499" i="1"/>
  <c r="BI500" i="1"/>
  <c r="BL500" i="1"/>
  <c r="BI501" i="1"/>
  <c r="BL501" i="1"/>
  <c r="BI502" i="1"/>
  <c r="BL502" i="1"/>
  <c r="BI503" i="1"/>
  <c r="BL503" i="1"/>
  <c r="BI504" i="1"/>
  <c r="BL504" i="1"/>
  <c r="BI505" i="1"/>
  <c r="BL505" i="1"/>
  <c r="BI506" i="1"/>
  <c r="BL506" i="1"/>
  <c r="BI507" i="1"/>
  <c r="BL507" i="1"/>
  <c r="BI508" i="1"/>
  <c r="BL508" i="1"/>
  <c r="BI509" i="1"/>
  <c r="BL509" i="1"/>
  <c r="BI510" i="1"/>
  <c r="BL510" i="1"/>
  <c r="BI511" i="1"/>
  <c r="BL511" i="1"/>
  <c r="BI512" i="1"/>
  <c r="BL512" i="1"/>
  <c r="BI513" i="1"/>
  <c r="BL513" i="1"/>
  <c r="BI260" i="1"/>
  <c r="BL260" i="1"/>
  <c r="BP560" i="1"/>
  <c r="BP559" i="1"/>
  <c r="BP558" i="1"/>
  <c r="BP557" i="1"/>
  <c r="BP556" i="1"/>
  <c r="BP267" i="1"/>
  <c r="BP268" i="1"/>
  <c r="BP269" i="1"/>
  <c r="BP270" i="1"/>
  <c r="BP271" i="1"/>
  <c r="BP272" i="1"/>
  <c r="BP273" i="1"/>
  <c r="BP274" i="1"/>
  <c r="BP275" i="1"/>
  <c r="BP276" i="1"/>
  <c r="BP277" i="1"/>
  <c r="BP278" i="1"/>
  <c r="BP279" i="1"/>
  <c r="BP280" i="1"/>
  <c r="BP281" i="1"/>
  <c r="BP282" i="1"/>
  <c r="BP283" i="1"/>
  <c r="BP284" i="1"/>
  <c r="BP285" i="1"/>
  <c r="BP286" i="1"/>
  <c r="BP287" i="1"/>
  <c r="BP288" i="1"/>
  <c r="BP289" i="1"/>
  <c r="BP290" i="1"/>
  <c r="BP291" i="1"/>
  <c r="BP292" i="1"/>
  <c r="BP293" i="1"/>
  <c r="BP294" i="1"/>
  <c r="BP295" i="1"/>
  <c r="BP296" i="1"/>
  <c r="BP297" i="1"/>
  <c r="BP298" i="1"/>
  <c r="BP299" i="1"/>
  <c r="BP300" i="1"/>
  <c r="BP301" i="1"/>
  <c r="BP302" i="1"/>
  <c r="BP303" i="1"/>
  <c r="BP304" i="1"/>
  <c r="BP305" i="1"/>
  <c r="BP306" i="1"/>
  <c r="BP307" i="1"/>
  <c r="BP308" i="1"/>
  <c r="BP309" i="1"/>
  <c r="BP310" i="1"/>
  <c r="BP311" i="1"/>
  <c r="BP312" i="1"/>
  <c r="BP313" i="1"/>
  <c r="BP314" i="1"/>
  <c r="BP315" i="1"/>
  <c r="BP316" i="1"/>
  <c r="BP317" i="1"/>
  <c r="BP318" i="1"/>
  <c r="BP319" i="1"/>
  <c r="BP320" i="1"/>
  <c r="BP321" i="1"/>
  <c r="BP322" i="1"/>
  <c r="BP323" i="1"/>
  <c r="BP324" i="1"/>
  <c r="BP325" i="1"/>
  <c r="BP326" i="1"/>
  <c r="BP327" i="1"/>
  <c r="BP328" i="1"/>
  <c r="BP329" i="1"/>
  <c r="BP330" i="1"/>
  <c r="BP331" i="1"/>
  <c r="BP332" i="1"/>
  <c r="BP333" i="1"/>
  <c r="BP334" i="1"/>
  <c r="BP335" i="1"/>
  <c r="BP336" i="1"/>
  <c r="BP337" i="1"/>
  <c r="BP338" i="1"/>
  <c r="BP339" i="1"/>
  <c r="BP340" i="1"/>
  <c r="BP341" i="1"/>
  <c r="BP342" i="1"/>
  <c r="BP343" i="1"/>
  <c r="BP344" i="1"/>
  <c r="BP345" i="1"/>
  <c r="BP346" i="1"/>
  <c r="BP347" i="1"/>
  <c r="BP348" i="1"/>
  <c r="BP349" i="1"/>
  <c r="BP350" i="1"/>
  <c r="BP351" i="1"/>
  <c r="BP352" i="1"/>
  <c r="BP353" i="1"/>
  <c r="BP354" i="1"/>
  <c r="BP355" i="1"/>
  <c r="BP356" i="1"/>
  <c r="BP357" i="1"/>
  <c r="BP358" i="1"/>
  <c r="BP359" i="1"/>
  <c r="BP360" i="1"/>
  <c r="BP361" i="1"/>
  <c r="BP362" i="1"/>
  <c r="BP363" i="1"/>
  <c r="BP364" i="1"/>
  <c r="BP365" i="1"/>
  <c r="BP366" i="1"/>
  <c r="BP367" i="1"/>
  <c r="BP368" i="1"/>
  <c r="BP369" i="1"/>
  <c r="BP370" i="1"/>
  <c r="BP371" i="1"/>
  <c r="BP372" i="1"/>
  <c r="BP373" i="1"/>
  <c r="BP374" i="1"/>
  <c r="BP375" i="1"/>
  <c r="BP376" i="1"/>
  <c r="BP377" i="1"/>
  <c r="BP378" i="1"/>
  <c r="BP379" i="1"/>
  <c r="BP380" i="1"/>
  <c r="BP381" i="1"/>
  <c r="BP382" i="1"/>
  <c r="BP383" i="1"/>
  <c r="BP384" i="1"/>
  <c r="BP385" i="1"/>
  <c r="BP386" i="1"/>
  <c r="BP387" i="1"/>
  <c r="BP388" i="1"/>
  <c r="BP389" i="1"/>
  <c r="BP390" i="1"/>
  <c r="BP391" i="1"/>
  <c r="BP392" i="1"/>
  <c r="BP393" i="1"/>
  <c r="BP394" i="1"/>
  <c r="BP395" i="1"/>
  <c r="BP396" i="1"/>
  <c r="BP397" i="1"/>
  <c r="BP398" i="1"/>
  <c r="BP399" i="1"/>
  <c r="BP400" i="1"/>
  <c r="BP401" i="1"/>
  <c r="BP402" i="1"/>
  <c r="BP403" i="1"/>
  <c r="BP404" i="1"/>
  <c r="BP405" i="1"/>
  <c r="BP406" i="1"/>
  <c r="BP407" i="1"/>
  <c r="BP408" i="1"/>
  <c r="BP409" i="1"/>
  <c r="BP410" i="1"/>
  <c r="BP411" i="1"/>
  <c r="BP412" i="1"/>
  <c r="BP413" i="1"/>
  <c r="BP414" i="1"/>
  <c r="BP415" i="1"/>
  <c r="BP416" i="1"/>
  <c r="BP417" i="1"/>
  <c r="BP418" i="1"/>
  <c r="BP419" i="1"/>
  <c r="BP420" i="1"/>
  <c r="BP421" i="1"/>
  <c r="BP422" i="1"/>
  <c r="BP423" i="1"/>
  <c r="BP424" i="1"/>
  <c r="BP425" i="1"/>
  <c r="BP426" i="1"/>
  <c r="BP427" i="1"/>
  <c r="BP428" i="1"/>
  <c r="BP429" i="1"/>
  <c r="BP430" i="1"/>
  <c r="BP431" i="1"/>
  <c r="BP432" i="1"/>
  <c r="BP433" i="1"/>
  <c r="BP434" i="1"/>
  <c r="BP435" i="1"/>
  <c r="BP436" i="1"/>
  <c r="BP437" i="1"/>
  <c r="BP438" i="1"/>
  <c r="BP439" i="1"/>
  <c r="BP440" i="1"/>
  <c r="BP441" i="1"/>
  <c r="BP442" i="1"/>
  <c r="BP443" i="1"/>
  <c r="BP444" i="1"/>
  <c r="BP445" i="1"/>
  <c r="BP446" i="1"/>
  <c r="BP447" i="1"/>
  <c r="BP448" i="1"/>
  <c r="BP449" i="1"/>
  <c r="BP450" i="1"/>
  <c r="BP451" i="1"/>
  <c r="BP452" i="1"/>
  <c r="BP453" i="1"/>
  <c r="BP454" i="1"/>
  <c r="BP455" i="1"/>
  <c r="BP456" i="1"/>
  <c r="BP457" i="1"/>
  <c r="BP458" i="1"/>
  <c r="BP459" i="1"/>
  <c r="BP460" i="1"/>
  <c r="BP461" i="1"/>
  <c r="BP462" i="1"/>
  <c r="BP463" i="1"/>
  <c r="BP464" i="1"/>
  <c r="BP465" i="1"/>
  <c r="BP466" i="1"/>
  <c r="BP467" i="1"/>
  <c r="BP468" i="1"/>
  <c r="BP469" i="1"/>
  <c r="BP470" i="1"/>
  <c r="BP471" i="1"/>
  <c r="BP472" i="1"/>
  <c r="BP473" i="1"/>
  <c r="BP474" i="1"/>
  <c r="BP475" i="1"/>
  <c r="BP476" i="1"/>
  <c r="BP477" i="1"/>
  <c r="BP478" i="1"/>
  <c r="BP479" i="1"/>
  <c r="BP480" i="1"/>
  <c r="BP481" i="1"/>
  <c r="BP482" i="1"/>
  <c r="BP483" i="1"/>
  <c r="BP484" i="1"/>
  <c r="BP485" i="1"/>
  <c r="BP486" i="1"/>
  <c r="BP487" i="1"/>
  <c r="BP488" i="1"/>
  <c r="BP489" i="1"/>
  <c r="BP490" i="1"/>
  <c r="BP491" i="1"/>
  <c r="BP492" i="1"/>
  <c r="BP493" i="1"/>
  <c r="BP494" i="1"/>
  <c r="BP495" i="1"/>
  <c r="BP496" i="1"/>
  <c r="BP497" i="1"/>
  <c r="BP498" i="1"/>
  <c r="BP499" i="1"/>
  <c r="BP500" i="1"/>
  <c r="BP501" i="1"/>
  <c r="BP502" i="1"/>
  <c r="BP503" i="1"/>
  <c r="BP504" i="1"/>
  <c r="BP505" i="1"/>
  <c r="BP506" i="1"/>
  <c r="BP507" i="1"/>
  <c r="BP508" i="1"/>
  <c r="BP509" i="1"/>
  <c r="BP510" i="1"/>
  <c r="BP511" i="1"/>
  <c r="BP512" i="1"/>
  <c r="BP513" i="1"/>
  <c r="BP514" i="1"/>
  <c r="BP515" i="1"/>
  <c r="BP516" i="1"/>
  <c r="BP517" i="1"/>
  <c r="BP518" i="1"/>
  <c r="BP519" i="1"/>
  <c r="BP520" i="1"/>
  <c r="BP521" i="1"/>
  <c r="BP522" i="1"/>
  <c r="BP523" i="1"/>
  <c r="BP524" i="1"/>
  <c r="BP525" i="1"/>
  <c r="BP526" i="1"/>
  <c r="BP527" i="1"/>
  <c r="BP528" i="1"/>
  <c r="BP529" i="1"/>
  <c r="BP530" i="1"/>
  <c r="BP531" i="1"/>
  <c r="BP532" i="1"/>
  <c r="BP533" i="1"/>
  <c r="BP534" i="1"/>
  <c r="BP535" i="1"/>
  <c r="BP536" i="1"/>
  <c r="BP537" i="1"/>
  <c r="BP538" i="1"/>
  <c r="BP539" i="1"/>
  <c r="BP540" i="1"/>
  <c r="BP541" i="1"/>
  <c r="BP542" i="1"/>
  <c r="BP543" i="1"/>
  <c r="BP544" i="1"/>
  <c r="BP545" i="1"/>
  <c r="BP546" i="1"/>
  <c r="BP547" i="1"/>
  <c r="BP548" i="1"/>
  <c r="BP549" i="1"/>
  <c r="BP550" i="1"/>
  <c r="BP551" i="1"/>
  <c r="BP552" i="1"/>
  <c r="BP553" i="1"/>
  <c r="BP554" i="1"/>
  <c r="BP555" i="1"/>
  <c r="BP561" i="1"/>
  <c r="BP562" i="1"/>
  <c r="BP563" i="1"/>
  <c r="BP260" i="1"/>
  <c r="BI514" i="1"/>
  <c r="BL514" i="1"/>
  <c r="BI515" i="1"/>
  <c r="BL515" i="1"/>
  <c r="BI516" i="1"/>
  <c r="BL516" i="1"/>
  <c r="BI517" i="1"/>
  <c r="BL517" i="1"/>
  <c r="BI518" i="1"/>
  <c r="BL518" i="1"/>
  <c r="BI519" i="1"/>
  <c r="BL519" i="1"/>
  <c r="BI520" i="1"/>
  <c r="BL520" i="1"/>
  <c r="BI521" i="1"/>
  <c r="BL521" i="1"/>
  <c r="BI522" i="1"/>
  <c r="BL522" i="1"/>
  <c r="BI523" i="1"/>
  <c r="BL523" i="1"/>
  <c r="BI524" i="1"/>
  <c r="BL524" i="1"/>
  <c r="BI525" i="1"/>
  <c r="BL525" i="1"/>
  <c r="BI526" i="1"/>
  <c r="BL526" i="1"/>
  <c r="BI527" i="1"/>
  <c r="BL527" i="1"/>
  <c r="BI528" i="1"/>
  <c r="BL528" i="1"/>
  <c r="BI529" i="1"/>
  <c r="BL529" i="1"/>
  <c r="BI530" i="1"/>
  <c r="BL530" i="1"/>
  <c r="BI531" i="1"/>
  <c r="BL531" i="1"/>
  <c r="BI532" i="1"/>
  <c r="BL532" i="1"/>
  <c r="BI533" i="1"/>
  <c r="BL533" i="1"/>
  <c r="BI534" i="1"/>
  <c r="BL534" i="1"/>
  <c r="BI535" i="1"/>
  <c r="BL535" i="1"/>
  <c r="BI536" i="1"/>
  <c r="BL536" i="1"/>
  <c r="BI537" i="1"/>
  <c r="BL537" i="1"/>
  <c r="BI538" i="1"/>
  <c r="BL538" i="1"/>
  <c r="BI539" i="1"/>
  <c r="BL539" i="1"/>
  <c r="BI540" i="1"/>
  <c r="BL540" i="1"/>
  <c r="BI541" i="1"/>
  <c r="BL541" i="1"/>
  <c r="BI542" i="1"/>
  <c r="BL542" i="1"/>
  <c r="BI543" i="1"/>
  <c r="BL543" i="1"/>
  <c r="BI544" i="1"/>
  <c r="BL544" i="1"/>
  <c r="BI545" i="1"/>
  <c r="BL545" i="1"/>
  <c r="BI546" i="1"/>
  <c r="BL546" i="1"/>
  <c r="BI547" i="1"/>
  <c r="BL547" i="1"/>
  <c r="BI548" i="1"/>
  <c r="BL548" i="1"/>
  <c r="BI549" i="1"/>
  <c r="BL549" i="1"/>
  <c r="BI550" i="1"/>
  <c r="BL550" i="1"/>
  <c r="BI551" i="1"/>
  <c r="BL551" i="1"/>
  <c r="BI552" i="1"/>
  <c r="BL552" i="1"/>
  <c r="BI553" i="1"/>
  <c r="BL553" i="1"/>
  <c r="BI554" i="1"/>
  <c r="BL554" i="1"/>
  <c r="BI555" i="1"/>
  <c r="BL555" i="1"/>
  <c r="BI561" i="1"/>
  <c r="BL561" i="1"/>
  <c r="BI562" i="1"/>
  <c r="BL562" i="1"/>
  <c r="BI563" i="1"/>
  <c r="BL563" i="1"/>
  <c r="BT254" i="1"/>
  <c r="BR254" i="1"/>
  <c r="BK254" i="1"/>
  <c r="BJ254" i="1"/>
  <c r="BH254" i="1"/>
  <c r="BN254" i="1"/>
  <c r="BS254" i="1"/>
  <c r="BO254" i="1"/>
  <c r="BU254" i="1"/>
  <c r="BQ254" i="1"/>
  <c r="BM254" i="1"/>
  <c r="BL254" i="1"/>
  <c r="BI254" i="1"/>
  <c r="BP254" i="1"/>
  <c r="BP6" i="1"/>
  <c r="BP7" i="1"/>
  <c r="BP8" i="1"/>
  <c r="BP9" i="1"/>
  <c r="BP10" i="1"/>
  <c r="BP11" i="1"/>
  <c r="BP12" i="1"/>
  <c r="BP13" i="1"/>
  <c r="BP14" i="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102" i="1"/>
  <c r="BP103" i="1"/>
  <c r="BP104" i="1"/>
  <c r="BP105"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5" i="1"/>
  <c r="BP256" i="1"/>
  <c r="BP257" i="1"/>
  <c r="BP258" i="1"/>
  <c r="BP259" i="1"/>
  <c r="BP261" i="1"/>
  <c r="BP262" i="1"/>
  <c r="BP263" i="1"/>
  <c r="BP264" i="1"/>
  <c r="BP265" i="1"/>
  <c r="BP266" i="1"/>
  <c r="BR265" i="1"/>
  <c r="BK265" i="1"/>
  <c r="BJ265" i="1"/>
  <c r="BH265" i="1"/>
  <c r="BR264" i="1"/>
  <c r="BK264" i="1"/>
  <c r="BJ264" i="1"/>
  <c r="BH264" i="1"/>
  <c r="BR263" i="1"/>
  <c r="BK263" i="1"/>
  <c r="BJ263" i="1"/>
  <c r="BH263" i="1"/>
  <c r="BR262" i="1"/>
  <c r="BK262" i="1"/>
  <c r="BJ262" i="1"/>
  <c r="BH262" i="1"/>
  <c r="BR261" i="1"/>
  <c r="BK261" i="1"/>
  <c r="BJ261" i="1"/>
  <c r="BH261" i="1"/>
  <c r="BN265" i="1"/>
  <c r="BN264" i="1"/>
  <c r="BN263" i="1"/>
  <c r="BN262" i="1"/>
  <c r="BN261" i="1"/>
  <c r="BS265" i="1"/>
  <c r="BS264" i="1"/>
  <c r="BS263" i="1"/>
  <c r="BS262" i="1"/>
  <c r="BS261" i="1"/>
  <c r="BO265" i="1"/>
  <c r="BO264" i="1"/>
  <c r="BO263" i="1"/>
  <c r="BO262" i="1"/>
  <c r="BO261" i="1"/>
  <c r="BT265" i="1"/>
  <c r="BT264" i="1"/>
  <c r="BT263" i="1"/>
  <c r="BT262" i="1"/>
  <c r="BT261" i="1"/>
  <c r="BU265" i="1"/>
  <c r="BQ265" i="1"/>
  <c r="BU264" i="1"/>
  <c r="BQ264" i="1"/>
  <c r="BU263" i="1"/>
  <c r="BQ263" i="1"/>
  <c r="BU262" i="1"/>
  <c r="BQ262" i="1"/>
  <c r="BU261" i="1"/>
  <c r="BQ261" i="1"/>
  <c r="BM265" i="1"/>
  <c r="BM264" i="1"/>
  <c r="BM263" i="1"/>
  <c r="BM262" i="1"/>
  <c r="BM261" i="1"/>
  <c r="BL265" i="1"/>
  <c r="BI265" i="1"/>
  <c r="BL264" i="1"/>
  <c r="BI264" i="1"/>
  <c r="BL263" i="1"/>
  <c r="BI263" i="1"/>
  <c r="BL262" i="1"/>
  <c r="BI262" i="1"/>
  <c r="BL261" i="1"/>
  <c r="BI261" i="1"/>
  <c r="BR266" i="1"/>
  <c r="BK266" i="1"/>
  <c r="BJ266" i="1"/>
  <c r="BH266" i="1"/>
  <c r="BN266" i="1"/>
  <c r="BS266" i="1"/>
  <c r="BO266" i="1"/>
  <c r="BT266" i="1"/>
  <c r="BU266" i="1"/>
  <c r="BQ266" i="1"/>
  <c r="BM266" i="1"/>
  <c r="BL266" i="1"/>
  <c r="BI266" i="1"/>
  <c r="BH260" i="1"/>
  <c r="BR249" i="1"/>
  <c r="BK249" i="1"/>
  <c r="BJ249" i="1"/>
  <c r="BH249" i="1"/>
  <c r="BR248" i="1"/>
  <c r="BK248" i="1"/>
  <c r="BJ248" i="1"/>
  <c r="BH248" i="1"/>
  <c r="BR247" i="1"/>
  <c r="BK247" i="1"/>
  <c r="BJ247" i="1"/>
  <c r="BH247" i="1"/>
  <c r="BR246" i="1"/>
  <c r="BK246" i="1"/>
  <c r="BJ246" i="1"/>
  <c r="BH246" i="1"/>
  <c r="BR245" i="1"/>
  <c r="BK245" i="1"/>
  <c r="BJ245" i="1"/>
  <c r="BH245" i="1"/>
  <c r="BR244" i="1"/>
  <c r="BK244" i="1"/>
  <c r="BJ244" i="1"/>
  <c r="BH244" i="1"/>
  <c r="BH230" i="1"/>
  <c r="BJ230" i="1"/>
  <c r="BK230" i="1"/>
  <c r="BR230" i="1"/>
  <c r="BH228" i="1"/>
  <c r="BJ228" i="1"/>
  <c r="BK228" i="1"/>
  <c r="BR228" i="1"/>
  <c r="BH229" i="1"/>
  <c r="BJ229" i="1"/>
  <c r="BK229" i="1"/>
  <c r="BR229" i="1"/>
  <c r="BN249" i="1"/>
  <c r="BN248" i="1"/>
  <c r="BN247" i="1"/>
  <c r="BN246" i="1"/>
  <c r="BN245" i="1"/>
  <c r="BN244" i="1"/>
  <c r="BN230" i="1"/>
  <c r="BN228" i="1"/>
  <c r="BN229" i="1"/>
  <c r="BS249" i="1"/>
  <c r="BS248" i="1"/>
  <c r="BS247" i="1"/>
  <c r="BS246" i="1"/>
  <c r="BS245" i="1"/>
  <c r="BS244" i="1"/>
  <c r="BS230" i="1"/>
  <c r="BS228" i="1"/>
  <c r="BS229" i="1"/>
  <c r="BO249" i="1"/>
  <c r="BO248" i="1"/>
  <c r="BO247" i="1"/>
  <c r="BO246" i="1"/>
  <c r="BO245" i="1"/>
  <c r="BO244" i="1"/>
  <c r="BO230" i="1"/>
  <c r="BO228" i="1"/>
  <c r="BO229" i="1"/>
  <c r="BT249" i="1"/>
  <c r="BT248" i="1"/>
  <c r="BT247" i="1"/>
  <c r="BT246" i="1"/>
  <c r="BT245" i="1"/>
  <c r="BT244" i="1"/>
  <c r="BT230" i="1"/>
  <c r="BT228" i="1"/>
  <c r="BT229" i="1"/>
  <c r="BU249" i="1"/>
  <c r="BQ249" i="1"/>
  <c r="BU248" i="1"/>
  <c r="BQ248" i="1"/>
  <c r="BU247" i="1"/>
  <c r="BQ247" i="1"/>
  <c r="BU246" i="1"/>
  <c r="BQ246" i="1"/>
  <c r="BU245" i="1"/>
  <c r="BQ245" i="1"/>
  <c r="BU244" i="1"/>
  <c r="BQ244" i="1"/>
  <c r="BQ230" i="1"/>
  <c r="BU230" i="1"/>
  <c r="BQ228" i="1"/>
  <c r="BU228" i="1"/>
  <c r="BQ229" i="1"/>
  <c r="BU229" i="1"/>
  <c r="BM249" i="1"/>
  <c r="BM248" i="1"/>
  <c r="BM247" i="1"/>
  <c r="BM246" i="1"/>
  <c r="BM245" i="1"/>
  <c r="BM244" i="1"/>
  <c r="BM230" i="1"/>
  <c r="BM228" i="1"/>
  <c r="BM229" i="1"/>
  <c r="BL249" i="1"/>
  <c r="BI249" i="1"/>
  <c r="BL248" i="1"/>
  <c r="BI248" i="1"/>
  <c r="BL247" i="1"/>
  <c r="BI247" i="1"/>
  <c r="BL246" i="1"/>
  <c r="BI246" i="1"/>
  <c r="BL245" i="1"/>
  <c r="BI245" i="1"/>
  <c r="BL244" i="1"/>
  <c r="BI244" i="1"/>
  <c r="BI230" i="1"/>
  <c r="BL230" i="1"/>
  <c r="BI228" i="1"/>
  <c r="BL228" i="1"/>
  <c r="BI229" i="1"/>
  <c r="BL229" i="1"/>
  <c r="BR250" i="1"/>
  <c r="BK250" i="1"/>
  <c r="BJ250" i="1"/>
  <c r="BH250" i="1"/>
  <c r="BR243" i="1"/>
  <c r="BK243" i="1"/>
  <c r="BJ243" i="1"/>
  <c r="BH243" i="1"/>
  <c r="BR242" i="1"/>
  <c r="BK242" i="1"/>
  <c r="BJ242" i="1"/>
  <c r="BH242" i="1"/>
  <c r="BR241" i="1"/>
  <c r="BK241" i="1"/>
  <c r="BJ241" i="1"/>
  <c r="BH241" i="1"/>
  <c r="BN250" i="1"/>
  <c r="BN243" i="1"/>
  <c r="BN242" i="1"/>
  <c r="BN241" i="1"/>
  <c r="BS250" i="1"/>
  <c r="BS243" i="1"/>
  <c r="BS242" i="1"/>
  <c r="BS241" i="1"/>
  <c r="BO250" i="1"/>
  <c r="BO243" i="1"/>
  <c r="BO242" i="1"/>
  <c r="BO241" i="1"/>
  <c r="BT250" i="1"/>
  <c r="BT243" i="1"/>
  <c r="BT242" i="1"/>
  <c r="BT241" i="1"/>
  <c r="BU250" i="1"/>
  <c r="BQ250" i="1"/>
  <c r="BU243" i="1"/>
  <c r="BQ243" i="1"/>
  <c r="BU242" i="1"/>
  <c r="BQ242" i="1"/>
  <c r="BU241" i="1"/>
  <c r="BQ241" i="1"/>
  <c r="BM250" i="1"/>
  <c r="BM243" i="1"/>
  <c r="BM242" i="1"/>
  <c r="BM241" i="1"/>
  <c r="BL250" i="1"/>
  <c r="BI250" i="1"/>
  <c r="BL243" i="1"/>
  <c r="BI243" i="1"/>
  <c r="BL242" i="1"/>
  <c r="BI242" i="1"/>
  <c r="BL241" i="1"/>
  <c r="BI241" i="1"/>
  <c r="BR251" i="1"/>
  <c r="BK251" i="1"/>
  <c r="BJ251" i="1"/>
  <c r="BH251" i="1"/>
  <c r="BR240" i="1"/>
  <c r="BK240" i="1"/>
  <c r="BJ240" i="1"/>
  <c r="BH240" i="1"/>
  <c r="BR239" i="1"/>
  <c r="BK239" i="1"/>
  <c r="BJ239" i="1"/>
  <c r="BH239" i="1"/>
  <c r="BN251" i="1"/>
  <c r="BN240" i="1"/>
  <c r="BN239" i="1"/>
  <c r="BS251" i="1"/>
  <c r="BS240" i="1"/>
  <c r="BS239" i="1"/>
  <c r="BO251" i="1"/>
  <c r="BO240" i="1"/>
  <c r="BO239" i="1"/>
  <c r="BT251" i="1"/>
  <c r="BT240" i="1"/>
  <c r="BT239" i="1"/>
  <c r="BU251" i="1"/>
  <c r="BQ251" i="1"/>
  <c r="BU240" i="1"/>
  <c r="BQ240" i="1"/>
  <c r="BU239" i="1"/>
  <c r="BQ239" i="1"/>
  <c r="BM251" i="1"/>
  <c r="BM240" i="1"/>
  <c r="BM239" i="1"/>
  <c r="BL251" i="1"/>
  <c r="BI251" i="1"/>
  <c r="BL240" i="1"/>
  <c r="BI240" i="1"/>
  <c r="BL239" i="1"/>
  <c r="BI239" i="1"/>
  <c r="BR237" i="1"/>
  <c r="BK237" i="1"/>
  <c r="BJ237" i="1"/>
  <c r="BH237" i="1"/>
  <c r="BR236" i="1"/>
  <c r="BK236" i="1"/>
  <c r="BJ236" i="1"/>
  <c r="BH236" i="1"/>
  <c r="BR235" i="1"/>
  <c r="BK235" i="1"/>
  <c r="BJ235" i="1"/>
  <c r="BH235" i="1"/>
  <c r="BN237" i="1"/>
  <c r="BN236" i="1"/>
  <c r="BN235" i="1"/>
  <c r="BS237" i="1"/>
  <c r="BS236" i="1"/>
  <c r="BS235" i="1"/>
  <c r="BO237" i="1"/>
  <c r="BO236" i="1"/>
  <c r="BO235" i="1"/>
  <c r="BT237" i="1"/>
  <c r="BT236" i="1"/>
  <c r="BT235" i="1"/>
  <c r="BU237" i="1"/>
  <c r="BQ237" i="1"/>
  <c r="BU236" i="1"/>
  <c r="BQ236" i="1"/>
  <c r="BU235" i="1"/>
  <c r="BQ235" i="1"/>
  <c r="BM237" i="1"/>
  <c r="BM236" i="1"/>
  <c r="BM235" i="1"/>
  <c r="BL237" i="1"/>
  <c r="BI237" i="1"/>
  <c r="BL236" i="1"/>
  <c r="BI236" i="1"/>
  <c r="BL235" i="1"/>
  <c r="BI235" i="1"/>
  <c r="BR225" i="1"/>
  <c r="BK225" i="1"/>
  <c r="BJ225" i="1"/>
  <c r="BH225" i="1"/>
  <c r="BR224" i="1"/>
  <c r="BK224" i="1"/>
  <c r="BJ224" i="1"/>
  <c r="BH224" i="1"/>
  <c r="BR223" i="1"/>
  <c r="BK223" i="1"/>
  <c r="BJ223" i="1"/>
  <c r="BH223" i="1"/>
  <c r="BR222" i="1"/>
  <c r="BK222" i="1"/>
  <c r="BJ222" i="1"/>
  <c r="BH222" i="1"/>
  <c r="BR221" i="1"/>
  <c r="BK221" i="1"/>
  <c r="BJ221" i="1"/>
  <c r="BH221" i="1"/>
  <c r="BR220" i="1"/>
  <c r="BK220" i="1"/>
  <c r="BJ220" i="1"/>
  <c r="BH220" i="1"/>
  <c r="BR219" i="1"/>
  <c r="BK219" i="1"/>
  <c r="BJ219" i="1"/>
  <c r="BH219" i="1"/>
  <c r="BR218" i="1"/>
  <c r="BK218" i="1"/>
  <c r="BJ218" i="1"/>
  <c r="BH218" i="1"/>
  <c r="BR217" i="1"/>
  <c r="BK217" i="1"/>
  <c r="BJ217" i="1"/>
  <c r="BH217" i="1"/>
  <c r="BN225" i="1"/>
  <c r="BN224" i="1"/>
  <c r="BN223" i="1"/>
  <c r="BN222" i="1"/>
  <c r="BN221" i="1"/>
  <c r="BN220" i="1"/>
  <c r="BN219" i="1"/>
  <c r="BN218" i="1"/>
  <c r="BN217" i="1"/>
  <c r="BS225" i="1"/>
  <c r="BS224" i="1"/>
  <c r="BS223" i="1"/>
  <c r="BS222" i="1"/>
  <c r="BS221" i="1"/>
  <c r="BS220" i="1"/>
  <c r="BS219" i="1"/>
  <c r="BS218" i="1"/>
  <c r="BS217" i="1"/>
  <c r="BO225" i="1"/>
  <c r="BO224" i="1"/>
  <c r="BO223" i="1"/>
  <c r="BO222" i="1"/>
  <c r="BO221" i="1"/>
  <c r="BO220" i="1"/>
  <c r="BO219" i="1"/>
  <c r="BO218" i="1"/>
  <c r="BO217" i="1"/>
  <c r="BT225" i="1"/>
  <c r="BT224" i="1"/>
  <c r="BT223" i="1"/>
  <c r="BT222" i="1"/>
  <c r="BT221" i="1"/>
  <c r="BT220" i="1"/>
  <c r="BT219" i="1"/>
  <c r="BT218" i="1"/>
  <c r="BT217" i="1"/>
  <c r="BU225" i="1"/>
  <c r="BQ225" i="1"/>
  <c r="BU224" i="1"/>
  <c r="BQ224" i="1"/>
  <c r="BU223" i="1"/>
  <c r="BQ223" i="1"/>
  <c r="BU222" i="1"/>
  <c r="BQ222" i="1"/>
  <c r="BU221" i="1"/>
  <c r="BQ221" i="1"/>
  <c r="BU220" i="1"/>
  <c r="BQ220" i="1"/>
  <c r="BU219" i="1"/>
  <c r="BQ219" i="1"/>
  <c r="BU218" i="1"/>
  <c r="BQ218" i="1"/>
  <c r="BU217" i="1"/>
  <c r="BQ217" i="1"/>
  <c r="BM225" i="1"/>
  <c r="BM224" i="1"/>
  <c r="BM223" i="1"/>
  <c r="BM222" i="1"/>
  <c r="BM221" i="1"/>
  <c r="BM220" i="1"/>
  <c r="BM219" i="1"/>
  <c r="BM218" i="1"/>
  <c r="BM217" i="1"/>
  <c r="BL225" i="1"/>
  <c r="BI225" i="1"/>
  <c r="BL224" i="1"/>
  <c r="BI224" i="1"/>
  <c r="BL223" i="1"/>
  <c r="BI223" i="1"/>
  <c r="BL222" i="1"/>
  <c r="BI222" i="1"/>
  <c r="BL221" i="1"/>
  <c r="BI221" i="1"/>
  <c r="BL220" i="1"/>
  <c r="BI220" i="1"/>
  <c r="BL219" i="1"/>
  <c r="BI219" i="1"/>
  <c r="BL218" i="1"/>
  <c r="BI218" i="1"/>
  <c r="BL217" i="1"/>
  <c r="BI217" i="1"/>
  <c r="BR233" i="1"/>
  <c r="BK233" i="1"/>
  <c r="BJ233" i="1"/>
  <c r="BH233" i="1"/>
  <c r="BR232" i="1"/>
  <c r="BK232" i="1"/>
  <c r="BJ232" i="1"/>
  <c r="BH232" i="1"/>
  <c r="BR231" i="1"/>
  <c r="BK231" i="1"/>
  <c r="BJ231" i="1"/>
  <c r="BH231" i="1"/>
  <c r="BR227" i="1"/>
  <c r="BK227" i="1"/>
  <c r="BJ227" i="1"/>
  <c r="BH227" i="1"/>
  <c r="BR226" i="1"/>
  <c r="BK226" i="1"/>
  <c r="BJ226" i="1"/>
  <c r="BH226" i="1"/>
  <c r="BN233" i="1"/>
  <c r="BN232" i="1"/>
  <c r="BN231" i="1"/>
  <c r="BN227" i="1"/>
  <c r="BN226" i="1"/>
  <c r="BS233" i="1"/>
  <c r="BS232" i="1"/>
  <c r="BS231" i="1"/>
  <c r="BS227" i="1"/>
  <c r="BS226" i="1"/>
  <c r="BO233" i="1"/>
  <c r="BO232" i="1"/>
  <c r="BO231" i="1"/>
  <c r="BO227" i="1"/>
  <c r="BO226" i="1"/>
  <c r="BT233" i="1"/>
  <c r="BT232" i="1"/>
  <c r="BT231" i="1"/>
  <c r="BT227" i="1"/>
  <c r="BT226" i="1"/>
  <c r="BQ23" i="1"/>
  <c r="BU233" i="1"/>
  <c r="BQ233" i="1"/>
  <c r="BU232" i="1"/>
  <c r="BQ232" i="1"/>
  <c r="BU231" i="1"/>
  <c r="BQ231" i="1"/>
  <c r="BU227" i="1"/>
  <c r="BQ227" i="1"/>
  <c r="BU226" i="1"/>
  <c r="BQ226" i="1"/>
  <c r="BM233" i="1"/>
  <c r="BM232" i="1"/>
  <c r="BM231" i="1"/>
  <c r="BM227" i="1"/>
  <c r="BM226" i="1"/>
  <c r="BL233" i="1"/>
  <c r="BI233" i="1"/>
  <c r="BL232" i="1"/>
  <c r="BI232" i="1"/>
  <c r="BL231" i="1"/>
  <c r="BI231" i="1"/>
  <c r="BL227" i="1"/>
  <c r="BI227" i="1"/>
  <c r="BL226" i="1"/>
  <c r="BI226" i="1"/>
  <c r="BL177" i="1"/>
  <c r="BL200" i="1"/>
  <c r="BL216" i="1"/>
  <c r="BL234" i="1"/>
  <c r="BL238" i="1"/>
  <c r="BL255" i="1"/>
  <c r="BL139" i="1"/>
  <c r="BL141" i="1"/>
  <c r="BL259" i="1"/>
  <c r="BL253" i="1"/>
  <c r="BL187" i="1"/>
  <c r="BL167" i="1"/>
  <c r="BL160" i="1"/>
  <c r="BL215" i="1"/>
  <c r="BL256" i="1"/>
  <c r="BL252" i="1"/>
  <c r="BL257" i="1"/>
  <c r="BL164" i="1"/>
  <c r="BL206" i="1"/>
  <c r="BL209" i="1"/>
  <c r="BL170" i="1"/>
  <c r="BL214" i="1"/>
  <c r="BL258" i="1"/>
  <c r="BL146" i="1"/>
  <c r="BL210" i="1"/>
  <c r="BR213" i="1"/>
  <c r="BK213" i="1"/>
  <c r="BJ213" i="1"/>
  <c r="BH213" i="1"/>
  <c r="BR212" i="1"/>
  <c r="BK212" i="1"/>
  <c r="BJ212" i="1"/>
  <c r="BH212" i="1"/>
  <c r="BR211" i="1"/>
  <c r="BK211" i="1"/>
  <c r="BJ211" i="1"/>
  <c r="BH211" i="1"/>
  <c r="BR210" i="1"/>
  <c r="BK210" i="1"/>
  <c r="BJ210" i="1"/>
  <c r="BH210" i="1"/>
  <c r="BR209" i="1"/>
  <c r="BK209" i="1"/>
  <c r="BJ209" i="1"/>
  <c r="BH209" i="1"/>
  <c r="BR208" i="1"/>
  <c r="BK208" i="1"/>
  <c r="BJ208" i="1"/>
  <c r="BH208" i="1"/>
  <c r="BR207" i="1"/>
  <c r="BK207" i="1"/>
  <c r="BJ207" i="1"/>
  <c r="BH207" i="1"/>
  <c r="BH199" i="1"/>
  <c r="BJ199" i="1"/>
  <c r="BK199" i="1"/>
  <c r="BR199" i="1"/>
  <c r="BN213" i="1"/>
  <c r="BN212" i="1"/>
  <c r="BN211" i="1"/>
  <c r="BN210" i="1"/>
  <c r="BN209" i="1"/>
  <c r="BN208" i="1"/>
  <c r="BN207" i="1"/>
  <c r="BN199" i="1"/>
  <c r="BM213" i="1"/>
  <c r="BM212" i="1"/>
  <c r="BM211" i="1"/>
  <c r="BM210" i="1"/>
  <c r="BM209" i="1"/>
  <c r="BM208" i="1"/>
  <c r="BM207" i="1"/>
  <c r="BM199" i="1"/>
  <c r="BS213" i="1"/>
  <c r="BS212" i="1"/>
  <c r="BS211" i="1"/>
  <c r="BS210" i="1"/>
  <c r="BS209" i="1"/>
  <c r="BS208" i="1"/>
  <c r="BS207" i="1"/>
  <c r="BS199" i="1"/>
  <c r="BO213" i="1"/>
  <c r="BO212" i="1"/>
  <c r="BO211" i="1"/>
  <c r="BO210" i="1"/>
  <c r="BO209" i="1"/>
  <c r="BO208" i="1"/>
  <c r="BO207" i="1"/>
  <c r="BO199" i="1"/>
  <c r="BT213" i="1"/>
  <c r="BT212" i="1"/>
  <c r="BT211" i="1"/>
  <c r="BT210" i="1"/>
  <c r="BT209" i="1"/>
  <c r="BT208" i="1"/>
  <c r="BT207" i="1"/>
  <c r="BT199" i="1"/>
  <c r="BQ213" i="1"/>
  <c r="BQ212" i="1"/>
  <c r="BQ211" i="1"/>
  <c r="BQ210" i="1"/>
  <c r="BQ209" i="1"/>
  <c r="BQ208" i="1"/>
  <c r="BQ207" i="1"/>
  <c r="BQ199" i="1"/>
  <c r="BR214" i="1"/>
  <c r="BK214" i="1"/>
  <c r="BJ214" i="1"/>
  <c r="BH214" i="1"/>
  <c r="BR206" i="1"/>
  <c r="BK206" i="1"/>
  <c r="BJ206" i="1"/>
  <c r="BH206" i="1"/>
  <c r="BR205" i="1"/>
  <c r="BK205" i="1"/>
  <c r="BJ205" i="1"/>
  <c r="BH205" i="1"/>
  <c r="BR204" i="1"/>
  <c r="BK204" i="1"/>
  <c r="BJ204" i="1"/>
  <c r="BH204" i="1"/>
  <c r="BR203" i="1"/>
  <c r="BK203" i="1"/>
  <c r="BJ203" i="1"/>
  <c r="BH203" i="1"/>
  <c r="BR202" i="1"/>
  <c r="BK202" i="1"/>
  <c r="BJ202" i="1"/>
  <c r="BH202" i="1"/>
  <c r="BR201" i="1"/>
  <c r="BK201" i="1"/>
  <c r="BJ201" i="1"/>
  <c r="BH201" i="1"/>
  <c r="BN214" i="1"/>
  <c r="BN206" i="1"/>
  <c r="BN205" i="1"/>
  <c r="BN204" i="1"/>
  <c r="BN203" i="1"/>
  <c r="BN202" i="1"/>
  <c r="BN201" i="1"/>
  <c r="BM214" i="1"/>
  <c r="BM206" i="1"/>
  <c r="BM205" i="1"/>
  <c r="BM204" i="1"/>
  <c r="BM203" i="1"/>
  <c r="BM202" i="1"/>
  <c r="BM201" i="1"/>
  <c r="BS214" i="1"/>
  <c r="BS206" i="1"/>
  <c r="BS205" i="1"/>
  <c r="BS204" i="1"/>
  <c r="BS203" i="1"/>
  <c r="BS202" i="1"/>
  <c r="BS201" i="1"/>
  <c r="BO214" i="1"/>
  <c r="BO206" i="1"/>
  <c r="BO205" i="1"/>
  <c r="BO204" i="1"/>
  <c r="BO203" i="1"/>
  <c r="BO202" i="1"/>
  <c r="BO201" i="1"/>
  <c r="BT214" i="1"/>
  <c r="BT206" i="1"/>
  <c r="BT205" i="1"/>
  <c r="BT204" i="1"/>
  <c r="BT203" i="1"/>
  <c r="BT202" i="1"/>
  <c r="BT201" i="1"/>
  <c r="BQ214" i="1"/>
  <c r="BQ206" i="1"/>
  <c r="BQ205" i="1"/>
  <c r="BQ204" i="1"/>
  <c r="BQ203" i="1"/>
  <c r="BQ202" i="1"/>
  <c r="BQ201" i="1"/>
  <c r="BR195" i="1"/>
  <c r="BK195" i="1"/>
  <c r="BJ195" i="1"/>
  <c r="BH195" i="1"/>
  <c r="BR194" i="1"/>
  <c r="BK194" i="1"/>
  <c r="BJ194" i="1"/>
  <c r="BH194" i="1"/>
  <c r="BR193" i="1"/>
  <c r="BK193" i="1"/>
  <c r="BJ193" i="1"/>
  <c r="BH193" i="1"/>
  <c r="BR192" i="1"/>
  <c r="BK192" i="1"/>
  <c r="BJ192" i="1"/>
  <c r="BH192" i="1"/>
  <c r="BR191" i="1"/>
  <c r="BK191" i="1"/>
  <c r="BJ191" i="1"/>
  <c r="BH191" i="1"/>
  <c r="BR190" i="1"/>
  <c r="BK190" i="1"/>
  <c r="BJ190" i="1"/>
  <c r="BH190" i="1"/>
  <c r="BR189" i="1"/>
  <c r="BK189" i="1"/>
  <c r="BJ189" i="1"/>
  <c r="BH189" i="1"/>
  <c r="BR188" i="1"/>
  <c r="BK188" i="1"/>
  <c r="BJ188" i="1"/>
  <c r="BH188" i="1"/>
  <c r="BN195" i="1"/>
  <c r="BN194" i="1"/>
  <c r="BN193" i="1"/>
  <c r="BN192" i="1"/>
  <c r="BN191" i="1"/>
  <c r="BN190" i="1"/>
  <c r="BN189" i="1"/>
  <c r="BN188" i="1"/>
  <c r="BM195" i="1"/>
  <c r="BM194" i="1"/>
  <c r="BM193" i="1"/>
  <c r="BM192" i="1"/>
  <c r="BM191" i="1"/>
  <c r="BM190" i="1"/>
  <c r="BM189" i="1"/>
  <c r="BM188" i="1"/>
  <c r="BS195" i="1"/>
  <c r="BS194" i="1"/>
  <c r="BS193" i="1"/>
  <c r="BS192" i="1"/>
  <c r="BS191" i="1"/>
  <c r="BS190" i="1"/>
  <c r="BS189" i="1"/>
  <c r="BS188" i="1"/>
  <c r="BO195" i="1"/>
  <c r="BO194" i="1"/>
  <c r="BO193" i="1"/>
  <c r="BO192" i="1"/>
  <c r="BO191" i="1"/>
  <c r="BO190" i="1"/>
  <c r="BO189" i="1"/>
  <c r="BO188" i="1"/>
  <c r="BT195" i="1"/>
  <c r="BT194" i="1"/>
  <c r="BT193" i="1"/>
  <c r="BT192" i="1"/>
  <c r="BT191" i="1"/>
  <c r="BT190" i="1"/>
  <c r="BT189" i="1"/>
  <c r="BT188" i="1"/>
  <c r="BQ195" i="1"/>
  <c r="BQ194" i="1"/>
  <c r="BQ193" i="1"/>
  <c r="BQ192" i="1"/>
  <c r="BQ191" i="1"/>
  <c r="BQ190" i="1"/>
  <c r="BQ189" i="1"/>
  <c r="BQ188" i="1"/>
  <c r="BR215" i="1"/>
  <c r="BK215" i="1"/>
  <c r="BJ215" i="1"/>
  <c r="BH215" i="1"/>
  <c r="BR200" i="1"/>
  <c r="BK200" i="1"/>
  <c r="BJ200" i="1"/>
  <c r="BH200" i="1"/>
  <c r="BR198" i="1"/>
  <c r="BK198" i="1"/>
  <c r="BJ198" i="1"/>
  <c r="BH198" i="1"/>
  <c r="BR197" i="1"/>
  <c r="BK197" i="1"/>
  <c r="BJ197" i="1"/>
  <c r="BH197" i="1"/>
  <c r="BR196" i="1"/>
  <c r="BK196" i="1"/>
  <c r="BJ196" i="1"/>
  <c r="BH196" i="1"/>
  <c r="BN215" i="1"/>
  <c r="BN200" i="1"/>
  <c r="BN198" i="1"/>
  <c r="BN197" i="1"/>
  <c r="BN196" i="1"/>
  <c r="BM215" i="1"/>
  <c r="BM200" i="1"/>
  <c r="BM198" i="1"/>
  <c r="BM197" i="1"/>
  <c r="BM196" i="1"/>
  <c r="BS215" i="1"/>
  <c r="BS200" i="1"/>
  <c r="BS198" i="1"/>
  <c r="BS197" i="1"/>
  <c r="BS196" i="1"/>
  <c r="BO215" i="1"/>
  <c r="BO200" i="1"/>
  <c r="BO198" i="1"/>
  <c r="BO197" i="1"/>
  <c r="BO196" i="1"/>
  <c r="BT215" i="1"/>
  <c r="BT200" i="1"/>
  <c r="BT198" i="1"/>
  <c r="BT197" i="1"/>
  <c r="BT196" i="1"/>
  <c r="BQ215" i="1"/>
  <c r="BQ200" i="1"/>
  <c r="BQ198" i="1"/>
  <c r="BQ197" i="1"/>
  <c r="BQ196" i="1"/>
  <c r="BR238" i="1"/>
  <c r="BK238" i="1"/>
  <c r="BJ238" i="1"/>
  <c r="BH238" i="1"/>
  <c r="BR234" i="1"/>
  <c r="BK234" i="1"/>
  <c r="BJ234" i="1"/>
  <c r="BH234" i="1"/>
  <c r="BR216" i="1"/>
  <c r="BK216" i="1"/>
  <c r="BJ216" i="1"/>
  <c r="BH216" i="1"/>
  <c r="BN238" i="1"/>
  <c r="BN234" i="1"/>
  <c r="BN216" i="1"/>
  <c r="BM238" i="1"/>
  <c r="BM234" i="1"/>
  <c r="BM216" i="1"/>
  <c r="BS238" i="1"/>
  <c r="BS234" i="1"/>
  <c r="BS216" i="1"/>
  <c r="BO238" i="1"/>
  <c r="BO234" i="1"/>
  <c r="BO216" i="1"/>
  <c r="BT238" i="1"/>
  <c r="BT234" i="1"/>
  <c r="BT216" i="1"/>
  <c r="BQ238" i="1"/>
  <c r="BQ234" i="1"/>
  <c r="BQ216" i="1"/>
  <c r="BR4" i="1"/>
  <c r="BR5" i="1"/>
  <c r="BR6" i="1"/>
  <c r="BR7" i="1"/>
  <c r="BR8" i="1"/>
  <c r="BR9" i="1"/>
  <c r="BR10" i="1"/>
  <c r="BR11" i="1"/>
  <c r="BR12" i="1"/>
  <c r="BR13" i="1"/>
  <c r="BR14" i="1"/>
  <c r="BR15" i="1"/>
  <c r="BR16" i="1"/>
  <c r="BR17" i="1"/>
  <c r="BR18" i="1"/>
  <c r="BR19" i="1"/>
  <c r="BR20" i="1"/>
  <c r="BR21" i="1"/>
  <c r="BR22" i="1"/>
  <c r="BR23" i="1"/>
  <c r="BR24" i="1"/>
  <c r="BR25" i="1"/>
  <c r="BR26" i="1"/>
  <c r="BR27" i="1"/>
  <c r="BR28" i="1"/>
  <c r="BR29"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3"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252" i="1"/>
  <c r="BR253" i="1"/>
  <c r="BR255" i="1"/>
  <c r="BR256" i="1"/>
  <c r="BR257" i="1"/>
  <c r="BR258" i="1"/>
  <c r="BR259" i="1"/>
  <c r="BS19" i="1"/>
  <c r="BS20" i="1"/>
  <c r="BS21" i="1"/>
  <c r="BS22" i="1"/>
  <c r="BS23" i="1"/>
  <c r="BS24" i="1"/>
  <c r="BS25" i="1"/>
  <c r="BS26" i="1"/>
  <c r="BS27" i="1"/>
  <c r="BS28" i="1"/>
  <c r="BS29"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6" i="1"/>
  <c r="BS77" i="1"/>
  <c r="BS78" i="1"/>
  <c r="BS79" i="1"/>
  <c r="BS80" i="1"/>
  <c r="BS81" i="1"/>
  <c r="BS82" i="1"/>
  <c r="BS83" i="1"/>
  <c r="BS84" i="1"/>
  <c r="BS85" i="1"/>
  <c r="BS86" i="1"/>
  <c r="BS87" i="1"/>
  <c r="BS88" i="1"/>
  <c r="BS89" i="1"/>
  <c r="BS90" i="1"/>
  <c r="BS91" i="1"/>
  <c r="BS92" i="1"/>
  <c r="BS93" i="1"/>
  <c r="BS94" i="1"/>
  <c r="BS95" i="1"/>
  <c r="BS96" i="1"/>
  <c r="BS97" i="1"/>
  <c r="BS98" i="1"/>
  <c r="BS99" i="1"/>
  <c r="BS100" i="1"/>
  <c r="BS101" i="1"/>
  <c r="BS102" i="1"/>
  <c r="BS103" i="1"/>
  <c r="BS104" i="1"/>
  <c r="BS105" i="1"/>
  <c r="BS106" i="1"/>
  <c r="BS107" i="1"/>
  <c r="BS108" i="1"/>
  <c r="BS109" i="1"/>
  <c r="BS110" i="1"/>
  <c r="BS111" i="1"/>
  <c r="BS112" i="1"/>
  <c r="BS113" i="1"/>
  <c r="BS114" i="1"/>
  <c r="BS115" i="1"/>
  <c r="BS116" i="1"/>
  <c r="BS117" i="1"/>
  <c r="BS118" i="1"/>
  <c r="BS119" i="1"/>
  <c r="BS120" i="1"/>
  <c r="BS121" i="1"/>
  <c r="BS122" i="1"/>
  <c r="BS123" i="1"/>
  <c r="BS124" i="1"/>
  <c r="BS125" i="1"/>
  <c r="BS126" i="1"/>
  <c r="BS127" i="1"/>
  <c r="BS128" i="1"/>
  <c r="BS129" i="1"/>
  <c r="BS130" i="1"/>
  <c r="BS131" i="1"/>
  <c r="BS132" i="1"/>
  <c r="BS133" i="1"/>
  <c r="BS134" i="1"/>
  <c r="BS135" i="1"/>
  <c r="BS136" i="1"/>
  <c r="BS137" i="1"/>
  <c r="BS138" i="1"/>
  <c r="BS139" i="1"/>
  <c r="BS140" i="1"/>
  <c r="BS141" i="1"/>
  <c r="BS142" i="1"/>
  <c r="BS143" i="1"/>
  <c r="BS144" i="1"/>
  <c r="BS145" i="1"/>
  <c r="BS146" i="1"/>
  <c r="BS147" i="1"/>
  <c r="BS148" i="1"/>
  <c r="BS149" i="1"/>
  <c r="BS150" i="1"/>
  <c r="BS151" i="1"/>
  <c r="BS152" i="1"/>
  <c r="BS153" i="1"/>
  <c r="BS154" i="1"/>
  <c r="BS155" i="1"/>
  <c r="BS156" i="1"/>
  <c r="BS157" i="1"/>
  <c r="BS158" i="1"/>
  <c r="BS159" i="1"/>
  <c r="BS160" i="1"/>
  <c r="BS161" i="1"/>
  <c r="BS162" i="1"/>
  <c r="BS163" i="1"/>
  <c r="BS164" i="1"/>
  <c r="BS165" i="1"/>
  <c r="BS166" i="1"/>
  <c r="BS167" i="1"/>
  <c r="BS168" i="1"/>
  <c r="BS169" i="1"/>
  <c r="BS170" i="1"/>
  <c r="BS171" i="1"/>
  <c r="BS172" i="1"/>
  <c r="BS173" i="1"/>
  <c r="BS174" i="1"/>
  <c r="BS175" i="1"/>
  <c r="BS176" i="1"/>
  <c r="BS177" i="1"/>
  <c r="BS178" i="1"/>
  <c r="BS179" i="1"/>
  <c r="BS180" i="1"/>
  <c r="BS181" i="1"/>
  <c r="BS182" i="1"/>
  <c r="BS183" i="1"/>
  <c r="BS184" i="1"/>
  <c r="BS185" i="1"/>
  <c r="BS186" i="1"/>
  <c r="BS187" i="1"/>
  <c r="BS252" i="1"/>
  <c r="BS253" i="1"/>
  <c r="BS255" i="1"/>
  <c r="BS256" i="1"/>
  <c r="BS257" i="1"/>
  <c r="BS258" i="1"/>
  <c r="BS259" i="1"/>
  <c r="BT7" i="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93" i="1"/>
  <c r="BT94" i="1"/>
  <c r="BT95" i="1"/>
  <c r="BT96" i="1"/>
  <c r="BT97" i="1"/>
  <c r="BT98" i="1"/>
  <c r="BT99" i="1"/>
  <c r="BT100" i="1"/>
  <c r="BT101" i="1"/>
  <c r="BT102" i="1"/>
  <c r="BT103" i="1"/>
  <c r="BT104" i="1"/>
  <c r="BT105" i="1"/>
  <c r="BT106" i="1"/>
  <c r="BT107" i="1"/>
  <c r="BT108" i="1"/>
  <c r="BT109" i="1"/>
  <c r="BT110" i="1"/>
  <c r="BT111" i="1"/>
  <c r="BT112" i="1"/>
  <c r="BT113" i="1"/>
  <c r="BT114" i="1"/>
  <c r="BT115" i="1"/>
  <c r="BT116" i="1"/>
  <c r="BT117" i="1"/>
  <c r="BT118" i="1"/>
  <c r="BT119" i="1"/>
  <c r="BT120" i="1"/>
  <c r="BT121" i="1"/>
  <c r="BT122" i="1"/>
  <c r="BT123" i="1"/>
  <c r="BT124" i="1"/>
  <c r="BT125" i="1"/>
  <c r="BT126" i="1"/>
  <c r="BT127" i="1"/>
  <c r="BT128" i="1"/>
  <c r="BT129" i="1"/>
  <c r="BT130" i="1"/>
  <c r="BT131" i="1"/>
  <c r="BT132" i="1"/>
  <c r="BT133" i="1"/>
  <c r="BT134" i="1"/>
  <c r="BT135" i="1"/>
  <c r="BT136" i="1"/>
  <c r="BT137" i="1"/>
  <c r="BT138" i="1"/>
  <c r="BT139" i="1"/>
  <c r="BT140" i="1"/>
  <c r="BT141" i="1"/>
  <c r="BT142" i="1"/>
  <c r="BT143" i="1"/>
  <c r="BT144" i="1"/>
  <c r="BT145" i="1"/>
  <c r="BT146" i="1"/>
  <c r="BT147" i="1"/>
  <c r="BT148" i="1"/>
  <c r="BT149" i="1"/>
  <c r="BT150" i="1"/>
  <c r="BT151" i="1"/>
  <c r="BT152" i="1"/>
  <c r="BT153" i="1"/>
  <c r="BT154" i="1"/>
  <c r="BT155" i="1"/>
  <c r="BT156" i="1"/>
  <c r="BT157" i="1"/>
  <c r="BT158" i="1"/>
  <c r="BT159" i="1"/>
  <c r="BT160" i="1"/>
  <c r="BT161" i="1"/>
  <c r="BT162" i="1"/>
  <c r="BT163" i="1"/>
  <c r="BT164" i="1"/>
  <c r="BT165" i="1"/>
  <c r="BT166" i="1"/>
  <c r="BT167" i="1"/>
  <c r="BT168" i="1"/>
  <c r="BT169" i="1"/>
  <c r="BT170" i="1"/>
  <c r="BT171" i="1"/>
  <c r="BT172" i="1"/>
  <c r="BT173" i="1"/>
  <c r="BT174" i="1"/>
  <c r="BT175" i="1"/>
  <c r="BT176" i="1"/>
  <c r="BT177" i="1"/>
  <c r="BT178" i="1"/>
  <c r="BT179" i="1"/>
  <c r="BT180" i="1"/>
  <c r="BT181" i="1"/>
  <c r="BT182" i="1"/>
  <c r="BT183" i="1"/>
  <c r="BT184" i="1"/>
  <c r="BT185" i="1"/>
  <c r="BT186" i="1"/>
  <c r="BT187" i="1"/>
  <c r="BT252" i="1"/>
  <c r="BT253" i="1"/>
  <c r="BT255" i="1"/>
  <c r="BT256" i="1"/>
  <c r="BT257" i="1"/>
  <c r="BT258" i="1"/>
  <c r="BT259" i="1"/>
  <c r="BK184" i="1"/>
  <c r="BJ184" i="1"/>
  <c r="BH184" i="1"/>
  <c r="BK183" i="1"/>
  <c r="BJ183" i="1"/>
  <c r="BH183" i="1"/>
  <c r="BK182" i="1"/>
  <c r="BJ182" i="1"/>
  <c r="BH182" i="1"/>
  <c r="BK181" i="1"/>
  <c r="BJ181" i="1"/>
  <c r="BH181" i="1"/>
  <c r="BK180" i="1"/>
  <c r="BJ180" i="1"/>
  <c r="BH180" i="1"/>
  <c r="BK179" i="1"/>
  <c r="BJ179" i="1"/>
  <c r="BH179" i="1"/>
  <c r="BK178" i="1"/>
  <c r="BJ178" i="1"/>
  <c r="BH178" i="1"/>
  <c r="BN184" i="1"/>
  <c r="BN183" i="1"/>
  <c r="BN182" i="1"/>
  <c r="BN181" i="1"/>
  <c r="BN180" i="1"/>
  <c r="BN179" i="1"/>
  <c r="BN178" i="1"/>
  <c r="BM184" i="1"/>
  <c r="BM183" i="1"/>
  <c r="BM182" i="1"/>
  <c r="BM181" i="1"/>
  <c r="BM180" i="1"/>
  <c r="BM179" i="1"/>
  <c r="BM178" i="1"/>
  <c r="BO184" i="1"/>
  <c r="BO183" i="1"/>
  <c r="BO182" i="1"/>
  <c r="BO181" i="1"/>
  <c r="BO180" i="1"/>
  <c r="BO179" i="1"/>
  <c r="BO178" i="1"/>
  <c r="BQ184" i="1"/>
  <c r="BQ183" i="1"/>
  <c r="BQ182" i="1"/>
  <c r="BQ181" i="1"/>
  <c r="BQ180" i="1"/>
  <c r="BQ179" i="1"/>
  <c r="BQ178" i="1"/>
  <c r="BK252" i="1"/>
  <c r="BJ252" i="1"/>
  <c r="BH252" i="1"/>
  <c r="BK187" i="1"/>
  <c r="BJ187" i="1"/>
  <c r="BH187" i="1"/>
  <c r="BK186" i="1"/>
  <c r="BJ186" i="1"/>
  <c r="BH186" i="1"/>
  <c r="BK185" i="1"/>
  <c r="BJ185" i="1"/>
  <c r="BH185" i="1"/>
  <c r="BK170" i="1"/>
  <c r="BN252" i="1"/>
  <c r="BN187" i="1"/>
  <c r="BN186" i="1"/>
  <c r="BN185" i="1"/>
  <c r="BN170" i="1"/>
  <c r="BJ170" i="1"/>
  <c r="BH170" i="1"/>
  <c r="BM252" i="1"/>
  <c r="BM187" i="1"/>
  <c r="BM186" i="1"/>
  <c r="BM185" i="1"/>
  <c r="BM170" i="1"/>
  <c r="BO252" i="1"/>
  <c r="BO187" i="1"/>
  <c r="BO186" i="1"/>
  <c r="BO185" i="1"/>
  <c r="BO170" i="1"/>
  <c r="BQ252" i="1"/>
  <c r="BQ187" i="1"/>
  <c r="BQ186" i="1"/>
  <c r="BQ185" i="1"/>
  <c r="BQ170" i="1"/>
  <c r="BK176" i="1"/>
  <c r="BJ176" i="1"/>
  <c r="BH176" i="1"/>
  <c r="BK175" i="1"/>
  <c r="BJ175" i="1"/>
  <c r="BH175" i="1"/>
  <c r="BK174" i="1"/>
  <c r="BJ174" i="1"/>
  <c r="BH174" i="1"/>
  <c r="BK173" i="1"/>
  <c r="BJ173" i="1"/>
  <c r="BH173" i="1"/>
  <c r="BK172" i="1"/>
  <c r="BJ172" i="1"/>
  <c r="BH172" i="1"/>
  <c r="BK171" i="1"/>
  <c r="BJ171" i="1"/>
  <c r="BH171" i="1"/>
  <c r="BK169" i="1"/>
  <c r="BJ169" i="1"/>
  <c r="BH169" i="1"/>
  <c r="BN176" i="1"/>
  <c r="BN175" i="1"/>
  <c r="BN174" i="1"/>
  <c r="BN173" i="1"/>
  <c r="BN172" i="1"/>
  <c r="BN171" i="1"/>
  <c r="BN169" i="1"/>
  <c r="BM176" i="1"/>
  <c r="BM175" i="1"/>
  <c r="BM174" i="1"/>
  <c r="BM173" i="1"/>
  <c r="BM172" i="1"/>
  <c r="BM171" i="1"/>
  <c r="BM169" i="1"/>
  <c r="BO176" i="1"/>
  <c r="BO175" i="1"/>
  <c r="BO174" i="1"/>
  <c r="BO173" i="1"/>
  <c r="BO172" i="1"/>
  <c r="BO171" i="1"/>
  <c r="BO169" i="1"/>
  <c r="BQ176" i="1"/>
  <c r="BQ175" i="1"/>
  <c r="BQ174" i="1"/>
  <c r="BQ173" i="1"/>
  <c r="BQ172" i="1"/>
  <c r="BQ171" i="1"/>
  <c r="BQ169" i="1"/>
  <c r="BK256" i="1"/>
  <c r="BJ256" i="1"/>
  <c r="BH256" i="1"/>
  <c r="BK255" i="1"/>
  <c r="BJ255" i="1"/>
  <c r="BH255" i="1"/>
  <c r="BK253" i="1"/>
  <c r="BJ253" i="1"/>
  <c r="BH253" i="1"/>
  <c r="BK177" i="1"/>
  <c r="BJ177" i="1"/>
  <c r="BH177" i="1"/>
  <c r="BK168" i="1"/>
  <c r="BJ168" i="1"/>
  <c r="BH168" i="1"/>
  <c r="BN256" i="1"/>
  <c r="BN255" i="1"/>
  <c r="BN253" i="1"/>
  <c r="BN177" i="1"/>
  <c r="BN168" i="1"/>
  <c r="BM256" i="1"/>
  <c r="BM255" i="1"/>
  <c r="BM253" i="1"/>
  <c r="BM177" i="1"/>
  <c r="BM168" i="1"/>
  <c r="BO256" i="1"/>
  <c r="BO255" i="1"/>
  <c r="BO253" i="1"/>
  <c r="BO177" i="1"/>
  <c r="BO168" i="1"/>
  <c r="BQ256" i="1"/>
  <c r="BQ255" i="1"/>
  <c r="BQ253" i="1"/>
  <c r="BQ177" i="1"/>
  <c r="BQ168" i="1"/>
  <c r="BK167" i="1"/>
  <c r="BJ167" i="1"/>
  <c r="BH167" i="1"/>
  <c r="BK166" i="1"/>
  <c r="BJ166" i="1"/>
  <c r="BH166" i="1"/>
  <c r="BK165" i="1"/>
  <c r="BJ165" i="1"/>
  <c r="BH165" i="1"/>
  <c r="BN167" i="1"/>
  <c r="BN166" i="1"/>
  <c r="BN165" i="1"/>
  <c r="BM167" i="1"/>
  <c r="BM166" i="1"/>
  <c r="BM165" i="1"/>
  <c r="BO167" i="1"/>
  <c r="BO166" i="1"/>
  <c r="BO165" i="1"/>
  <c r="BQ167" i="1"/>
  <c r="BQ166" i="1"/>
  <c r="BQ165" i="1"/>
  <c r="BK164" i="1"/>
  <c r="BJ164" i="1"/>
  <c r="BH164" i="1"/>
  <c r="BK163" i="1"/>
  <c r="BJ163" i="1"/>
  <c r="BH163" i="1"/>
  <c r="BK162" i="1"/>
  <c r="BJ162" i="1"/>
  <c r="BH162" i="1"/>
  <c r="BK161" i="1"/>
  <c r="BJ161" i="1"/>
  <c r="BH161" i="1"/>
  <c r="BN164" i="1"/>
  <c r="BN163" i="1"/>
  <c r="BN162" i="1"/>
  <c r="BN161" i="1"/>
  <c r="BM164" i="1"/>
  <c r="BM163" i="1"/>
  <c r="BM162" i="1"/>
  <c r="BM161" i="1"/>
  <c r="BO164" i="1"/>
  <c r="BO163" i="1"/>
  <c r="BO162" i="1"/>
  <c r="BO161" i="1"/>
  <c r="BQ164" i="1"/>
  <c r="BQ163" i="1"/>
  <c r="BQ162" i="1"/>
  <c r="BQ161" i="1"/>
  <c r="BK258" i="1"/>
  <c r="BJ258" i="1"/>
  <c r="BH258" i="1"/>
  <c r="BK257" i="1"/>
  <c r="BJ257" i="1"/>
  <c r="BH257" i="1"/>
  <c r="BK149" i="1"/>
  <c r="BJ149" i="1"/>
  <c r="BN258" i="1"/>
  <c r="BN257" i="1"/>
  <c r="BN149" i="1"/>
  <c r="BM258" i="1"/>
  <c r="BM257" i="1"/>
  <c r="BM149" i="1"/>
  <c r="BO258" i="1"/>
  <c r="BO257" i="1"/>
  <c r="BO149" i="1"/>
  <c r="BQ258" i="1"/>
  <c r="BQ257" i="1"/>
  <c r="BQ149" i="1"/>
  <c r="BL149" i="1"/>
  <c r="BI149" i="1"/>
  <c r="BH149" i="1"/>
  <c r="BK155" i="1"/>
  <c r="BJ155" i="1"/>
  <c r="BH155" i="1"/>
  <c r="BK154" i="1"/>
  <c r="BJ154" i="1"/>
  <c r="BH154" i="1"/>
  <c r="BK153" i="1"/>
  <c r="BJ153" i="1"/>
  <c r="BH153" i="1"/>
  <c r="BK152" i="1"/>
  <c r="BJ152" i="1"/>
  <c r="BH152" i="1"/>
  <c r="BK151" i="1"/>
  <c r="BJ151" i="1"/>
  <c r="BH151" i="1"/>
  <c r="BK150" i="1"/>
  <c r="BJ150" i="1"/>
  <c r="BH150" i="1"/>
  <c r="BN155" i="1"/>
  <c r="BN154" i="1"/>
  <c r="BN153" i="1"/>
  <c r="BN152" i="1"/>
  <c r="BN151" i="1"/>
  <c r="BN150" i="1"/>
  <c r="BM155" i="1"/>
  <c r="BM154" i="1"/>
  <c r="BM153" i="1"/>
  <c r="BM152" i="1"/>
  <c r="BM151" i="1"/>
  <c r="BM150" i="1"/>
  <c r="BO155" i="1"/>
  <c r="BO154" i="1"/>
  <c r="BO153" i="1"/>
  <c r="BO152" i="1"/>
  <c r="BO151" i="1"/>
  <c r="BO150" i="1"/>
  <c r="BQ155" i="1"/>
  <c r="BQ154" i="1"/>
  <c r="BQ153" i="1"/>
  <c r="BQ152" i="1"/>
  <c r="BQ151" i="1"/>
  <c r="BQ150" i="1"/>
  <c r="BK159" i="1"/>
  <c r="BJ159" i="1"/>
  <c r="BH159" i="1"/>
  <c r="BK158" i="1"/>
  <c r="BJ158" i="1"/>
  <c r="BH158" i="1"/>
  <c r="BK157" i="1"/>
  <c r="BJ157" i="1"/>
  <c r="BH157" i="1"/>
  <c r="BK156" i="1"/>
  <c r="BJ156" i="1"/>
  <c r="BH156" i="1"/>
  <c r="BN159" i="1"/>
  <c r="BN158" i="1"/>
  <c r="BN157" i="1"/>
  <c r="BN156" i="1"/>
  <c r="BM148" i="1"/>
  <c r="BM159" i="1"/>
  <c r="BM158" i="1"/>
  <c r="BM157" i="1"/>
  <c r="BM156" i="1"/>
  <c r="BO159" i="1"/>
  <c r="BO158" i="1"/>
  <c r="BO157" i="1"/>
  <c r="BO156" i="1"/>
  <c r="BQ148" i="1"/>
  <c r="BQ159" i="1"/>
  <c r="BQ158" i="1"/>
  <c r="BQ157" i="1"/>
  <c r="BQ156" i="1"/>
  <c r="BJ148" i="1"/>
  <c r="BN148" i="1"/>
  <c r="BK148" i="1"/>
  <c r="BH148" i="1"/>
  <c r="BO148" i="1"/>
  <c r="BK160" i="1"/>
  <c r="BJ160" i="1"/>
  <c r="BH160" i="1"/>
  <c r="BK147" i="1"/>
  <c r="BJ147" i="1"/>
  <c r="BH147" i="1"/>
  <c r="BN160" i="1"/>
  <c r="BN147" i="1"/>
  <c r="BM160" i="1"/>
  <c r="BM147" i="1"/>
  <c r="BO160" i="1"/>
  <c r="BO147" i="1"/>
  <c r="BQ160" i="1"/>
  <c r="BQ147" i="1"/>
  <c r="BK145" i="1"/>
  <c r="BJ145" i="1"/>
  <c r="BH145" i="1"/>
  <c r="BK144" i="1"/>
  <c r="BJ144" i="1"/>
  <c r="BH144" i="1"/>
  <c r="BK143" i="1"/>
  <c r="BJ143" i="1"/>
  <c r="BH143" i="1"/>
  <c r="BN145" i="1"/>
  <c r="BN144" i="1"/>
  <c r="BN143" i="1"/>
  <c r="BM145" i="1"/>
  <c r="BM144" i="1"/>
  <c r="BM143" i="1"/>
  <c r="BO145" i="1"/>
  <c r="BO144" i="1"/>
  <c r="BO143" i="1"/>
  <c r="BQ145" i="1"/>
  <c r="BQ144" i="1"/>
  <c r="BQ143" i="1"/>
  <c r="BK259" i="1"/>
  <c r="BJ259" i="1"/>
  <c r="BH259" i="1"/>
  <c r="BK146" i="1"/>
  <c r="BJ146" i="1"/>
  <c r="BH146" i="1"/>
  <c r="BN259" i="1"/>
  <c r="BN146" i="1"/>
  <c r="BM259" i="1"/>
  <c r="BM146" i="1"/>
  <c r="BO259" i="1"/>
  <c r="BO146" i="1"/>
  <c r="BQ259" i="1"/>
  <c r="BQ146" i="1"/>
  <c r="BK130" i="1"/>
  <c r="BJ130" i="1"/>
  <c r="BH130" i="1"/>
  <c r="BN130" i="1"/>
  <c r="BM130" i="1"/>
  <c r="BO130" i="1"/>
  <c r="BM142" i="1"/>
  <c r="BK142" i="1"/>
  <c r="BJ142" i="1"/>
  <c r="BN142" i="1"/>
  <c r="BO142" i="1"/>
  <c r="BQ142" i="1"/>
  <c r="BH142" i="1"/>
  <c r="BK128" i="1"/>
  <c r="BJ128" i="1"/>
  <c r="BH128" i="1"/>
  <c r="BK127" i="1"/>
  <c r="BJ127" i="1"/>
  <c r="BH127" i="1"/>
  <c r="BK126" i="1"/>
  <c r="BJ126" i="1"/>
  <c r="BH126" i="1"/>
  <c r="BN128" i="1"/>
  <c r="BN127" i="1"/>
  <c r="BN126" i="1"/>
  <c r="BM128" i="1"/>
  <c r="BM127" i="1"/>
  <c r="BM126" i="1"/>
  <c r="BO128" i="1"/>
  <c r="BO127" i="1"/>
  <c r="BO126" i="1"/>
  <c r="BK129" i="1"/>
  <c r="BJ129" i="1"/>
  <c r="BH129" i="1"/>
  <c r="BK125" i="1"/>
  <c r="BJ125" i="1"/>
  <c r="BH125" i="1"/>
  <c r="BN129" i="1"/>
  <c r="BN125" i="1"/>
  <c r="BM129" i="1"/>
  <c r="BM125" i="1"/>
  <c r="BO129" i="1"/>
  <c r="BO125" i="1"/>
  <c r="BK120" i="1"/>
  <c r="BJ120" i="1"/>
  <c r="BH120" i="1"/>
  <c r="BK119" i="1"/>
  <c r="BJ119" i="1"/>
  <c r="BH119" i="1"/>
  <c r="BK118" i="1"/>
  <c r="BJ118" i="1"/>
  <c r="BH118" i="1"/>
  <c r="BK117" i="1"/>
  <c r="BJ117" i="1"/>
  <c r="BH117" i="1"/>
  <c r="BK116" i="1"/>
  <c r="BJ116" i="1"/>
  <c r="BH116" i="1"/>
  <c r="BK115" i="1"/>
  <c r="BJ115" i="1"/>
  <c r="BH115" i="1"/>
  <c r="BN120" i="1"/>
  <c r="BN119" i="1"/>
  <c r="BN118" i="1"/>
  <c r="BN117" i="1"/>
  <c r="BN116" i="1"/>
  <c r="BN115" i="1"/>
  <c r="BM120" i="1"/>
  <c r="BM119" i="1"/>
  <c r="BM118" i="1"/>
  <c r="BM117" i="1"/>
  <c r="BM116" i="1"/>
  <c r="BM115" i="1"/>
  <c r="BO120" i="1"/>
  <c r="BO119" i="1"/>
  <c r="BO118" i="1"/>
  <c r="BO117" i="1"/>
  <c r="BO116" i="1"/>
  <c r="BO115" i="1"/>
  <c r="BK123" i="1"/>
  <c r="BJ123" i="1"/>
  <c r="BH123" i="1"/>
  <c r="BK122" i="1"/>
  <c r="BJ122" i="1"/>
  <c r="BH122" i="1"/>
  <c r="BK121" i="1"/>
  <c r="BJ121" i="1"/>
  <c r="BH121" i="1"/>
  <c r="BN123" i="1"/>
  <c r="BN122" i="1"/>
  <c r="BN121" i="1"/>
  <c r="BM123" i="1"/>
  <c r="BM122" i="1"/>
  <c r="BM121" i="1"/>
  <c r="BO123" i="1"/>
  <c r="BO122" i="1"/>
  <c r="BO121" i="1"/>
  <c r="BK124" i="1"/>
  <c r="BJ124" i="1"/>
  <c r="BH124" i="1"/>
  <c r="BN124" i="1"/>
  <c r="BM124" i="1"/>
  <c r="BO124" i="1"/>
  <c r="BK108" i="1"/>
  <c r="BJ108" i="1"/>
  <c r="BH108" i="1"/>
  <c r="BK107" i="1"/>
  <c r="BJ107" i="1"/>
  <c r="BH107" i="1"/>
  <c r="BK106" i="1"/>
  <c r="BJ106" i="1"/>
  <c r="BH106" i="1"/>
  <c r="BK105" i="1"/>
  <c r="BJ105" i="1"/>
  <c r="BH105" i="1"/>
  <c r="BK104" i="1"/>
  <c r="BJ104" i="1"/>
  <c r="BH104" i="1"/>
  <c r="BN108" i="1"/>
  <c r="BN107" i="1"/>
  <c r="BN106" i="1"/>
  <c r="BN105" i="1"/>
  <c r="BN104" i="1"/>
  <c r="BM108" i="1"/>
  <c r="BM107" i="1"/>
  <c r="BM106" i="1"/>
  <c r="BM105" i="1"/>
  <c r="BM104" i="1"/>
  <c r="BO108" i="1"/>
  <c r="BO107" i="1"/>
  <c r="BO106" i="1"/>
  <c r="BO105" i="1"/>
  <c r="BO104" i="1"/>
  <c r="BK111" i="1"/>
  <c r="BJ111" i="1"/>
  <c r="BH111" i="1"/>
  <c r="BK110" i="1"/>
  <c r="BJ110" i="1"/>
  <c r="BH110" i="1"/>
  <c r="BK109" i="1"/>
  <c r="BJ109" i="1"/>
  <c r="BH109" i="1"/>
  <c r="BN111" i="1"/>
  <c r="BN110" i="1"/>
  <c r="BN109" i="1"/>
  <c r="BM111" i="1"/>
  <c r="BM110" i="1"/>
  <c r="BM109" i="1"/>
  <c r="BO111" i="1"/>
  <c r="BO110" i="1"/>
  <c r="BO109" i="1"/>
  <c r="BK113" i="1"/>
  <c r="BJ113" i="1"/>
  <c r="BH113" i="1"/>
  <c r="BK112" i="1"/>
  <c r="BJ112" i="1"/>
  <c r="BH112" i="1"/>
  <c r="BN113" i="1"/>
  <c r="BN112" i="1"/>
  <c r="BM114" i="1"/>
  <c r="BM113" i="1"/>
  <c r="BM112" i="1"/>
  <c r="BO113" i="1"/>
  <c r="BO112" i="1"/>
  <c r="BK114" i="1"/>
  <c r="BJ114" i="1"/>
  <c r="BH114" i="1"/>
  <c r="BN114" i="1"/>
  <c r="BO114" i="1"/>
  <c r="BK94" i="1"/>
  <c r="BJ94" i="1"/>
  <c r="BH94" i="1"/>
  <c r="BN94" i="1"/>
  <c r="BM95" i="1"/>
  <c r="BM94" i="1"/>
  <c r="BO94" i="1"/>
  <c r="BK95" i="1"/>
  <c r="BJ95" i="1"/>
  <c r="BH95" i="1"/>
  <c r="BN95" i="1"/>
  <c r="BO95" i="1"/>
  <c r="BH82" i="1"/>
  <c r="BJ82" i="1"/>
  <c r="BK82" i="1"/>
  <c r="BH83" i="1"/>
  <c r="BJ83" i="1"/>
  <c r="BK83" i="1"/>
  <c r="BH84" i="1"/>
  <c r="BJ84" i="1"/>
  <c r="BK84" i="1"/>
  <c r="BH85" i="1"/>
  <c r="BJ85" i="1"/>
  <c r="BK85" i="1"/>
  <c r="BH86" i="1"/>
  <c r="BJ86" i="1"/>
  <c r="BK86" i="1"/>
  <c r="BH87" i="1"/>
  <c r="BJ87" i="1"/>
  <c r="BK87" i="1"/>
  <c r="BH88" i="1"/>
  <c r="BJ88" i="1"/>
  <c r="BK88" i="1"/>
  <c r="BH89" i="1"/>
  <c r="BJ89" i="1"/>
  <c r="BK89" i="1"/>
  <c r="BH90" i="1"/>
  <c r="BJ90" i="1"/>
  <c r="BK90" i="1"/>
  <c r="BH91" i="1"/>
  <c r="BJ91" i="1"/>
  <c r="BK91" i="1"/>
  <c r="BH92" i="1"/>
  <c r="BJ92" i="1"/>
  <c r="BK92" i="1"/>
  <c r="BH93" i="1"/>
  <c r="BJ93" i="1"/>
  <c r="BK93" i="1"/>
  <c r="BH96" i="1"/>
  <c r="BJ96" i="1"/>
  <c r="BK96" i="1"/>
  <c r="BH97" i="1"/>
  <c r="BJ97" i="1"/>
  <c r="BK97" i="1"/>
  <c r="BH98" i="1"/>
  <c r="BJ98" i="1"/>
  <c r="BK98" i="1"/>
  <c r="BH99" i="1"/>
  <c r="BJ99" i="1"/>
  <c r="BK99" i="1"/>
  <c r="BN82" i="1"/>
  <c r="BN83" i="1"/>
  <c r="BN84" i="1"/>
  <c r="BN85" i="1"/>
  <c r="BN86" i="1"/>
  <c r="BN87" i="1"/>
  <c r="BN88" i="1"/>
  <c r="BN89" i="1"/>
  <c r="BN90" i="1"/>
  <c r="BN91" i="1"/>
  <c r="BN92" i="1"/>
  <c r="BN93" i="1"/>
  <c r="BN96" i="1"/>
  <c r="BN97" i="1"/>
  <c r="BN98" i="1"/>
  <c r="BN99" i="1"/>
  <c r="BM82" i="1"/>
  <c r="BM83" i="1"/>
  <c r="BM84" i="1"/>
  <c r="BM85" i="1"/>
  <c r="BM86" i="1"/>
  <c r="BM87" i="1"/>
  <c r="BM88" i="1"/>
  <c r="BM89" i="1"/>
  <c r="BM90" i="1"/>
  <c r="BM91" i="1"/>
  <c r="BM92" i="1"/>
  <c r="BM93" i="1"/>
  <c r="BM96" i="1"/>
  <c r="BM97" i="1"/>
  <c r="BM98" i="1"/>
  <c r="BM99" i="1"/>
  <c r="BO82" i="1"/>
  <c r="BO83" i="1"/>
  <c r="BO84" i="1"/>
  <c r="BO85" i="1"/>
  <c r="BO86" i="1"/>
  <c r="BO87" i="1"/>
  <c r="BO88" i="1"/>
  <c r="BO89" i="1"/>
  <c r="BO90" i="1"/>
  <c r="BO91" i="1"/>
  <c r="BO92" i="1"/>
  <c r="BO93" i="1"/>
  <c r="BO96" i="1"/>
  <c r="BO97" i="1"/>
  <c r="BO98" i="1"/>
  <c r="BO99" i="1"/>
  <c r="BK100" i="1"/>
  <c r="BJ100" i="1"/>
  <c r="BH100" i="1"/>
  <c r="BK81" i="1"/>
  <c r="BJ81" i="1"/>
  <c r="BH81" i="1"/>
  <c r="BK80" i="1"/>
  <c r="BJ80" i="1"/>
  <c r="BH80" i="1"/>
  <c r="BK79" i="1"/>
  <c r="BJ79" i="1"/>
  <c r="BH79" i="1"/>
  <c r="BN100" i="1"/>
  <c r="BN81" i="1"/>
  <c r="BN80" i="1"/>
  <c r="BN79" i="1"/>
  <c r="BM100" i="1"/>
  <c r="BM81" i="1"/>
  <c r="BM80" i="1"/>
  <c r="BM79" i="1"/>
  <c r="BO100" i="1"/>
  <c r="BO81" i="1"/>
  <c r="BO80" i="1"/>
  <c r="BO79" i="1"/>
  <c r="BK77" i="1"/>
  <c r="BJ77" i="1"/>
  <c r="BH77" i="1"/>
  <c r="BK76" i="1"/>
  <c r="BJ76" i="1"/>
  <c r="BH76" i="1"/>
  <c r="BK75" i="1"/>
  <c r="BJ75" i="1"/>
  <c r="BH75" i="1"/>
  <c r="BK74" i="1"/>
  <c r="BJ74" i="1"/>
  <c r="BH74" i="1"/>
  <c r="BK73" i="1"/>
  <c r="BJ73" i="1"/>
  <c r="BH73" i="1"/>
  <c r="BK72" i="1"/>
  <c r="BJ72" i="1"/>
  <c r="BH72" i="1"/>
  <c r="BN77" i="1"/>
  <c r="BN76" i="1"/>
  <c r="BN75" i="1"/>
  <c r="BN74" i="1"/>
  <c r="BN73" i="1"/>
  <c r="BN72" i="1"/>
  <c r="BM77" i="1"/>
  <c r="BM76" i="1"/>
  <c r="BM75" i="1"/>
  <c r="BM74" i="1"/>
  <c r="BM73" i="1"/>
  <c r="BM72" i="1"/>
  <c r="BO77" i="1"/>
  <c r="BO76" i="1"/>
  <c r="BO75" i="1"/>
  <c r="BO74" i="1"/>
  <c r="BO73" i="1"/>
  <c r="BO72" i="1"/>
  <c r="BK103" i="1"/>
  <c r="BJ103" i="1"/>
  <c r="BH103" i="1"/>
  <c r="BK102" i="1"/>
  <c r="BJ102" i="1"/>
  <c r="BH102" i="1"/>
  <c r="BK101" i="1"/>
  <c r="BJ101" i="1"/>
  <c r="BH101" i="1"/>
  <c r="BK78" i="1"/>
  <c r="BJ78" i="1"/>
  <c r="BH78" i="1"/>
  <c r="BN103" i="1"/>
  <c r="BN102" i="1"/>
  <c r="BN101" i="1"/>
  <c r="BN78" i="1"/>
  <c r="BM103" i="1"/>
  <c r="BM102" i="1"/>
  <c r="BM101" i="1"/>
  <c r="BM78" i="1"/>
  <c r="BO103" i="1"/>
  <c r="BO102" i="1"/>
  <c r="BO101" i="1"/>
  <c r="BO78" i="1"/>
  <c r="BJ69" i="1"/>
  <c r="BK69" i="1"/>
  <c r="BH69" i="1"/>
  <c r="BN69" i="1"/>
  <c r="BM69" i="1"/>
  <c r="BO69" i="1"/>
  <c r="BK133" i="1"/>
  <c r="BJ133" i="1"/>
  <c r="BH133" i="1"/>
  <c r="BK132" i="1"/>
  <c r="BJ132" i="1"/>
  <c r="BH132" i="1"/>
  <c r="BK131" i="1"/>
  <c r="BJ131" i="1"/>
  <c r="BH131" i="1"/>
  <c r="BK71" i="1"/>
  <c r="BJ71" i="1"/>
  <c r="BH71" i="1"/>
  <c r="BK70" i="1"/>
  <c r="BJ70" i="1"/>
  <c r="BH70" i="1"/>
  <c r="BN133" i="1"/>
  <c r="BN132" i="1"/>
  <c r="BN131" i="1"/>
  <c r="BN71" i="1"/>
  <c r="BN70" i="1"/>
  <c r="BM133" i="1"/>
  <c r="BM132" i="1"/>
  <c r="BM131" i="1"/>
  <c r="BM71" i="1"/>
  <c r="BM70" i="1"/>
  <c r="BO133" i="1"/>
  <c r="BO132" i="1"/>
  <c r="BO131" i="1"/>
  <c r="BO71" i="1"/>
  <c r="BO70" i="1"/>
  <c r="BK135" i="1"/>
  <c r="BJ135" i="1"/>
  <c r="BH135" i="1"/>
  <c r="BK134" i="1"/>
  <c r="BJ134" i="1"/>
  <c r="BH134" i="1"/>
  <c r="BN135" i="1"/>
  <c r="BN134" i="1"/>
  <c r="BM135" i="1"/>
  <c r="BM134" i="1"/>
  <c r="BO135" i="1"/>
  <c r="BO134" i="1"/>
  <c r="BK141" i="1"/>
  <c r="BJ141" i="1"/>
  <c r="BH141" i="1"/>
  <c r="BK140" i="1"/>
  <c r="BJ140" i="1"/>
  <c r="BH140" i="1"/>
  <c r="BN141" i="1"/>
  <c r="BN140" i="1"/>
  <c r="BM141" i="1"/>
  <c r="BM140" i="1"/>
  <c r="BO141" i="1"/>
  <c r="BO140" i="1"/>
  <c r="BH138" i="1"/>
  <c r="BH139" i="1"/>
  <c r="BH137" i="1"/>
  <c r="BN4" i="1"/>
  <c r="BN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136" i="1"/>
  <c r="BN137" i="1"/>
  <c r="BN138" i="1"/>
  <c r="BN139" i="1"/>
  <c r="BN3" i="1"/>
  <c r="BM64" i="1"/>
  <c r="BM65" i="1"/>
  <c r="BM66" i="1"/>
  <c r="BM67" i="1"/>
  <c r="BM68" i="1"/>
  <c r="BM136" i="1"/>
  <c r="BM137" i="1"/>
  <c r="BM138" i="1"/>
  <c r="BM139"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136" i="1"/>
  <c r="BO137" i="1"/>
  <c r="BO138" i="1"/>
  <c r="BO139"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136" i="1"/>
  <c r="BK137" i="1"/>
  <c r="BK138" i="1"/>
  <c r="BK139" i="1"/>
  <c r="BK3"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3" i="1"/>
  <c r="BH3" i="1"/>
  <c r="BJ55" i="1"/>
  <c r="BJ56" i="1"/>
  <c r="BJ57" i="1"/>
  <c r="BJ58" i="1"/>
  <c r="BJ59" i="1"/>
  <c r="BJ60" i="1"/>
  <c r="BJ61" i="1"/>
  <c r="BJ62" i="1"/>
  <c r="BJ63" i="1"/>
  <c r="BJ64" i="1"/>
  <c r="BJ65" i="1"/>
  <c r="BJ66" i="1"/>
  <c r="BJ67" i="1"/>
  <c r="BJ68" i="1"/>
  <c r="BJ136" i="1"/>
  <c r="BJ137" i="1"/>
  <c r="BJ138" i="1"/>
  <c r="BJ139" i="1"/>
  <c r="BH64" i="1"/>
  <c r="BH63" i="1"/>
  <c r="BH62" i="1"/>
  <c r="BH61" i="1"/>
  <c r="BH60" i="1"/>
  <c r="BH59" i="1"/>
  <c r="BH58" i="1"/>
  <c r="BH68" i="1"/>
  <c r="BH67" i="1"/>
  <c r="BH66" i="1"/>
  <c r="BH65" i="1"/>
  <c r="BH136" i="1"/>
  <c r="BH52" i="1"/>
  <c r="BH51" i="1"/>
  <c r="BH50" i="1"/>
  <c r="BH49" i="1"/>
  <c r="BH48" i="1"/>
  <c r="BH47" i="1"/>
  <c r="BH46" i="1"/>
  <c r="BH45" i="1"/>
  <c r="BH56" i="1"/>
  <c r="BH55" i="1"/>
  <c r="BH54" i="1"/>
  <c r="BH53" i="1"/>
  <c r="BH57" i="1"/>
  <c r="BH44" i="1"/>
  <c r="BH42" i="1"/>
  <c r="BH41" i="1"/>
  <c r="BH40" i="1"/>
  <c r="BH39" i="1"/>
  <c r="BH38" i="1"/>
  <c r="BH37" i="1"/>
  <c r="BH36" i="1"/>
  <c r="BH35" i="1"/>
  <c r="BH43" i="1"/>
  <c r="BH34" i="1"/>
  <c r="BH33" i="1"/>
  <c r="BH29" i="1"/>
  <c r="BH28" i="1"/>
  <c r="BH27" i="1"/>
  <c r="BH26" i="1"/>
  <c r="BH25" i="1"/>
  <c r="BH31" i="1"/>
  <c r="BH30" i="1"/>
  <c r="BH24" i="1"/>
  <c r="BH23" i="1"/>
  <c r="BH32" i="1"/>
  <c r="BH17" i="1"/>
  <c r="BH18" i="1"/>
  <c r="BH19" i="1"/>
  <c r="BH20" i="1"/>
  <c r="BH21" i="1"/>
  <c r="BH16" i="1"/>
  <c r="BH15" i="1"/>
  <c r="BH22" i="1"/>
  <c r="BH5" i="1"/>
  <c r="BH6" i="1"/>
  <c r="BH7" i="1"/>
  <c r="BH8" i="1"/>
  <c r="BH9" i="1"/>
  <c r="BH10" i="1"/>
  <c r="BH11" i="1"/>
  <c r="BH12" i="1"/>
  <c r="BH13" i="1"/>
  <c r="BH14" i="1"/>
  <c r="BH4" i="1"/>
  <c r="BU997" i="1"/>
  <c r="BV896" i="1" l="1"/>
  <c r="BV997" i="1"/>
  <c r="BU896" i="1"/>
  <c r="BR896" i="1"/>
  <c r="BR99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<sst xmlns="http://schemas.openxmlformats.org/spreadsheetml/2006/main" count="10962" uniqueCount="3492">
  <si>
    <t xml:space="preserve">                           EVENT</t>
  </si>
  <si>
    <t xml:space="preserve">PRESENT   </t>
  </si>
  <si>
    <t>EXP</t>
  </si>
  <si>
    <t>D/H</t>
  </si>
  <si>
    <t>TRIGGER</t>
  </si>
  <si>
    <t>ORDER</t>
  </si>
  <si>
    <t>SETUP</t>
  </si>
  <si>
    <t>GAME PLAY</t>
  </si>
  <si>
    <t>RESULTS</t>
  </si>
  <si>
    <t>OBSERVATIONS</t>
  </si>
  <si>
    <t>DIFFERENT PERSPECTIVE</t>
  </si>
  <si>
    <t>RISK MANAGEMENT / STRATEGY UPDATES</t>
  </si>
  <si>
    <t>STATISTICAL ANALYSIS</t>
  </si>
  <si>
    <t>MONTH</t>
  </si>
  <si>
    <t>DATE2</t>
  </si>
  <si>
    <t>entry time</t>
  </si>
  <si>
    <t>DAY</t>
  </si>
  <si>
    <t>MAJOR EVENT</t>
  </si>
  <si>
    <t>ACTION</t>
  </si>
  <si>
    <t xml:space="preserve">CONTRACT </t>
  </si>
  <si>
    <t>A</t>
  </si>
  <si>
    <t>E</t>
  </si>
  <si>
    <t>B</t>
  </si>
  <si>
    <t>REACTIVE | response to price action</t>
  </si>
  <si>
    <t>PROACTIVE  | expectations after consideration</t>
  </si>
  <si>
    <t>SIGNALS  | technical indicators/models</t>
  </si>
  <si>
    <t>CODE</t>
  </si>
  <si>
    <t>CODE2</t>
  </si>
  <si>
    <t>O,S,F</t>
  </si>
  <si>
    <t>E QTY</t>
  </si>
  <si>
    <t>X QTY</t>
  </si>
  <si>
    <t>MAX SHOT</t>
  </si>
  <si>
    <t>B/S</t>
  </si>
  <si>
    <t>P,I</t>
  </si>
  <si>
    <t>UD,D,B,A,UA</t>
  </si>
  <si>
    <t>MS,F</t>
  </si>
  <si>
    <t>TICK SIZE</t>
  </si>
  <si>
    <t>MIN TICK VALUE ADJUSTED</t>
  </si>
  <si>
    <t>TECHNICAL</t>
  </si>
  <si>
    <t>FUNDAMENTAL</t>
  </si>
  <si>
    <t>CURVES</t>
  </si>
  <si>
    <t>ENTRY</t>
  </si>
  <si>
    <t>ENTRY LOGIC</t>
  </si>
  <si>
    <t>STOPLOSS</t>
  </si>
  <si>
    <t>STOPLOSS LOGIC</t>
  </si>
  <si>
    <t>PLANNED EXIT</t>
  </si>
  <si>
    <t>PLANNED EXIT LOGIC</t>
  </si>
  <si>
    <t>BACKUP PLAN</t>
  </si>
  <si>
    <t>WORST CASE REWARD/RISK</t>
  </si>
  <si>
    <t>WORST CASE LOSS/LOT</t>
  </si>
  <si>
    <t>WORST CASE LOSS</t>
  </si>
  <si>
    <t>PLANNED DURATION</t>
  </si>
  <si>
    <t>DURATION LOGIC</t>
  </si>
  <si>
    <t xml:space="preserve">DURATION </t>
  </si>
  <si>
    <t>(M/H/D/W) | W - &gt; DAYS</t>
  </si>
  <si>
    <t>exit date/time</t>
  </si>
  <si>
    <t>EXIT</t>
  </si>
  <si>
    <t>PNL (PRICE)</t>
  </si>
  <si>
    <t>TOTAL PROFIT</t>
  </si>
  <si>
    <t>PNL ($) SINGLE ORDER</t>
  </si>
  <si>
    <t>W/L</t>
  </si>
  <si>
    <t>REMARKS 1</t>
  </si>
  <si>
    <t>REMARKS 2</t>
  </si>
  <si>
    <t>REMARKS 3</t>
  </si>
  <si>
    <t>PERSPECTIVE 1</t>
  </si>
  <si>
    <t>PERSPECTIVE 2</t>
  </si>
  <si>
    <t>PERSPECTIVE 3</t>
  </si>
  <si>
    <t>REMARKS 4</t>
  </si>
  <si>
    <t>REMARKS 5</t>
  </si>
  <si>
    <t>REMARKS 6</t>
  </si>
  <si>
    <t>ROLLING PnL2</t>
  </si>
  <si>
    <t>ROLLING PnL</t>
  </si>
  <si>
    <t>rolling sum of FLY TRADES</t>
  </si>
  <si>
    <t>ROLLING SUM OF SPDS</t>
  </si>
  <si>
    <t>ROLLING SUM W</t>
  </si>
  <si>
    <t>ROLLING SUM R</t>
  </si>
  <si>
    <t>M RS</t>
  </si>
  <si>
    <t>H RS</t>
  </si>
  <si>
    <t>D RS</t>
  </si>
  <si>
    <t>W RS</t>
  </si>
  <si>
    <t>Outright RS</t>
  </si>
  <si>
    <t>T RS</t>
  </si>
  <si>
    <t>F RS</t>
  </si>
  <si>
    <t>C RS</t>
  </si>
  <si>
    <t>TF RS</t>
  </si>
  <si>
    <t>TC RS</t>
  </si>
  <si>
    <t>FC RS</t>
  </si>
  <si>
    <t>RS F PNL/LOT</t>
  </si>
  <si>
    <t>RS S PNL/LOT</t>
  </si>
  <si>
    <t>RS O PNL/LOT</t>
  </si>
  <si>
    <t>Q1 NEW MARKETS ACCESS + OBS + SETUP EXTEND HORIZONTALLY</t>
  </si>
  <si>
    <t>Q2 TRIP + BREAK MINI + GET BACK IN GAME</t>
  </si>
  <si>
    <t>Q3 PUSH W DISCIPLINE</t>
  </si>
  <si>
    <t>Q4 ENDGAME</t>
  </si>
  <si>
    <t>TRY COMPOUNDING 10K WITH -1.5K PER MONTH (OR STATE) DEPOSIT AND WITH THE SAME WIN RATE; BY 6 MONTH 100K AND BY 8 MONTH 300K | but limits will be reached so need to be careful at some point</t>
  </si>
  <si>
    <t xml:space="preserve"> </t>
  </si>
  <si>
    <t>JAN.24</t>
  </si>
  <si>
    <t>630am</t>
  </si>
  <si>
    <t>TUE</t>
  </si>
  <si>
    <t>M24 SPD</t>
  </si>
  <si>
    <t>IR</t>
  </si>
  <si>
    <t>W</t>
  </si>
  <si>
    <t>S</t>
  </si>
  <si>
    <t>ranged (maybe)</t>
  </si>
  <si>
    <t>3h</t>
  </si>
  <si>
    <t>950am, 111AM</t>
  </si>
  <si>
    <t>715AM, 840PM</t>
  </si>
  <si>
    <t>THU</t>
  </si>
  <si>
    <t>J25 FLY</t>
  </si>
  <si>
    <t>THU US CPI</t>
  </si>
  <si>
    <t>430pm</t>
  </si>
  <si>
    <t>J24 SPD</t>
  </si>
  <si>
    <t>855pm</t>
  </si>
  <si>
    <t>S25 SPD</t>
  </si>
  <si>
    <t>4AM</t>
  </si>
  <si>
    <t>FRI</t>
  </si>
  <si>
    <t>J24 FLY</t>
  </si>
  <si>
    <t>WORLD CURVE HAS THE 3RD SPD HIGHER SO AT LEAST FLY STRUCTURE WISE SHOULD BE NEGATIVE IN LONG RUN</t>
  </si>
  <si>
    <t>&lt;=-2</t>
  </si>
  <si>
    <t>15H</t>
  </si>
  <si>
    <t>727PM</t>
  </si>
  <si>
    <t>L</t>
  </si>
  <si>
    <t>WRONG CALL | WORLD CURVES FLY GOING UP | DIRECTION OPPOSITE</t>
  </si>
  <si>
    <t>S24 -11 S (CAN BE SCRATCHED) -11 for 1, -10 for 0</t>
  </si>
  <si>
    <t>533am</t>
  </si>
  <si>
    <t>J25 FLY (1)</t>
  </si>
  <si>
    <t>R</t>
  </si>
  <si>
    <t>F</t>
  </si>
  <si>
    <t>RANGED</t>
  </si>
  <si>
    <t>3W, 4W</t>
  </si>
  <si>
    <t>24 JAN, 830PM, 29 JAN 823AM, 30 JAN EVENT</t>
  </si>
  <si>
    <t xml:space="preserve">EXIT NEXT WEEK START FRESH </t>
  </si>
  <si>
    <t>tried after event</t>
  </si>
  <si>
    <t>EXIT VIA ASE OF 1 SPD AND CALENDAR OF OTHER</t>
  </si>
  <si>
    <t>305pm</t>
  </si>
  <si>
    <t>Scalping? maybe</t>
  </si>
  <si>
    <t>3H</t>
  </si>
  <si>
    <t>634pm</t>
  </si>
  <si>
    <t>NO SPDS BEFORE EVENT</t>
  </si>
  <si>
    <t>7PM</t>
  </si>
  <si>
    <t>NFP (P190K -&gt; 173K F170K A216K)</t>
  </si>
  <si>
    <t>1ST 3 SPDS WENT UP, XT WENT DOWN AND RETRACED A BIT</t>
  </si>
  <si>
    <t>H</t>
  </si>
  <si>
    <t>NO HIKES BUT ALSO NO CUTS IN MAR</t>
  </si>
  <si>
    <t>HIGHER FOR LONGER</t>
  </si>
  <si>
    <t>strong labour mkt = fed wont cut sooner or intensely</t>
  </si>
  <si>
    <t>UE (P3.7% A3.8% A3.7%)</t>
  </si>
  <si>
    <t>EVENT</t>
  </si>
  <si>
    <t>VAR 5 (BUT WITH 1 SKIP)</t>
  </si>
  <si>
    <t>35M, 50M</t>
  </si>
  <si>
    <t>735PM, 750PM</t>
  </si>
  <si>
    <t>AOTC | LUCK 100</t>
  </si>
  <si>
    <t>830PM</t>
  </si>
  <si>
    <t>ISM MFG PMI (P52.7 F52.6 A50.6)</t>
  </si>
  <si>
    <t>SPDS CAME DOWN LOWER THAN OPEN, XT WENT UP</t>
  </si>
  <si>
    <t>D</t>
  </si>
  <si>
    <t>Markets keen to react more on dovish developments rather than any hawkish developments</t>
  </si>
  <si>
    <t>Perfect example on today's ISM Services vs Strong NFP Numbers</t>
  </si>
  <si>
    <t>ISM NMFG PMI (P58 F57.3 A 57.4)</t>
  </si>
  <si>
    <t>MORE REACTIVE TO DOVISH NEWS</t>
  </si>
  <si>
    <t>ONLY 1st 3 spds are traded, &amp; bonds</t>
  </si>
  <si>
    <t>bonds green are more powerful</t>
  </si>
  <si>
    <t>SHORTING FRONT SPDS BETTER</t>
  </si>
  <si>
    <t>847PM</t>
  </si>
  <si>
    <t xml:space="preserve">VAR 5 </t>
  </si>
  <si>
    <t>1h</t>
  </si>
  <si>
    <t>930pm</t>
  </si>
  <si>
    <t>until CPI no positional</t>
  </si>
  <si>
    <t>no outrights as mkts confused so 1 lot and short frame (minutes)</t>
  </si>
  <si>
    <t>PA / LG . W 22, R 45 MAX 2 SHOTS EACH AS PER MKTS | BACKUP HEDGED FLY/DEFLY</t>
  </si>
  <si>
    <t>D SCALP (ONLY BELLY AND BACK) 20-33 ANY CONTRACT AS PER MKT</t>
  </si>
  <si>
    <t>RANGED R45 W21</t>
  </si>
  <si>
    <t>front spd min 20 max 33 | fly 45 . back spd 33-53 SPD FLY BOTH</t>
  </si>
  <si>
    <t xml:space="preserve">8,10,16 . 10,12,16 . 10,16,21 . 10,16,21 </t>
  </si>
  <si>
    <t>D20,B33,A45 FOR 3 in multiples of 2 with one of them hedged</t>
  </si>
  <si>
    <t>350pm</t>
  </si>
  <si>
    <t>MON</t>
  </si>
  <si>
    <t>Scalping</t>
  </si>
  <si>
    <t>15h</t>
  </si>
  <si>
    <t>6am</t>
  </si>
  <si>
    <t>345pm</t>
  </si>
  <si>
    <t>D24 SPD</t>
  </si>
  <si>
    <t>CUTS MIGHT BE EVENLY SPREAD SO TOWARDS 0</t>
  </si>
  <si>
    <t>2d</t>
  </si>
  <si>
    <t>10 jan 558am</t>
  </si>
  <si>
    <t>RETAIL SALES (P-0.4% F1.2% A2%)</t>
  </si>
  <si>
    <t>WED</t>
  </si>
  <si>
    <t>CPI (P4.9% F4.4% A4.3%)</t>
  </si>
  <si>
    <t>US CPI THU | AVOID A IN 1ST 2 SPDS</t>
  </si>
  <si>
    <t>SCALP B BELLY AND BACKS</t>
  </si>
  <si>
    <t xml:space="preserve">REAL ESTATE </t>
  </si>
  <si>
    <t>TREND WILL STAY BULLISH | LONG BONDS | CUTS SOON | IF BIGGER JUMP</t>
  </si>
  <si>
    <t>A HIGHER PRINT SHOULD NOT SCARE BUT IF ITS BIG TEMPORARY MOMENTUM</t>
  </si>
  <si>
    <t>ALL IN ALL DOVISH TREND | BULLISH BONDS BUT HIGHER THAN AVG PRINT WILL CREATE A TEMP MOMENTUM</t>
  </si>
  <si>
    <t>7AM</t>
  </si>
  <si>
    <t>XT MAR24</t>
  </si>
  <si>
    <t>XT</t>
  </si>
  <si>
    <t>BONDS</t>
  </si>
  <si>
    <t>O</t>
  </si>
  <si>
    <t xml:space="preserve">SZ </t>
  </si>
  <si>
    <t>CUTS | XT UP</t>
  </si>
  <si>
    <t>28M</t>
  </si>
  <si>
    <t>728am</t>
  </si>
  <si>
    <t>TT STOP W OCO</t>
  </si>
  <si>
    <t>too much time + move did not come</t>
  </si>
  <si>
    <t>BOJ ready; waiting for econoic data push</t>
  </si>
  <si>
    <t>APRIL . HIKE BY BOJ | MAR, APR, MAY bets</t>
  </si>
  <si>
    <t>Ranged / dead state -&gt; trnding expected</t>
  </si>
  <si>
    <t>favorable trades - momentum, next state range bound, ghost favoring cuts in belly, rangebound entry in nxt state</t>
  </si>
  <si>
    <t>7pm</t>
  </si>
  <si>
    <t>CORE CPI MOM (DEC) (P0.3% F0.3% A0.3%)</t>
  </si>
  <si>
    <t>TUE CAD CPI</t>
  </si>
  <si>
    <t>WED CHINA GDP, EZ CPI, US retail sales</t>
  </si>
  <si>
    <t>THU AUD labour, US philly fed</t>
  </si>
  <si>
    <t>CPI MOM (DEC) (P0.1% F0.2% A0.3%)</t>
  </si>
  <si>
    <t>CPI YOY (P3.1% F3.2% A3.4%)</t>
  </si>
  <si>
    <t>FRI YAAY TRADES</t>
  </si>
  <si>
    <t>627PM</t>
  </si>
  <si>
    <t>30M</t>
  </si>
  <si>
    <t>710PM</t>
  </si>
  <si>
    <t>RET in aus</t>
  </si>
  <si>
    <t xml:space="preserve">CUTS STILL MIGHT BE SOONER </t>
  </si>
  <si>
    <t>6H</t>
  </si>
  <si>
    <t>120AM</t>
  </si>
  <si>
    <t>722PM</t>
  </si>
  <si>
    <t xml:space="preserve">Cuts in long run </t>
  </si>
  <si>
    <t>4H</t>
  </si>
  <si>
    <t>S24 SPD</t>
  </si>
  <si>
    <t>var</t>
  </si>
  <si>
    <t>330am</t>
  </si>
  <si>
    <t xml:space="preserve">not in same session + world curves going down </t>
  </si>
  <si>
    <t>exit</t>
  </si>
  <si>
    <t>324am</t>
  </si>
  <si>
    <t>20M</t>
  </si>
  <si>
    <t>347am</t>
  </si>
  <si>
    <t>810am</t>
  </si>
  <si>
    <t>M24 6M SPD</t>
  </si>
  <si>
    <t>converted to m24 s as more chance of going lower and better rr</t>
  </si>
  <si>
    <t>conv by buying j24 spd</t>
  </si>
  <si>
    <t>544PM</t>
  </si>
  <si>
    <t>M24 FLY</t>
  </si>
  <si>
    <t>2 some, 0 all -&gt; 2,3 some</t>
  </si>
  <si>
    <t>US PPI MOM (DEC) (P-0.1% F0.1% A-0.1%)</t>
  </si>
  <si>
    <t>18 should be min (belly, backs)</t>
  </si>
  <si>
    <t>25 min (flies any)</t>
  </si>
  <si>
    <t>36 hedged, combos</t>
  </si>
  <si>
    <t>-14 -&gt; -12</t>
  </si>
  <si>
    <t>2D</t>
  </si>
  <si>
    <t>843pm, 15 jan 705am, 16 JAN 956AM</t>
  </si>
  <si>
    <t>RED SEA FEARS</t>
  </si>
  <si>
    <t>MIGHT GET BETTER PRICE + ALREADY FLY EXPOSURE THERE SO ENOUGH IN M24 SPD</t>
  </si>
  <si>
    <t xml:space="preserve">REDUCING EXPOSURE </t>
  </si>
  <si>
    <t>OPPORTUNITY COST PREVENT + HOLDING POWER IMPROVED</t>
  </si>
  <si>
    <t>time up</t>
  </si>
  <si>
    <t>9PM</t>
  </si>
  <si>
    <t>M25 FLY (1)</t>
  </si>
  <si>
    <t>ranged (-4,-5) to (-1,-2) | -4 sz</t>
  </si>
  <si>
    <t>defly m25</t>
  </si>
  <si>
    <t>-2, -3 | SHORT @ -1, 0</t>
  </si>
  <si>
    <t>4D</t>
  </si>
  <si>
    <t>16 JAN 837AM, 950am</t>
  </si>
  <si>
    <t>27 LEFT</t>
  </si>
  <si>
    <t>853pm</t>
  </si>
  <si>
    <t>RZ + scalp</t>
  </si>
  <si>
    <t>Fly exit</t>
  </si>
  <si>
    <t>3D</t>
  </si>
  <si>
    <t>17 JAN1017AM</t>
  </si>
  <si>
    <t>Scratchable (maybe)</t>
  </si>
  <si>
    <t>916pm</t>
  </si>
  <si>
    <t>D25 SPD</t>
  </si>
  <si>
    <t>VAR4</t>
  </si>
  <si>
    <t>8M</t>
  </si>
  <si>
    <t>924PM</t>
  </si>
  <si>
    <t>930PM</t>
  </si>
  <si>
    <t>AGGRESSIVE</t>
  </si>
  <si>
    <t>222PM</t>
  </si>
  <si>
    <t>M25 SPD</t>
  </si>
  <si>
    <t>Scalp</t>
  </si>
  <si>
    <t>fly scalp</t>
  </si>
  <si>
    <t>1d</t>
  </si>
  <si>
    <t>1006am</t>
  </si>
  <si>
    <t>4am</t>
  </si>
  <si>
    <t>SCALP</t>
  </si>
  <si>
    <t>20H</t>
  </si>
  <si>
    <t>935-PM1520AM</t>
  </si>
  <si>
    <t>NEVER GO AGGRESSIVE IN SCALP TRADES AT FRONT | ONLY GO AT LAGGING ONES / VAR PARTIAL EXITS / BACKS</t>
  </si>
  <si>
    <t>835AM</t>
  </si>
  <si>
    <t>3S10S</t>
  </si>
  <si>
    <t>YT-XT</t>
  </si>
  <si>
    <t>RZ</t>
  </si>
  <si>
    <t>YIELD CURVE TOWARDS INVERSION</t>
  </si>
  <si>
    <t>12pm, 17 jan 430am</t>
  </si>
  <si>
    <t>MINIMIZE LOSSES</t>
  </si>
  <si>
    <t>945am</t>
  </si>
  <si>
    <t>115pm</t>
  </si>
  <si>
    <t>J25 SPD</t>
  </si>
  <si>
    <t>FLY SCALP</t>
  </si>
  <si>
    <t>1D</t>
  </si>
  <si>
    <t>17 JAN 1140AM</t>
  </si>
  <si>
    <t>935pm</t>
  </si>
  <si>
    <t>SCALP + VAR 4</t>
  </si>
  <si>
    <t>1H</t>
  </si>
  <si>
    <t>1047pm</t>
  </si>
  <si>
    <t>wrong</t>
  </si>
  <si>
    <t>Fed’s Waller sees rate cuts this year, but nothing ‘rushed’</t>
  </si>
  <si>
    <t>WTH?! OUTTA NOWHERE</t>
  </si>
  <si>
    <t xml:space="preserve">even china (deflation) avoiding rate cuts! </t>
  </si>
  <si>
    <t>FRONT SPD WENT UP / XT WENT DOWN A LOT</t>
  </si>
  <si>
    <t>10pm</t>
  </si>
  <si>
    <t>DIFFERENTIAL SHOULD NOT GET TOO HIGH | near 0 (max 2)</t>
  </si>
  <si>
    <t>1W</t>
  </si>
  <si>
    <t>22 jan 12pm, 23 jan</t>
  </si>
  <si>
    <t>Most institutional fixed income investors are set to increase the levels of risk in their investments over the next year, a survey has found.</t>
  </si>
  <si>
    <t>Research from Aeon Investments revealed that 84% of those surveyed plan to increase levels of risk in 2024, with one in ten making a dramatic increase, compared to just 1% who will decrease levels of risk.</t>
  </si>
  <si>
    <t>Over the next three years, 38% of investors said they planned to make dramatic increases to their level of risk, while 44% will make slight increases.</t>
  </si>
  <si>
    <t>The survey also found that 88% of respondents said their portfolio will have a greater global allocation to fixed income over the next three years, with 35% increasing this dramatically.</t>
  </si>
  <si>
    <t>S25, J25 TED -2 TO -10</t>
  </si>
  <si>
    <t>M24 DEFLY</t>
  </si>
  <si>
    <t>RZ (4 TO 6)</t>
  </si>
  <si>
    <t>HIGHER FOR LONGER SHOULD FLATTEN  FROM THIS LEVEL</t>
  </si>
  <si>
    <t>UNTIL CYLCE STABILISES AND EXIT POSSIBLE NEAR 2</t>
  </si>
  <si>
    <t xml:space="preserve">0 WHITE TRADES </t>
  </si>
  <si>
    <t>UA ON BELLY AND BACKS FLY</t>
  </si>
  <si>
    <t>REALITY CHECK | RATE CUTS NOT AS SOON | HIGHER FOR LONGER</t>
  </si>
  <si>
    <t>FLAT BELLIES</t>
  </si>
  <si>
    <t>RANGE BOUND PLAY IN BELLY FLIES and REDS (UA)</t>
  </si>
  <si>
    <t>TIMEOUT | FULL TRIMESTER LOTS:</t>
  </si>
  <si>
    <t xml:space="preserve">BACKS 52, 52 </t>
  </si>
  <si>
    <t>BELLY 36, 36</t>
  </si>
  <si>
    <t>FRONTS 45, 45 FRONT SPD 22</t>
  </si>
  <si>
    <t>HEDGED FLIES MAX 104 (52,52)</t>
  </si>
  <si>
    <t>VAR MAX 90 (45,45)</t>
  </si>
  <si>
    <t>B - 25 FRONT AND BELLY . 36 R</t>
  </si>
  <si>
    <t>1140am</t>
  </si>
  <si>
    <t>18 jan 6am,1020am</t>
  </si>
  <si>
    <t>US RETAIL SALES MOM (P0.3% F0.4% A0.6%)</t>
  </si>
  <si>
    <t>XT WENT DOWN MOM BUT RETRACED 4 TICKS AFTER GOING DOWN 6 TICKS</t>
  </si>
  <si>
    <t>xt retraced 6 ticks from fade volume start</t>
  </si>
  <si>
    <t>AVOID 1 TICK TRADES</t>
  </si>
  <si>
    <t>854pm</t>
  </si>
  <si>
    <t>18 JAN 4AM</t>
  </si>
  <si>
    <t xml:space="preserve">FLIPPED WITH HUGE LOTS </t>
  </si>
  <si>
    <t>EVENT LATER ON | EMPTY GRID</t>
  </si>
  <si>
    <t>1040PM</t>
  </si>
  <si>
    <t>SCALP + VAR2</t>
  </si>
  <si>
    <t>5AM</t>
  </si>
  <si>
    <t>AUS UNEMP (P3.9% F3.9% A3.9%)</t>
  </si>
  <si>
    <t>AUS EMP CHANGE (P72K F17K A-65K)</t>
  </si>
  <si>
    <t>IR J25</t>
  </si>
  <si>
    <t>mn</t>
  </si>
  <si>
    <t>M</t>
  </si>
  <si>
    <t>630AM</t>
  </si>
  <si>
    <t>NO MOVE</t>
  </si>
  <si>
    <t>VAR 3 + SCALP</t>
  </si>
  <si>
    <t>FLY -2 FOR DEFLY</t>
  </si>
  <si>
    <t>18 jan 140pm</t>
  </si>
  <si>
    <t>NI</t>
  </si>
  <si>
    <t>scratch (S) if j24 -11 b and scratch j25 -10 / OR EXIT @ -12 IF POSISBLE</t>
  </si>
  <si>
    <t>RATE CUT ODDS DROPPING</t>
  </si>
  <si>
    <t xml:space="preserve">AVOID POSITIONALS </t>
  </si>
  <si>
    <t xml:space="preserve">RANGE BOUND + VAR (B) | INTRADAY ELSE SCRATCH FEW </t>
  </si>
  <si>
    <t>1018am</t>
  </si>
  <si>
    <t>S25 TED</t>
  </si>
  <si>
    <t>TED</t>
  </si>
  <si>
    <t>Range (-3,-2 to 2,3)</t>
  </si>
  <si>
    <t>17H</t>
  </si>
  <si>
    <t>19 jan 325am</t>
  </si>
  <si>
    <t>523AM</t>
  </si>
  <si>
    <t>RZ + SCALP</t>
  </si>
  <si>
    <t>1M</t>
  </si>
  <si>
    <t>524AM</t>
  </si>
  <si>
    <t>525AM</t>
  </si>
  <si>
    <t>22 jan 455am</t>
  </si>
  <si>
    <t>545am</t>
  </si>
  <si>
    <t>FLY @ -4</t>
  </si>
  <si>
    <t>958am</t>
  </si>
  <si>
    <t>602AM</t>
  </si>
  <si>
    <t>J25 TED</t>
  </si>
  <si>
    <t>Scalp (range -7 to -2)</t>
  </si>
  <si>
    <t>5H</t>
  </si>
  <si>
    <t>MKT CLOSE</t>
  </si>
  <si>
    <t>IMF TELLS RBA TO TIGHTEN FURTHER SO THAT INFLATION COMES UNDER CONTROL</t>
  </si>
  <si>
    <t>jpmc 75bp cuts this year</t>
  </si>
  <si>
    <t>LEGGED IN IR SO AVOID QUOTE ON YT</t>
  </si>
  <si>
    <t>ONLY CURVE TRADES AND PLAYS AROUND THEM</t>
  </si>
  <si>
    <t>FIND ONE TRADE IN THE REMAINING DAYS OF THE MONTH TO GO &gt;50 LOTS</t>
  </si>
  <si>
    <t xml:space="preserve">BE RESPONSIBLE </t>
  </si>
  <si>
    <t>110PM</t>
  </si>
  <si>
    <t>MID TED RANGEBOUND (-3 TO 2)</t>
  </si>
  <si>
    <t>22 JZAN 515AM</t>
  </si>
  <si>
    <t>QUOTE ON FASTER MOVING CONTRACT</t>
  </si>
  <si>
    <t>837PM</t>
  </si>
  <si>
    <t>J25 SPD -6 35 (FOR FLY EXIT OR SCALPING) | B -4 45 FOR SCALPING  ||| M25 -9 B 47 FOR FLY @ -4  ||| S24 SPD B -5 FOR FLY @ 0</t>
  </si>
  <si>
    <t>J25 SPD -6 35 (FOR FLY EXIT OR SCALPING) | B -4 45 FOR SCALPING</t>
  </si>
  <si>
    <t>M25 -9 B 47 FOR FLY @ -4</t>
  </si>
  <si>
    <t>S24 SPD B -5 FOR FLY @ 0</t>
  </si>
  <si>
    <t>exit 11 lots before 9pm</t>
  </si>
  <si>
    <t>11AM</t>
  </si>
  <si>
    <t>TUE BOJ FROM 8AM</t>
  </si>
  <si>
    <t>WED PMI, BOC</t>
  </si>
  <si>
    <t>THU ECB, US GDP</t>
  </si>
  <si>
    <t>BELLY 36 START</t>
  </si>
  <si>
    <t>COMBOS 50-70</t>
  </si>
  <si>
    <t>VAR HL 45,45</t>
  </si>
  <si>
    <t>248PM</t>
  </si>
  <si>
    <t>FLY EXIT</t>
  </si>
  <si>
    <t>8PM</t>
  </si>
  <si>
    <t>M25 FLY (1) -&gt; (2)</t>
  </si>
  <si>
    <t>(CS -&gt; CF)</t>
  </si>
  <si>
    <t>14H</t>
  </si>
  <si>
    <t>23 jan 1050am</t>
  </si>
  <si>
    <t xml:space="preserve">ENTRY FROM YT SIDE </t>
  </si>
  <si>
    <t>EXIT FROM IR SIDE</t>
  </si>
  <si>
    <t>: for teds; ALSO AVOID IN JUST THE OPENING AND CLOSING | there is a certain type of market for these trades, possibly after trend or a theme change | wait for a while let the market figure out the ranges and then attck big</t>
  </si>
  <si>
    <t>842 pm</t>
  </si>
  <si>
    <t>DEFLY EXIT</t>
  </si>
  <si>
    <t>23 jan 725am</t>
  </si>
  <si>
    <t>755M</t>
  </si>
  <si>
    <t>24 JAN 148PM</t>
  </si>
  <si>
    <t>INTRADAY</t>
  </si>
  <si>
    <t>815PM</t>
  </si>
  <si>
    <t>BOC UNCH (5%)</t>
  </si>
  <si>
    <t>12H</t>
  </si>
  <si>
    <t>24 JAN 739PM</t>
  </si>
  <si>
    <t>WEEKEND | OUT</t>
  </si>
  <si>
    <t xml:space="preserve">SHOULD USE ALGO NXT TIME | AS HUMAN ERROR </t>
  </si>
  <si>
    <t>845PM</t>
  </si>
  <si>
    <t>TRY TO GET OUT USING ASE J25 -6</t>
  </si>
  <si>
    <t>US GDP PRICE INDEX (QOQ Q4) (P3.3% F2.3% A1.5%)</t>
  </si>
  <si>
    <t xml:space="preserve">TOOK BET ON THIS DATA </t>
  </si>
  <si>
    <t>US GDP QOQ Q4 (P4.9% F2% A3.3%)</t>
  </si>
  <si>
    <t>ECONOMY IS GOOD NO NEED TO CUT -&gt; LESS CUTS -&gt; INT RATE UP -&gt; IR DOWN | BUT XT WENT UP</t>
  </si>
  <si>
    <t>7PM22S</t>
  </si>
  <si>
    <t>MOM + 1ST AVAILABLE DATA (GDP PRICE INDEX)</t>
  </si>
  <si>
    <t>11M</t>
  </si>
  <si>
    <t>711PM</t>
  </si>
  <si>
    <t>DYNAMIC TT STOP HIT (KEPT MOVING AND KEPT BELOW 2 TICKS FROM HIGHEST POINT)</t>
  </si>
  <si>
    <t>HITTING IN MOMENTUM AND USING TRAILING STOP</t>
  </si>
  <si>
    <t>448am</t>
  </si>
  <si>
    <t>725AM</t>
  </si>
  <si>
    <t>FAILED SPD EXIT &gt; TED SCRATCHABLE</t>
  </si>
  <si>
    <t>1042AM</t>
  </si>
  <si>
    <t>5 IN IR FOR SPDS</t>
  </si>
  <si>
    <t>LUCK100</t>
  </si>
  <si>
    <t>758am</t>
  </si>
  <si>
    <t>INTRADAY SCALPING</t>
  </si>
  <si>
    <t>23H</t>
  </si>
  <si>
    <t>30 JAN EVENT</t>
  </si>
  <si>
    <t>Exit thru 6m spd</t>
  </si>
  <si>
    <t>EXIT ON EVENT</t>
  </si>
  <si>
    <t>10am</t>
  </si>
  <si>
    <t>57M</t>
  </si>
  <si>
    <t>1057AM</t>
  </si>
  <si>
    <t>TUE JOLTS</t>
  </si>
  <si>
    <t>WED AUD CPI, FOMC (WFH nxt day)</t>
  </si>
  <si>
    <t>THU EZ CPI, BOE, ISM PMI</t>
  </si>
  <si>
    <t>FRI PPI, NFP, UE</t>
  </si>
  <si>
    <t>FIND IR, YT RANGES (1H, 4H, D) AND TAKE TRADES THAT WILL HAVE TEDS AS BACKUP</t>
  </si>
  <si>
    <t>1st 2 spds enter from 3m and exit 1 tick from 6m</t>
  </si>
  <si>
    <t>J24 6M SPD</t>
  </si>
  <si>
    <t>INTRADAY SCALPING / EXIT BY INDIVIDUAL SPDS AS PER PIQ</t>
  </si>
  <si>
    <t>11H</t>
  </si>
  <si>
    <t>30 JAN EV</t>
  </si>
  <si>
    <t>J25 6M SPD</t>
  </si>
  <si>
    <t>J25 -6, M25 -4</t>
  </si>
  <si>
    <t>735pm</t>
  </si>
  <si>
    <t>S24 6M SPD</t>
  </si>
  <si>
    <t>Scalping + spd exit</t>
  </si>
  <si>
    <t>12h</t>
  </si>
  <si>
    <t>30 jan 8am</t>
  </si>
  <si>
    <t>6AM</t>
  </si>
  <si>
    <t>AUD RETAIL SALES  MOM DEC (P1.6% F-1% A-2.7%)</t>
  </si>
  <si>
    <t>2.5h</t>
  </si>
  <si>
    <t>825am</t>
  </si>
  <si>
    <t>NO MORE TEDS TILL FOMC | TEDS AFTER FOMC</t>
  </si>
  <si>
    <t>YT MAR24</t>
  </si>
  <si>
    <t>YT</t>
  </si>
  <si>
    <t>LEGGED</t>
  </si>
  <si>
    <t>LEGGED in ted</t>
  </si>
  <si>
    <t>815am</t>
  </si>
  <si>
    <t>near 0 (curve flattening)</t>
  </si>
  <si>
    <t>ADD MORE FLY @ 5 (total 50-70) or j25 s @ -10 and -8(ua)</t>
  </si>
  <si>
    <t>1054am</t>
  </si>
  <si>
    <t>J24 DEFLY (2)</t>
  </si>
  <si>
    <t>CUTS MORE IN THIS CONTRACT (LESS DOWNSIDE)</t>
  </si>
  <si>
    <t>CF IN LONG RUN (CS -&gt;CF)</t>
  </si>
  <si>
    <t>23h</t>
  </si>
  <si>
    <t>31 jan 927am, 945AM</t>
  </si>
  <si>
    <t xml:space="preserve">THIS TYPE OF BETS TAKE 60 LOTS </t>
  </si>
  <si>
    <t>GG</t>
  </si>
  <si>
    <t>1055AM</t>
  </si>
  <si>
    <t>12PM</t>
  </si>
  <si>
    <t>d24 spd -12 s for 5 or -13 for 4 j24 defly</t>
  </si>
  <si>
    <t>830pm</t>
  </si>
  <si>
    <t>JOLTS (P8.79M-&gt;8.95 F8.75 A9M)</t>
  </si>
  <si>
    <r>
      <t>If job openings increase substantially, it may indicate inflationary pressures due to wage growth, possibly leading to an interest rate hike</t>
    </r>
    <r>
      <rPr>
        <sz val="12"/>
        <color rgb="FFBDC1C6"/>
        <rFont val="Google Sans"/>
        <charset val="1"/>
      </rPr>
      <t>.</t>
    </r>
  </si>
  <si>
    <t>MOMENTUM DATA</t>
  </si>
  <si>
    <t>12M</t>
  </si>
  <si>
    <t>842PM</t>
  </si>
  <si>
    <t>AGGRESSIVE TT STOP AND OCO AS NOT MUCH MOVE / MOMENTUM</t>
  </si>
  <si>
    <t>1118pm</t>
  </si>
  <si>
    <t>Scalping (d)</t>
  </si>
  <si>
    <t>3am</t>
  </si>
  <si>
    <t>1120pm</t>
  </si>
  <si>
    <t>5am</t>
  </si>
  <si>
    <t>CPI YOY Q4 (P5.4% F4.3% A4.1%)</t>
  </si>
  <si>
    <t xml:space="preserve">ULTRA DOVISH MOVE TO DOVISH DATA </t>
  </si>
  <si>
    <t>CPI QOQ Q4 (P1.2% F0.8% A0.6%)</t>
  </si>
  <si>
    <t>BONDS HAVE A TENDENCY TO GO UP REGARDLESS OF FED | ALREADY UP</t>
  </si>
  <si>
    <t xml:space="preserve">FOMC AVOID FRONT SPD </t>
  </si>
  <si>
    <t>SECONDARY / TERTIARY TRADES</t>
  </si>
  <si>
    <t>LAEAD LAG TRADES</t>
  </si>
  <si>
    <t>THEME CHANGE | OG WATCH AND CREATE EXTREME POSITIONS</t>
  </si>
  <si>
    <t>TRIMMED MEAN CPI QOQ Q4(P1.2% F0.9% A0.8%)</t>
  </si>
  <si>
    <t>IR M24</t>
  </si>
  <si>
    <t>RET</t>
  </si>
  <si>
    <t>PRICING LEVELS</t>
  </si>
  <si>
    <t>0.27S!</t>
  </si>
  <si>
    <t>RET + VAR3 + 1TICK ALGO SCALP</t>
  </si>
  <si>
    <t>0.2S!</t>
  </si>
  <si>
    <t>LUCK100 ALGO!!</t>
  </si>
  <si>
    <t xml:space="preserve">FOR FLY </t>
  </si>
  <si>
    <t>1,2M</t>
  </si>
  <si>
    <t>VAR4 + SZ (-10,-11)</t>
  </si>
  <si>
    <t>RET + VAR3</t>
  </si>
  <si>
    <t>844am</t>
  </si>
  <si>
    <t>ACE! (LONG TIME)</t>
  </si>
  <si>
    <t>S24 FLY</t>
  </si>
  <si>
    <t>648AM</t>
  </si>
  <si>
    <t>928am</t>
  </si>
  <si>
    <t>945AM</t>
  </si>
  <si>
    <t>VAR 7</t>
  </si>
  <si>
    <t>10M</t>
  </si>
  <si>
    <t>956AM</t>
  </si>
  <si>
    <t>INTRADAY + MKT CLOSE + THEME CHANGE + FOMC (NO SPDS IN 2ND HALF)</t>
  </si>
  <si>
    <t xml:space="preserve">AGAINST WAVE AND BAD RR </t>
  </si>
  <si>
    <t>FUNDA DRIVEN SO TECH HAS LESS POWER</t>
  </si>
  <si>
    <t xml:space="preserve">TIMEOUT | GO CAUTIOUSLY | DONT BE AGGRESSIVE </t>
  </si>
  <si>
    <t xml:space="preserve">HOT HAND FALLACY MINDSET </t>
  </si>
  <si>
    <t>TIMEOUT</t>
  </si>
  <si>
    <t>AMAZING EXECUTION + LUCK (APRRECIATE IT)</t>
  </si>
  <si>
    <t>ADD 4K TO 18K FOR BUDGET</t>
  </si>
  <si>
    <t>SPD LIMIT TO 250</t>
  </si>
  <si>
    <t>THEY WANT THE DOOR OPEN BUT THEY DONT WANT YOU TO KNOW WHEN THEY WILL WALK THROUGH IT</t>
  </si>
  <si>
    <t xml:space="preserve">CUTS BETS (7-9 MORE MEETS PROBABLY) | </t>
  </si>
  <si>
    <t>1215PM</t>
  </si>
  <si>
    <t>758pm</t>
  </si>
  <si>
    <t>CUTS PRICED IN FED INCREASED FOR MAR24 + momentum</t>
  </si>
  <si>
    <t>818PM</t>
  </si>
  <si>
    <t>826PM</t>
  </si>
  <si>
    <t>NEW YORK BANCORP EARNINGS BAD (DOWN 40%)</t>
  </si>
  <si>
    <t>RET + VAR 6</t>
  </si>
  <si>
    <t>834PM</t>
  </si>
  <si>
    <t>AGAINST THE TIDE THOUGH</t>
  </si>
  <si>
    <r>
      <t xml:space="preserve">Due to a trigger in a specific bank </t>
    </r>
    <r>
      <rPr>
        <b/>
        <u/>
        <sz val="10"/>
        <color rgb="FF000000"/>
        <rFont val="Arial"/>
        <scheme val="minor"/>
      </rPr>
      <t>New York Bancorp</t>
    </r>
    <r>
      <rPr>
        <sz val="10"/>
        <color rgb="FF000000"/>
        <rFont val="Arial"/>
        <scheme val="minor"/>
      </rPr>
      <t xml:space="preserve"> as its earnings was not great</t>
    </r>
  </si>
  <si>
    <t>It opened with a loss of 44% in stock value due to which this panic started</t>
  </si>
  <si>
    <t>AVOID FRONT 2 SPDS</t>
  </si>
  <si>
    <t>TECHNICALS ARE NOT WORKING | GO FOR FUNDA TRADES</t>
  </si>
  <si>
    <t>IB FEB24</t>
  </si>
  <si>
    <t>IB</t>
  </si>
  <si>
    <t>-2.5 TO 0 (BAD RR) BUT VERY LESS CHANCE @ 1ST MEETING ITSELF</t>
  </si>
  <si>
    <t xml:space="preserve">BAD RR </t>
  </si>
  <si>
    <t>NOT THE RIGHT DAY FOR THIS TRADE</t>
  </si>
  <si>
    <t>RISK HIGH AS REG. BANKS DOWN + POWEL</t>
  </si>
  <si>
    <r>
      <rPr>
        <b/>
        <sz val="10"/>
        <color rgb="FF554840"/>
        <rFont val="Calibri"/>
      </rPr>
      <t>ATISH: RISK around ZQ Feb 2024</t>
    </r>
    <r>
      <rPr>
        <sz val="10"/>
        <color rgb="FF000000"/>
        <rFont val="Arial"/>
      </rPr>
      <t xml:space="preserve"> : Market can price in emergency cut after today's FOMC if this crisis accelerates. Don't carry Naked short in FEB 2024 </t>
    </r>
  </si>
  <si>
    <t>1013pm</t>
  </si>
  <si>
    <t>February 24 live</t>
  </si>
  <si>
    <t>FEB.24</t>
  </si>
  <si>
    <t>1230AM</t>
  </si>
  <si>
    <t>FED UNCHANGED (5.5%) | CPI 3.4%</t>
  </si>
  <si>
    <t>powell: need MORE CONFIDENCE (THEY ARE CONFIDENT) | cpi data</t>
  </si>
  <si>
    <t xml:space="preserve">Next CPI directional </t>
  </si>
  <si>
    <t>NO RATE CUTS IN MAR24, PROBABLY</t>
  </si>
  <si>
    <t>SPEECH</t>
  </si>
  <si>
    <t>trying momentum</t>
  </si>
  <si>
    <t>few mins within speech</t>
  </si>
  <si>
    <t>NEVER TRADE XT IN SPEECH (DOESNT WORK) | lot of crackheads in the market</t>
  </si>
  <si>
    <t>PURE GAMBLING</t>
  </si>
  <si>
    <t>ONLY IN DATA</t>
  </si>
  <si>
    <t xml:space="preserve">tight slS but not worth it </t>
  </si>
  <si>
    <t xml:space="preserve">Scalping </t>
  </si>
  <si>
    <t>2 feb 340am</t>
  </si>
  <si>
    <t>intraday</t>
  </si>
  <si>
    <t>350AM</t>
  </si>
  <si>
    <t>440am</t>
  </si>
  <si>
    <t>Scalping + RET AFTER TRENDING + VAR3</t>
  </si>
  <si>
    <t>CUTS still there in may-jun</t>
  </si>
  <si>
    <t>HEDGE FOR SPD anti</t>
  </si>
  <si>
    <t>1045am</t>
  </si>
  <si>
    <t xml:space="preserve">WRONG TRADE | BOTH SPDS COULD GO OPPOSITE DIRECTIONS AFTER FED MEET </t>
  </si>
  <si>
    <t>STILL NO VALID PLAYS IN FRONT SPDS EXCEPT MAYBE PRICING BIAS TRADES BUT WITH LESS CONVICTION</t>
  </si>
  <si>
    <t>TIMEOUT front front spds</t>
  </si>
  <si>
    <t>627am</t>
  </si>
  <si>
    <t>8H</t>
  </si>
  <si>
    <t>236pm</t>
  </si>
  <si>
    <t>1ST SESSION</t>
  </si>
  <si>
    <t>SZ (-4)</t>
  </si>
  <si>
    <t>5 feb 1054am</t>
  </si>
  <si>
    <t>unable to exit @ -9 m25 spd as did not put all lots there and was downstairs + did not focus as i was stuck in front trades for ar too long that i did ot plan for back fly trades</t>
  </si>
  <si>
    <t>340AM</t>
  </si>
  <si>
    <t xml:space="preserve">M25 FLY </t>
  </si>
  <si>
    <t>5 FEB 10PM</t>
  </si>
  <si>
    <t>ASE Fed up 5 lots</t>
  </si>
  <si>
    <t>GG!</t>
  </si>
  <si>
    <t>AWP</t>
  </si>
  <si>
    <t>303AM</t>
  </si>
  <si>
    <t>PRICING RANGES (-15 TO -20) | CUTS DIRECTION</t>
  </si>
  <si>
    <t>1.5H</t>
  </si>
  <si>
    <t>430AM</t>
  </si>
  <si>
    <t>62 AWP SHOT . 1 TRADE PER WEEK | personal target</t>
  </si>
  <si>
    <t>at least 3 trades 62 lots per month</t>
  </si>
  <si>
    <t>PRESENT: FLY1 5, SPD 1 -13, SPD2 -18</t>
  </si>
  <si>
    <t>CUTS IN FRONT EMERGENCY CUTS -&gt; FLY1 DOWN AS 2ND SPD UP (FLY1 -5, SPD1 -14, SPD2 UP -9)</t>
  </si>
  <si>
    <t>CUTS LATER OR SPREAD OUT -&gt; FLY1 UP AS 1ST SPD UP (FLY1 11.6 SPD1 -10, SPD2 -21)</t>
  </si>
  <si>
    <t>UPPER LEVEL OF SPD1 -10,-9 | if anti -&gt; fly hit</t>
  </si>
  <si>
    <t>LOWER LEVEL OF 2ND SPD -20,-21 | if anti -&gt; fly hit</t>
  </si>
  <si>
    <t>UPPER LIMIT OF FLY1 11.6</t>
  </si>
  <si>
    <t>LOWER LEVEL OF FLY 1 -5</t>
  </si>
  <si>
    <t>62 AWP SHOT . 1 TRADE PER WEEK | personal target (can be any trade) | irrespective of anything | AWP SHOT</t>
  </si>
  <si>
    <t>PPI QOQ (P1.8% F1.9% A0.9%)</t>
  </si>
  <si>
    <t>1159am</t>
  </si>
  <si>
    <t>PRICING LIMIT (-13) IN ANY CASE (EXCEPT FOR SQUEEZE) | &amp; fra change and pricing change!</t>
  </si>
  <si>
    <t>7H</t>
  </si>
  <si>
    <t>1215pm</t>
  </si>
  <si>
    <t xml:space="preserve">PRICING LOWER LIMIT (-21) </t>
  </si>
  <si>
    <t>AVG HOURLY EARNING MOM (JAN) (P0.4% F0.3% A0.6%)</t>
  </si>
  <si>
    <t>xt went down but retraced and then, went down (sighs), spds went up</t>
  </si>
  <si>
    <t>NFP (JAN) (P333K UP F187K A353K)</t>
  </si>
  <si>
    <t>PREV UP</t>
  </si>
  <si>
    <t>UE RATE (P3.7% F3.8% A3.7%)</t>
  </si>
  <si>
    <t>momentum</t>
  </si>
  <si>
    <t>FEW SECONDS</t>
  </si>
  <si>
    <t>Post event</t>
  </si>
  <si>
    <t>ONLY MOMENTUM WORKS</t>
  </si>
  <si>
    <t>MOMENTUM NOW WITH 2 LOTS AND ADD 1 IF IN FAVOUR WITH TT SL OF 1 TICK</t>
  </si>
  <si>
    <t>720pm</t>
  </si>
  <si>
    <t>RETRACEMENT</t>
  </si>
  <si>
    <t>few seconds</t>
  </si>
  <si>
    <t>post event</t>
  </si>
  <si>
    <t xml:space="preserve">DONT TRY COUNTER TREND </t>
  </si>
  <si>
    <t>ESPECIALLY BY HITTING</t>
  </si>
  <si>
    <t>TRY WITH PRE PALCED LOTS</t>
  </si>
  <si>
    <t xml:space="preserve">VAR3 </t>
  </si>
  <si>
    <t>26M</t>
  </si>
  <si>
    <t>726PM</t>
  </si>
  <si>
    <t>VAR5</t>
  </si>
  <si>
    <t>reduced as it flipped twice, but will take at least 2 ticks instead or add positions till -8!</t>
  </si>
  <si>
    <t>SHOULD HAVE USED ALGO FOR SCALPING</t>
  </si>
  <si>
    <t>fly exit @ -2 / partial exit @ -3 if anti (10 lots at least) (d24 -13)</t>
  </si>
  <si>
    <t>5 FEB 940AM</t>
  </si>
  <si>
    <t>LESS CHANCE OF GOING DOWN + NO SPDS B4 RBA</t>
  </si>
  <si>
    <t>NO HOLDING SPDS B4 EVENTS AGAINST TIDE; MIGHT GET BETTER TRADES</t>
  </si>
  <si>
    <t>430am</t>
  </si>
  <si>
    <t>907am</t>
  </si>
  <si>
    <t>NO TEDS B4 RBA</t>
  </si>
  <si>
    <t>M24 PSD</t>
  </si>
  <si>
    <t>MON PMI 8PM, BOSTIC SPEAKS 12AM</t>
  </si>
  <si>
    <t>TUE RBA</t>
  </si>
  <si>
    <t>NOTHING FULL WEEK | BACKS SCALP / TED ACTIVELY | NEWS BASED / SPEECH BASED MOVEMENT SO NO ORDERS WHILE SLEEPING IN ASE OR FRONTS</t>
  </si>
  <si>
    <t>AVOID 1 TICK TRADES TILL TUE NIGHT SESSION (fronts/ir) | START FROM WED</t>
  </si>
  <si>
    <t>FLY, DEFLY COMBO (BELLY INCLUSIVE) 80,80</t>
  </si>
  <si>
    <t>RANGED SCALP 50,50</t>
  </si>
  <si>
    <t>VAR OR HL75 . 100 BACKS AND 33 FRONTS</t>
  </si>
  <si>
    <t>710am</t>
  </si>
  <si>
    <t>M24 DELFY</t>
  </si>
  <si>
    <t>Rz (4 to 6)</t>
  </si>
  <si>
    <t>Hedged combo from naked spd b4 RBA -&gt; front should flatten in the long run (cf)</t>
  </si>
  <si>
    <t>Take 41 more &gt;=8</t>
  </si>
  <si>
    <t>B4 NEXT MEETING</t>
  </si>
  <si>
    <t>CF at some point until then</t>
  </si>
  <si>
    <t>1w</t>
  </si>
  <si>
    <t>HAD TO HEDGE B4 RBA | DO NOT WANT TO CARRY NAKED SPD</t>
  </si>
  <si>
    <t>GIVES BETTER ODDS ONLY LOSING TIME</t>
  </si>
  <si>
    <t xml:space="preserve">CAN TAKE BETTER TRADES ON EVENT WHILE CARRYING THE PARTIAL BIAS OF THE INITIAL TRADE </t>
  </si>
  <si>
    <t>NOW SCALP AROUND THESE STRUCTURES</t>
  </si>
  <si>
    <t xml:space="preserve">USE ALGOS FOR SCALPING EXITS ON RBA </t>
  </si>
  <si>
    <t>NEXT BIG WIN HAS TO BE AROUND 3K (96 LOTS 2 TICK TRADE)</t>
  </si>
  <si>
    <t>943AM</t>
  </si>
  <si>
    <t>Intraday Scalping</t>
  </si>
  <si>
    <t>Pricing upper limit 8 (8.4) | if FRA goes down, might go up + exit b4 rba</t>
  </si>
  <si>
    <t>50M</t>
  </si>
  <si>
    <t>1040am</t>
  </si>
  <si>
    <t>RBA might push against rate cuts too soon</t>
  </si>
  <si>
    <t>might get better trades + high exposure in defly so limits issue</t>
  </si>
  <si>
    <t>IF FRA GOES DOWN, MIGHT EVEN GO TO -3 AREA</t>
  </si>
  <si>
    <t>-5,-3 GOOD SHORT NOW FOR NAKED SPDS</t>
  </si>
  <si>
    <t>Somp at the same time</t>
  </si>
  <si>
    <t>730pm</t>
  </si>
  <si>
    <t>M25 6M SPD</t>
  </si>
  <si>
    <r>
      <t>Dark days are coming for US commercial real estate and the banks holding the loans</t>
    </r>
    <r>
      <rPr>
        <b/>
        <sz val="10"/>
        <color rgb="FF000000"/>
        <rFont val="Arial"/>
        <scheme val="minor"/>
      </rPr>
      <t xml:space="preserve"> ‘; Goldman Sachs estimates $1.2 trillion in mortgages is due this year end next, others say even more.</t>
    </r>
  </si>
  <si>
    <t>&gt; might cause cuts in front or emergency cuts</t>
  </si>
  <si>
    <t>M24 FLY SHORTS LONG TERM LOOKS GOOD</t>
  </si>
  <si>
    <t>always have this fly short until more commentary</t>
  </si>
  <si>
    <t>RBA M24 ONLY SELL ORDERS AND J24 ONLY BUY ORDERS VARS</t>
  </si>
  <si>
    <t>ISM NMFG PMI JAN (P50.6 F52 A53.4)</t>
  </si>
  <si>
    <t>The services report measures business activity for the overall economy; above 50 indicating growth, while below 50 indicating contraction.</t>
  </si>
  <si>
    <t>MORE growth (&gt;50 or up) means no need to cut | or less cuts or hawkish or int up or stays up or less cuts needed or ir goes down or xt goes down</t>
  </si>
  <si>
    <t>BUT GOOLSBEE SAYS STILL NOT REJECTING MAR RATE CUT | NEED MORE DATA</t>
  </si>
  <si>
    <t>7M</t>
  </si>
  <si>
    <t>SINCE GOOLSBEE SPEECH AND IT IS SPEECH DRIVEN WEEK SO AGGRESSIVE TRAILING SL</t>
  </si>
  <si>
    <t>*FED'S GOOLSBEE REPEATS DOESN'T WANT TO RULE OUT MARCH CUT</t>
  </si>
  <si>
    <t>OBSERVE ON SPEECH DONT TRADE U SUCK</t>
  </si>
  <si>
    <t>GOOLSBEE BULLISH ON BONDS (MEANS CUTS BIASED)</t>
  </si>
  <si>
    <t>MAKE 1ST SHOT 2 LOTS AND NEXT SHOT AS 1 IF IN FAVOUR AFTER FEW SECONDS AND PUT TRAILING SL FOR 2 LOTS (MUST) @ 4,5 TICKS</t>
  </si>
  <si>
    <t>KEEP TRAILING SL DYNAMIC</t>
  </si>
  <si>
    <t>9AM</t>
  </si>
  <si>
    <t>RBA INT RATE (4.35%) | 2meeting pauses now, CPI 4.1%</t>
  </si>
  <si>
    <t>and a further increase in interest rates cannot be ruled out</t>
  </si>
  <si>
    <t>IB MAR24 RETRACE 5 LOTS</t>
  </si>
  <si>
    <t>AUS MAY NOT REQUIRE &gt;2 CUTS AT ALL</t>
  </si>
  <si>
    <t>VAR4 + RZ + LGAP + SL HIT</t>
  </si>
  <si>
    <t xml:space="preserve">PRICING LIMIT </t>
  </si>
  <si>
    <t>1MIN</t>
  </si>
  <si>
    <t>MOM OF RET</t>
  </si>
  <si>
    <t>unable to hit more lots as j24 spd also had existing orders ; had to cancel them first then hit</t>
  </si>
  <si>
    <t>next time cancel other side orders from spds around the target spd</t>
  </si>
  <si>
    <t>ACE!</t>
  </si>
  <si>
    <t>AWP IN 2 PARTS</t>
  </si>
  <si>
    <t>1052AM</t>
  </si>
  <si>
    <t>INTRADAY Scalping via 6m to 3m (as eqm in 3m in -27) / scratchable</t>
  </si>
  <si>
    <t>Take more @ -31 (3 ticks anti) SZ</t>
  </si>
  <si>
    <t>230pm</t>
  </si>
  <si>
    <t>NO TRADING TODAY | OBSERVE RANGES AND CURVE AND SPEECHES</t>
  </si>
  <si>
    <t>GYM 2H</t>
  </si>
  <si>
    <t>ONLY WINNING TRADES OR INTRADAY SCRATCH</t>
  </si>
  <si>
    <t>808am</t>
  </si>
  <si>
    <t>9 feb 652am</t>
  </si>
  <si>
    <t>941AM</t>
  </si>
  <si>
    <t>Few cuts in general so less downside pricing wise</t>
  </si>
  <si>
    <t xml:space="preserve">can make fly short / defly </t>
  </si>
  <si>
    <t>add more @ -17 or -18</t>
  </si>
  <si>
    <t>803PM</t>
  </si>
  <si>
    <t>850pnm</t>
  </si>
  <si>
    <t>Trying fibo</t>
  </si>
  <si>
    <t>614am</t>
  </si>
  <si>
    <t>M25 TED</t>
  </si>
  <si>
    <t>9 feb 740pm</t>
  </si>
  <si>
    <t>950AM</t>
  </si>
  <si>
    <t>1245pm</t>
  </si>
  <si>
    <t>611PM</t>
  </si>
  <si>
    <t>IR|YT</t>
  </si>
  <si>
    <t>Sz (-8,-9) + scalping</t>
  </si>
  <si>
    <t>954am</t>
  </si>
  <si>
    <t>19H</t>
  </si>
  <si>
    <t>9 FEB 417AM</t>
  </si>
  <si>
    <t>348am</t>
  </si>
  <si>
    <t>40M</t>
  </si>
  <si>
    <t>426am</t>
  </si>
  <si>
    <t>Not interested in 6m as better odds with defly</t>
  </si>
  <si>
    <t>420AM</t>
  </si>
  <si>
    <t>M25 DEFLY</t>
  </si>
  <si>
    <t>Sz (-2)</t>
  </si>
  <si>
    <t>hedged combo</t>
  </si>
  <si>
    <t>TUE US CPI | THIS IS WHERE RALLIES COME TO PARTY OR THEY COME TO DIE</t>
  </si>
  <si>
    <t>WED WFH</t>
  </si>
  <si>
    <t>THU BULLOCK SPEAKS, LABOUR DATA, US PHILLY FED, RETAIL SALES</t>
  </si>
  <si>
    <t>FRI PPI (WFH)</t>
  </si>
  <si>
    <t>MON WFH</t>
  </si>
  <si>
    <t>LEAVE AFTER ALL EXITS MADE</t>
  </si>
  <si>
    <t>OBSERVE TEDS STRAT DIRECTIONAL DURING EVENTS</t>
  </si>
  <si>
    <t>lgap, squeeze + var + hl75, + xt momentum (A)</t>
  </si>
  <si>
    <t>Momentum xt 2 lots</t>
  </si>
  <si>
    <t>US CORE CPI MOM JAN (P0.3% F0.3% A0.4%)</t>
  </si>
  <si>
    <t>XT went down belly spds went up 4 ticks</t>
  </si>
  <si>
    <t>TT HANGED!!!</t>
  </si>
  <si>
    <t>WHAT A WASTE</t>
  </si>
  <si>
    <t>US CPI YOY JAN (P3.4% F2.9% A3.1%)</t>
  </si>
  <si>
    <t>US CPI MOM JAN (P0.2% F0.2% A0.3%)</t>
  </si>
  <si>
    <t>VAR3</t>
  </si>
  <si>
    <t>CUTS SHIFTING BACK</t>
  </si>
  <si>
    <t>UNLUCKY100</t>
  </si>
  <si>
    <t>VAR3 AND 5</t>
  </si>
  <si>
    <t>14 FEB 6AM,847AM</t>
  </si>
  <si>
    <t>EXIT ASAP | DEFLY ALSO LONG | FUNDAMENTALLY CUTS HAVE OR ARE SHIFTING BACK RECENTLY =&gt; BAD RR + WRONG SIDE</t>
  </si>
  <si>
    <t>EXIT B4 NXT SESSION CLOSE</t>
  </si>
  <si>
    <t xml:space="preserve">MINIMIZING RISK BY BOOKING MAJORITY OF LOTS WHILE CHANCE </t>
  </si>
  <si>
    <t>EXIT ASAP AS UK CPI + THIS SELLOFF MOVE MIGHT CONTINUE | NOT WORTH THE RISK TO GAIN SMALL!</t>
  </si>
  <si>
    <t>THODA KAMANE KE LIYE ZYADA KYU DAAO PE LAGANA</t>
  </si>
  <si>
    <t xml:space="preserve">NO REGRETS </t>
  </si>
  <si>
    <t>PROTECT and RESET. Each economic number is an event in itself now. Wait patiently till market lets you make intraday pnl, it hasn't been the case in February so far.</t>
  </si>
  <si>
    <t>Lower your expectations. Stay disciplined and avoid getting frustrated because of today’s TT issue, very very tough to do it but hope we get over it tomorrow.</t>
  </si>
  <si>
    <t xml:space="preserve">NEVER HOLD FRONT FLIES WITH BIG EXPOSURE OR ANY SPDS THROUGH MAJOR EVENTS </t>
  </si>
  <si>
    <t>THEME HAS CHANGED DRASTICALLY | GO DEFENSIVE TO CHECK WHAT IS WORKING NOW</t>
  </si>
  <si>
    <t>WILL RECOVER LOSS FROM NXT WEEK | WFH 2 DAYS</t>
  </si>
  <si>
    <t>NO TRADING 2 DAYS | IF YOU DO THEN DEFENSIVE ONLY</t>
  </si>
  <si>
    <t>aage aur mauke aenge</t>
  </si>
  <si>
    <t>RANGED, SCALP, HL75</t>
  </si>
  <si>
    <t>B, A</t>
  </si>
  <si>
    <t>W 16,16 BELLY 21,21 R 26, 26</t>
  </si>
  <si>
    <t>SCALING DOWN for at least this week</t>
  </si>
  <si>
    <t>ALGOS NOT WORKING; HAVE TO RELY ON MANUAL</t>
  </si>
  <si>
    <t>J24 CONTRACT OI HIGH + D24, so side wale me weird prices mil skte h =&gt; M24, S24, M25</t>
  </si>
  <si>
    <t>LG</t>
  </si>
  <si>
    <t>B, D</t>
  </si>
  <si>
    <t>W 25, 25 BELLY 30, 30, R 50, 50</t>
  </si>
  <si>
    <t>RANGED, CURVE</t>
  </si>
  <si>
    <t>1230PM</t>
  </si>
  <si>
    <t>UK CPI (P4% F4.1% A4%)</t>
  </si>
  <si>
    <t>HAWKISH DATA MIGHT TRIGGER SQUEEZE | ALSO CAN GO FOR MOMENTUM WITH 2 LOTS IN XT</t>
  </si>
  <si>
    <t>STAY AWAY FROM FRONTS FOR THIS WEEK</t>
  </si>
  <si>
    <t>Target FLIES NOW | B Lots</t>
  </si>
  <si>
    <t>CANT SEE ANY TRADES SO DONT TRADE AGGRESSIVELY AND ATTACKING LOTS</t>
  </si>
  <si>
    <t>TRADE LIKE RISK ANALYST OR AWPER</t>
  </si>
  <si>
    <t>1240PM</t>
  </si>
  <si>
    <t>J24 DEFLY</t>
  </si>
  <si>
    <t>NO ADDING ON THIS POSITION UNTIL NEXT WEEK</t>
  </si>
  <si>
    <t>S24 SPD POTENTIAL SCALPING OR RANGED ZONE CAN GO (A)</t>
  </si>
  <si>
    <t>142pm</t>
  </si>
  <si>
    <t>240pm</t>
  </si>
  <si>
    <t>LESS CUTS IN FRONT (FRO NOW)</t>
  </si>
  <si>
    <t>DEFLY @ 0 OR 1 (SZ) AND ADD LATER</t>
  </si>
  <si>
    <t>15 FEB 6AM</t>
  </si>
  <si>
    <t>STUPID MISTAKE | very costly</t>
  </si>
  <si>
    <t>SHOULD NOT HAVE CARRIED NAKED SPREAD THROUGH EVENT</t>
  </si>
  <si>
    <t>800$ extra loss</t>
  </si>
  <si>
    <t>Make sure to not carry a spread intended to make flies or structure through event | if so at least place hard sl @ 2 ticks</t>
  </si>
  <si>
    <t>520AM</t>
  </si>
  <si>
    <t>JPY GDP QOQ Q4 (P-0.8% (DOWN) F0.2% A -0.1%)</t>
  </si>
  <si>
    <t>JPN ENTERS RECESSION</t>
  </si>
  <si>
    <t>front went too down too fast too soon</t>
  </si>
  <si>
    <t xml:space="preserve">did not anticipate this move right after US cpi </t>
  </si>
  <si>
    <t>So be careful</t>
  </si>
  <si>
    <t>Long term flies</t>
  </si>
  <si>
    <t xml:space="preserve">EMP CHANGE (P-65K F26K A0.5K) </t>
  </si>
  <si>
    <t>FRONT 2 SPD WENT WAY DOWN (&gt; HL75)</t>
  </si>
  <si>
    <t>UE (P3.9% F4% A4.1%)</t>
  </si>
  <si>
    <t>r teds up</t>
  </si>
  <si>
    <t>655AM</t>
  </si>
  <si>
    <t>FAILED | SO EARLY EXIT AND HEDGED AS MANY POSSIBLE TO HEDGE</t>
  </si>
  <si>
    <t>2MINS</t>
  </si>
  <si>
    <t>TRAILING</t>
  </si>
  <si>
    <t>SHOULD HAVE HELD AT LEAST 1 LOT A BIT LONGER (UPDATED STRAT)</t>
  </si>
  <si>
    <t xml:space="preserve">2 lots in major events (UPDATED) 1 lot extra if trailing is hit but not going anti </t>
  </si>
  <si>
    <t>ONLY MOMENTUM | AFTER MAX 40MINS CLOSE XT</t>
  </si>
  <si>
    <t>2 TRAILING SL</t>
  </si>
  <si>
    <t>HOLD 1 WITH SL @ 3,4 TICKS BELOW THAT 1 LOT HIT PRICE</t>
  </si>
  <si>
    <t>SZ + RET</t>
  </si>
  <si>
    <t>7 MINS</t>
  </si>
  <si>
    <t>1 TICK EXTRA (300$ EXTRA AS NO ALGO PLACED)</t>
  </si>
  <si>
    <t>LUCK 100</t>
  </si>
  <si>
    <t>650AM</t>
  </si>
  <si>
    <t>Sz (0 to -2)</t>
  </si>
  <si>
    <t>&gt;=3</t>
  </si>
  <si>
    <t>2W</t>
  </si>
  <si>
    <t>23 FEB 9AM, 29 FEB</t>
  </si>
  <si>
    <t>had to hedge few failed trades</t>
  </si>
  <si>
    <t>exit 20 @ 3 if possible this month</t>
  </si>
  <si>
    <t>EXIT 20 @ 2 ASAP B4 NEXT MAJOR EVEBT NXT WEEK WED (AUS CPI, NZD INT RATE)</t>
  </si>
  <si>
    <t>NOW HOLD THE REMAINING TILL YOU GET A CLEAR IDEA</t>
  </si>
  <si>
    <t>exit only &gt;=3 | if in favour</t>
  </si>
  <si>
    <t xml:space="preserve">NOW CAN ADD MORE IF TRADES FAIL OF 22 LOTS </t>
  </si>
  <si>
    <t>EXIT AT LEAST 5-10 LOTS @ 3</t>
  </si>
  <si>
    <t>EXIT NEXT WEEK</t>
  </si>
  <si>
    <t>1210pm</t>
  </si>
  <si>
    <t>this type of trades can fail</t>
  </si>
  <si>
    <t>OKAY WITH THIS</t>
  </si>
  <si>
    <t>AWP MISS HIT</t>
  </si>
  <si>
    <t>HAD TO TAKE AT LEAST 1 TRADE</t>
  </si>
  <si>
    <t>MAKE SURE SUCH TRADES HAVE SOME BACKUP SO AVOID FRONT 2 SPDS AWP SHOT UNLESS YOU HAVE BACKUP</t>
  </si>
  <si>
    <t xml:space="preserve">DEFLY ORDER FOR HEDGING </t>
  </si>
  <si>
    <t>TIMEOUT THIS WEEK | no trades this week | friyay try EXIT ORDERS ONLY FROM CURRENT STRUCTURES | backs from 3ms and 6ms</t>
  </si>
  <si>
    <t>NOT INTERESTED TO TRADE IN USUAL STRATEGIES NOW</t>
  </si>
  <si>
    <t>TRY SOMETHING ELSE UNTIL THESE CURRENT STRUCTURES ARE LIQUIDATED</t>
  </si>
  <si>
    <t xml:space="preserve">need to increase MEAN P TO L </t>
  </si>
  <si>
    <t>FIND TRADES &gt; 1 TICK AND ONLY GO 64 NOT MORE NOT LESS (IN CURVE)</t>
  </si>
  <si>
    <t>TRY NEW STRATS / NEW MARKETS NOW</t>
  </si>
  <si>
    <t xml:space="preserve">TRY XT AND TEDS </t>
  </si>
  <si>
    <t>HOURLY TRADES NOT WORKING SO NO SPDS</t>
  </si>
  <si>
    <t>M, D, W SO ONLY FLY (D,W) OR OUTRIGHTS (M), or teds in no event markets but actively from ASE</t>
  </si>
  <si>
    <t>NEW MARKETS / NEW STRATS BY EOM</t>
  </si>
  <si>
    <t>no A trades in M24 until J24 defly is out</t>
  </si>
  <si>
    <t>6pm</t>
  </si>
  <si>
    <t>Scalping + SZ</t>
  </si>
  <si>
    <t>717PM</t>
  </si>
  <si>
    <t>event ret gave exit</t>
  </si>
  <si>
    <t>now stay away</t>
  </si>
  <si>
    <t>US PPI (P-0.1% F0.1% A0.3%)</t>
  </si>
  <si>
    <t>XT RETRACED, FRONT SPD WENT UP 1 TICK</t>
  </si>
  <si>
    <t>STAY AWAY FROM MOMENTUM TRADES IN OUTRIGHTS THEY BEHAVE WEIRD</t>
  </si>
  <si>
    <t>US CORE PPI (P-0.1% F0.1% A0.5%)</t>
  </si>
  <si>
    <t>340am</t>
  </si>
  <si>
    <t>610am</t>
  </si>
  <si>
    <t>1212pm</t>
  </si>
  <si>
    <t>620am</t>
  </si>
  <si>
    <t xml:space="preserve">RET H to lows overlap </t>
  </si>
  <si>
    <t>95.83 x 1, 95.84 x 1</t>
  </si>
  <si>
    <t>2nd entry @ 95.825</t>
  </si>
  <si>
    <t>30m</t>
  </si>
  <si>
    <t>7am</t>
  </si>
  <si>
    <t>converted to 1:1 as time increased to &gt; 30mins (2 candles)</t>
  </si>
  <si>
    <t>took too long</t>
  </si>
  <si>
    <t>TUE RBA MINS, CAD CPI | PA 2ND SPD(-6,-10,Z, VAR4) 3RD SPD (VAR3)</t>
  </si>
  <si>
    <t>WED WPI (AVOID TRADING) if &gt;1% then surprise + momentum, NIGHT FOMC MINS | [WFH]</t>
  </si>
  <si>
    <t>THU PMI</t>
  </si>
  <si>
    <t>FRI NZD RS</t>
  </si>
  <si>
    <t>CURVE TRADES ONLY FROM FLIES ANGLE</t>
  </si>
  <si>
    <t>SERIOUSLY HAVE NO FIRM BIAS OR IDA OR STRATEGYIES | DEFENSIVE LOTS ALL STRATS</t>
  </si>
  <si>
    <t>STAY IN THE GAME</t>
  </si>
  <si>
    <t>it gets better in the last few chapters | dont make stupid mistakes</t>
  </si>
  <si>
    <t xml:space="preserve">TIMEOUT | TRADES AFTER WEDNESDAY </t>
  </si>
  <si>
    <t xml:space="preserve">ONLY TEDS </t>
  </si>
  <si>
    <t>REST ALL PSSIVE TRADES | SLEEP TRADES</t>
  </si>
  <si>
    <t xml:space="preserve">cad cpi teds </t>
  </si>
  <si>
    <t>ANALYZE JBL, IU, IU SPDS PROPERLY BASICS AND MAKE Observation doc</t>
  </si>
  <si>
    <t>SMALL STEPS / PROCESSES</t>
  </si>
  <si>
    <t>CAD CPI MOM (P-0.3% F0.4% A0%)</t>
  </si>
  <si>
    <t>S24 SPD HAS A BUYER</t>
  </si>
  <si>
    <t>S24 6M SPD ALSO HAS A BUYER</t>
  </si>
  <si>
    <t>MOMENTUM</t>
  </si>
  <si>
    <t>FEW MINS</t>
  </si>
  <si>
    <t>MOVED TT SL AS NO MOVE EVEN AFTER FEW MINS</t>
  </si>
  <si>
    <t>NOT INTERESTED TO TRADE</t>
  </si>
  <si>
    <t>PREV STATE . TRENDING</t>
  </si>
  <si>
    <t>W 25, 51 . R 51, 51</t>
  </si>
  <si>
    <t>PREV STATE . RANGED</t>
  </si>
  <si>
    <t>GHOST</t>
  </si>
  <si>
    <t>LG, HEDGED FLIES, VAR HL75</t>
  </si>
  <si>
    <t>100, 100</t>
  </si>
  <si>
    <t>SPIKE</t>
  </si>
  <si>
    <t>MOM, HEDGED FLIES</t>
  </si>
  <si>
    <t>W 43,43 . R 86, 86</t>
  </si>
  <si>
    <t>WPI QOQ (P1.3% F0.9% A0.9%)</t>
  </si>
  <si>
    <t>HOME FREE THIS WEEK</t>
  </si>
  <si>
    <t>WFH 2 DAYS | WORK ON NEW MARKETS FROM HOME</t>
  </si>
  <si>
    <t>607am</t>
  </si>
  <si>
    <t>SCALPING</t>
  </si>
  <si>
    <t>738AM</t>
  </si>
  <si>
    <t>853am</t>
  </si>
  <si>
    <t>23 FEB 1016AM</t>
  </si>
  <si>
    <t>Scratch if you get other TEDS @ better prices</t>
  </si>
  <si>
    <t>DONE WITH TEDS THIS MONTH</t>
  </si>
  <si>
    <t>953AM</t>
  </si>
  <si>
    <t>Scalping (eqbm zone)</t>
  </si>
  <si>
    <t>23 FEB 1038PM</t>
  </si>
  <si>
    <t>Scratchable -&gt; REALLY</t>
  </si>
  <si>
    <t>AGGRESSIVE TRADE</t>
  </si>
  <si>
    <t>NO YT-IR, TEDS</t>
  </si>
  <si>
    <t>THU NO SCALPING!</t>
  </si>
  <si>
    <t>THU NO TEDS</t>
  </si>
  <si>
    <t>WILL HELP TO TAKE FRIYAY RET TRADES (HIGHER CHANCE OF GETTING &gt;=1 TICK TRADES ANYWHERE)</t>
  </si>
  <si>
    <t>646pm</t>
  </si>
  <si>
    <t>23 FEB 2PM</t>
  </si>
  <si>
    <t>SQUEEZING</t>
  </si>
  <si>
    <t>FRIYAY QUOTED TEDS MAX 2 TRADES RET</t>
  </si>
  <si>
    <t>TEDS SQUEEZED &gt; LOOK WHAT HAPPENS AFTER THAT</t>
  </si>
  <si>
    <t>810AM</t>
  </si>
  <si>
    <t>800 + 600 (UNLUCK) - 256 (LUCK)</t>
  </si>
  <si>
    <t>2PM</t>
  </si>
  <si>
    <t>HEDGING THE IR-YT</t>
  </si>
  <si>
    <t>24 feb 128am</t>
  </si>
  <si>
    <t>ASE IS USELESS FOR DEFLIES EXIT | ESPECIALLY WITH HIGHER LOTS</t>
  </si>
  <si>
    <t>EVERYBODY GETTING COMFORTABLE WITH RATES</t>
  </si>
  <si>
    <t xml:space="preserve">NO TEDS + NO ASE </t>
  </si>
  <si>
    <t>NO TRADING AGGRESSIVELY TILL MARCH END</t>
  </si>
  <si>
    <t>SQUEEZE TRADES MARGIN MAX</t>
  </si>
  <si>
    <r>
      <t xml:space="preserve">Add Goldman to this list: “Comments this week from Fed officials and the minutes to the January FOMC meeting suggest that the </t>
    </r>
    <r>
      <rPr>
        <u/>
        <sz val="10"/>
        <color rgb="FF000000"/>
        <rFont val="Arial"/>
        <scheme val="minor"/>
      </rPr>
      <t>first rate cut is unlikely to come as early as our previous forecast of the May meeting.” Now expects four cuts starting in June (vs five starting in May)</t>
    </r>
  </si>
  <si>
    <t>ALWAYS USE ASE AT 1 TICK BETTER PRICE</t>
  </si>
  <si>
    <t>DONT TELL WHAT TRADES YOU ARE TAKING</t>
  </si>
  <si>
    <t>calendar TEDS only for directional trades | not scalping</t>
  </si>
  <si>
    <t>scalping use ASE</t>
  </si>
  <si>
    <t>Keep everything intraday for the next few days. </t>
  </si>
  <si>
    <t>focus on jpx and iu spd</t>
  </si>
  <si>
    <t>LOOK FOR &gt;1 RISK REWARD TRADES ONLY OR HEDGED FLIES</t>
  </si>
  <si>
    <t xml:space="preserve">ASE TEDS NOW CAN USE 2 LOTS </t>
  </si>
  <si>
    <t xml:space="preserve">YOU KNOW THE MAX DRAWDOWN FIND THE APPROPRIATE LOT SIZING AND STICK TO SHORTER TIMEFRAME </t>
  </si>
  <si>
    <t>HARD SL 3 TICKS</t>
  </si>
  <si>
    <t xml:space="preserve">USE ASE JUST LIKE OLD TIMES BUT WITH HIGHER LOTS </t>
  </si>
  <si>
    <t>DEFINE NEW DEFENSIVE LOTS UNTIL WED / WHEN EVERYTHING CLEARS</t>
  </si>
  <si>
    <t>SCALPING LOT SIZE CANT BE EQUAL</t>
  </si>
  <si>
    <t>SCALP, VAR 3,5 LOTS RATIO BASED ON CHANCES + DRAWDOWN + RISK</t>
  </si>
  <si>
    <t>SCALPING VAR 3, 4</t>
  </si>
  <si>
    <t>SCALPING R, B 30, FRONT 3 SPDS 15</t>
  </si>
  <si>
    <t>VAR 3 R 66 FRONT 3 SPDS 22</t>
  </si>
  <si>
    <t>IR, XT MOMENTUM MAX 25 LOTS SO 2,1 SO FAR TOTAL 3 --&gt; 24 SO 16, 8 BUT MAX LOSS AFFORDABLE NOW IS 900 SO MAX LOTS FOR 5 TICKS (WORSE CASE + PAYUP) IS 10 SO (2/3) * 10 SO 6 LOTS HIT AND 3 LOTS AGGRESSIVE</t>
  </si>
  <si>
    <t>EXCEPT FLIES ALL &lt;1D TRADES (HOURLY, MINUTES TRADES)</t>
  </si>
  <si>
    <t>LOSING STREAK</t>
  </si>
  <si>
    <t>CANT TRY ANYTHING NEW NOW</t>
  </si>
  <si>
    <t>DAY STOP ON MONDAY AND TUESDAY | TRY TEDS ASE IF RANGE IS FORMED</t>
  </si>
  <si>
    <t>XT MOMENTUM 6 LOTS HIT, 3 LOTS MINIMUM, MAX 9 LOTS</t>
  </si>
  <si>
    <t>FINAL UPDATES</t>
  </si>
  <si>
    <t xml:space="preserve">DAY STOP ON MONDAY FULL DAY | look at jpx sgx on sim | prepare for the week | no positions b4 WED at all (Except the defly) | 0 orders (CHALLENGE) </t>
  </si>
  <si>
    <t>SCALPING: R, Bellies 30 | FRONT 3 SPDS 15</t>
  </si>
  <si>
    <t>VAR 3: R 66 | FRONT 3 SPDS 22 | 0 IN BELLIES ONLY FOR STRUCTURE EXITS AT VAR3,4 FEW LOTS</t>
  </si>
  <si>
    <t>NO TEDS + NO ASE  until FRI!!!!! | FRIYAY TRADES MAX</t>
  </si>
  <si>
    <t>EXCEPT FLIES ALL: &lt;1D TRADES (HOURLY, MINUTES TRADES)</t>
  </si>
  <si>
    <t>try to cap money semi monthly</t>
  </si>
  <si>
    <t>WED AND FRI CRUCIAL DAYS</t>
  </si>
  <si>
    <t>INSIGHTS</t>
  </si>
  <si>
    <t>1) THU NO SCALPING OR TEDS | TAKE WFH IF POSSIBLE OR AVOID THESE AT ALL COST</t>
  </si>
  <si>
    <t>2) WILL HELP TO TAKE FRIYAY RET TRADES (HIGHER CHANCE OF GETTING &gt;=1 TICK TRADES ANYWHERE)</t>
  </si>
  <si>
    <t>3) FRIYAY QUOTED TEDS MAX 2 TRADES RET (+,-3 from range mid or prev SZ, RZ (for now))</t>
  </si>
  <si>
    <t>4) ASE TEDS NOW CAN USE 2 LOTS high frequency and short term (&lt;1d) trades, preferrably within 1 hour | ONLY AFTER EVENT AND NEXT SESSION 2 lots | RANGED MARKETS 1 lot</t>
  </si>
  <si>
    <t>NOW WHAT</t>
  </si>
  <si>
    <t>1) DO FLIES ONLY NEXT 2-3 WEEKS (WED ONWARDS)</t>
  </si>
  <si>
    <t>2) &gt;1 rr trades (must take if available) | ex: flies, deflies, hedged combos, xt momentum [this doesnt mean the positive expectancy trades of scalping is bad or useless, it's just not working at the moment]</t>
  </si>
  <si>
    <t>3) NO HOURLY (H) OR DAY (D) TRADES</t>
  </si>
  <si>
    <t>4) WITHIN 1 HOUR TRADES (M) OR WEEK TRADES (W)</t>
  </si>
  <si>
    <t>5) go higher lot size after 2 weeks (march 2nd week onwards)</t>
  </si>
  <si>
    <t>start using TT TIMED</t>
  </si>
  <si>
    <t>TUE JPN CPI | SIM TRADE JBL</t>
  </si>
  <si>
    <t>WED AUD MONTHLY CPI INDICATOR, RBNZ, US GDP | LGAP, HEDGED COMBOS (NO VAR, Nothing else)</t>
  </si>
  <si>
    <t>THU RETAIL SALES, US CORE PCE, IJL, CAD GDP, CHICAGO PMI | depending on prev state (D) to (B) whatever trades you pick</t>
  </si>
  <si>
    <t>FRI US PMI | friyay var with (B) TO (A) LOTS @ EXTREME</t>
  </si>
  <si>
    <t>TT TIMED HL75 2, FEW LOTS HL85 3 , MORE LOTS</t>
  </si>
  <si>
    <t xml:space="preserve">ONLY VERY HIGH CHANCE OF WINNING TRADES, TILL 5K$ MORE </t>
  </si>
  <si>
    <t>DO NOT WATCH PAT UNTIL FEB END</t>
  </si>
  <si>
    <t>ASK IU SIM LIMITS @ 40</t>
  </si>
  <si>
    <t>AUD MONTHLY CPI INDICATOR (P3.4% F3.5% A3.4%)</t>
  </si>
  <si>
    <t>HAWKISH RXN</t>
  </si>
  <si>
    <t>MOMENTUM ON AUD CPI  | RET ON RBNZ</t>
  </si>
  <si>
    <t>RET ORDERS AT EXTREME ENDS AND XT MOMENTUMON FIRST EVENT | INCREASE THE RET ORDERS AFTER CPI EVENT</t>
  </si>
  <si>
    <t>US GDP | VAR (D) REDS VAR (B)</t>
  </si>
  <si>
    <t xml:space="preserve">THU SKIP / TIMEOUT / GYM </t>
  </si>
  <si>
    <t xml:space="preserve">FRIYAY RET TRADES (A) ALL OVER THE AUSSIE MARKETS AND MANAGE ACTIVELY </t>
  </si>
  <si>
    <t>MON (A) SCALPING</t>
  </si>
  <si>
    <t>MONDAY ONWARDS TEDS SCALPING FROM ASE | FIND THE RANGES AND CONTINUE</t>
  </si>
  <si>
    <t>RBNZ INT RATE</t>
  </si>
  <si>
    <t>MOMENTUM + FIBO B/O</t>
  </si>
  <si>
    <t>AVOID OUTRIGHTS IN AUSSIE TIMINGS | NOT WORTH IT YET</t>
  </si>
  <si>
    <t>MOMENTUM ONLY DURING US HOURS</t>
  </si>
  <si>
    <t>FRIDAY SPREAD OUT THE RETRACEMENT TRADES | this is horse shit market now</t>
  </si>
  <si>
    <t>HOW CAN WE SEE SO MUCH LOSSES AND BE SANE? OR CALM</t>
  </si>
  <si>
    <t>GIVE UP | MEDIOCRE TRADER | ACCEPT AS IT IS</t>
  </si>
  <si>
    <t>ALWAYS ASSUME YOU ARE THE LAST TRADER</t>
  </si>
  <si>
    <t>NEED TO SWITCH BACK OR GET BACK WHEN YOU LEAVE THE MARKETS</t>
  </si>
  <si>
    <t>INCREASE MORNING HOURS FILLS AND TRADES (AT LEAST WITH (D)  LOTS | ESPECIALLY ON MONDAYS</t>
  </si>
  <si>
    <t>no need to check account anymore | itna paaini me ho ab bas kuch paise ban jaaye bohot h</t>
  </si>
  <si>
    <t>FRI MON IRRESPECTIVE OF EITHER DAY'S SCALPING</t>
  </si>
  <si>
    <t>1056AM</t>
  </si>
  <si>
    <t>Scalping after var 3</t>
  </si>
  <si>
    <t>Next entry @ -12 WITH EXIT @ -10</t>
  </si>
  <si>
    <t>29 FEB 6AM</t>
  </si>
  <si>
    <t>FRIYAY TRADES OR MONDAY TRADES SE RECOVER IS BETTER OPTION</t>
  </si>
  <si>
    <t>WITHIN 1 HR TRADES OR WEEKLY | FLY NOT LOOKING GOOD + 1H OUR MARK CLOSING IN + TRADE FAILED AFTER DATA</t>
  </si>
  <si>
    <t>at least 30-45 lots se 1 tick should be possible to find</t>
  </si>
  <si>
    <t>324pm</t>
  </si>
  <si>
    <t>Scalping prev sz</t>
  </si>
  <si>
    <t>5.30h</t>
  </si>
  <si>
    <t>858pm</t>
  </si>
  <si>
    <t>Finally a winner!</t>
  </si>
  <si>
    <t>gg</t>
  </si>
  <si>
    <t>find the frequency of teds trades | when to take em</t>
  </si>
  <si>
    <t>ONLY TEDS AND FLIES</t>
  </si>
  <si>
    <t>FRIYAY TRADES | var3, 4 on s24 spd</t>
  </si>
  <si>
    <t xml:space="preserve">MAKE 2.5k slowly first </t>
  </si>
  <si>
    <t>2h AMAN JAIN TIMEFRame</t>
  </si>
  <si>
    <t>March 24 live</t>
  </si>
  <si>
    <t>MAR.24</t>
  </si>
  <si>
    <t>ONLY TEDS AND FLIES 2 WEEKS</t>
  </si>
  <si>
    <t>ENTRIES WRT FLY / DEFLIES</t>
  </si>
  <si>
    <t>THU NO TRADING</t>
  </si>
  <si>
    <t>FRIYAY TRADES (A)</t>
  </si>
  <si>
    <t>THE LAST TRADER</t>
  </si>
  <si>
    <t>ONLY TEDS AND FLIES 2 WEEKS (15 mar)</t>
  </si>
  <si>
    <t>ASE TEDS NOW CAN USE 2 LOTS high frequency and short term (&lt;1d) trades, preferrably within 1 hour | ONLY AFTER EVENT AND NEXT SESSION 2 lots | RANGED MARKETS 1 lot</t>
  </si>
  <si>
    <t xml:space="preserve">THU NO SCALPING! OR TEDS </t>
  </si>
  <si>
    <t>FRIYAY VAR + ZONES (A) | 2nd half</t>
  </si>
  <si>
    <t>MONDAY RANGED BETS (A)</t>
  </si>
  <si>
    <t>ONLY (H) OR (W) TRADES | FLY OR TEDS</t>
  </si>
  <si>
    <t>TRY THESE</t>
  </si>
  <si>
    <t>TRY J24 DEFLY @ 0 OR 1 30, 40 LOTS ACTIVELY ONLY | j24 fly ~1 20 lots</t>
  </si>
  <si>
    <t>S25 FLY B @ -4</t>
  </si>
  <si>
    <t>ONLY HOURLY TRADES THIS WEEK AND FLY IF FAILS</t>
  </si>
  <si>
    <t>TAKEN FLY ONLY EVEN IF WANT TO MAKE DEFLY NO SPDS ENTRY | ONLY FLY ENTRY</t>
  </si>
  <si>
    <t xml:space="preserve">J24 LE RAHE HO TO FLY BAAKI SPDS SE ENTRY TRY </t>
  </si>
  <si>
    <t>TRYING TO GET S24 FLY AT BETTER PRICES FROM SPD | GET 1 HIT THE OTHER | CONDITIONAL USE</t>
  </si>
  <si>
    <t>909am</t>
  </si>
  <si>
    <t>ISM MFG PMI (P49.1 F49.5 A47.8)</t>
  </si>
  <si>
    <t>540am</t>
  </si>
  <si>
    <t>S25 FLY</t>
  </si>
  <si>
    <t>Sz (-4 to -5)</t>
  </si>
  <si>
    <t>6 mar 830pm</t>
  </si>
  <si>
    <t>218pm</t>
  </si>
  <si>
    <t>5 mar 540am</t>
  </si>
  <si>
    <t>legged + no good piq + waiting a long time</t>
  </si>
  <si>
    <t>TUE: TOKYO CPI 5AM | JBL MOMENTUM . US PMIs | XT momentum (3 lots max 6) | FLY ANGLE TRADES by var 2 lvls (B)</t>
  </si>
  <si>
    <t xml:space="preserve">WED: AUD GDP, US NFE CHANGE, BOC INT RATE (NO ORDERS IN FRONT) JOLTS | FLY ANGLE TRADES ONLY </t>
  </si>
  <si>
    <t>THU ECB INT RATE, POWELL TESTIFIES | NO ORDERS STRICTLY + NO SCALPING</t>
  </si>
  <si>
    <t>FRIYAY: NFP, UE | XT (SHORT TERM MOMENTUM (&lt;10MIN) FRIYAY TRADES | FLY ANGLE TRADES + VAR + ZONES (A)</t>
  </si>
  <si>
    <t>YT SE ENTRY MANUALLY WITH GOOD PIQ (Such that can be scratched) AND HEDGE IS ANY RED TED / SCALP | put in better prices for ir</t>
  </si>
  <si>
    <t>ONLY MON, TUE OR RANGED MARKETS</t>
  </si>
  <si>
    <t>1048AM</t>
  </si>
  <si>
    <t>INTRADAY (h) trade</t>
  </si>
  <si>
    <t>22h</t>
  </si>
  <si>
    <t>6 mar 820am</t>
  </si>
  <si>
    <t>HOURLY TRADES</t>
  </si>
  <si>
    <t>130pm</t>
  </si>
  <si>
    <t>19h</t>
  </si>
  <si>
    <t>6 mar 822am</t>
  </si>
  <si>
    <t>ISM NON MFG PMI (P53.4 F53 A52.6)</t>
  </si>
  <si>
    <t>SZ (0 TO -2)</t>
  </si>
  <si>
    <t>ROLL EFFECT FOR NEXT 2 WEEKS</t>
  </si>
  <si>
    <t>HEDGED COMBO</t>
  </si>
  <si>
    <t>&gt;=3 | NOT LESS THIS TIME | KEEP BUILDING POSITION UNLESS SQUEEZE OR 6 SIGMA EVENT</t>
  </si>
  <si>
    <t>7 mar 7pm, 8 MAR 1PM</t>
  </si>
  <si>
    <t>EXIT IN RANGED MARKET ONLY | LET THE EQBM BE DECIDED FIRST</t>
  </si>
  <si>
    <t xml:space="preserve">UNTIL THEN | SCALP AROUND IT OR PLAY VAR FOR ANOTHER ENTRY POINT OR GREAT EXIT </t>
  </si>
  <si>
    <t>ALL EXITS MANUALLY | last 20 very slim chance (at least initially and simultaneously)</t>
  </si>
  <si>
    <t>THIS TYPE OF PLAY BUT WIth CLOSE TO 100 LOTS</t>
  </si>
  <si>
    <t>AUD GDP yoy (p2.1% f1.4% a1.5%)</t>
  </si>
  <si>
    <t>645PM</t>
  </si>
  <si>
    <t>ADP NFE CHANGE (P111K F149K A140K)</t>
  </si>
  <si>
    <t>MOMN</t>
  </si>
  <si>
    <t>FEW SECS</t>
  </si>
  <si>
    <t>JOLTS (P8.89M DOWN F8.8M A8.86M)</t>
  </si>
  <si>
    <t>835pm</t>
  </si>
  <si>
    <t xml:space="preserve">SZs </t>
  </si>
  <si>
    <t xml:space="preserve">b4 fri 2nd session </t>
  </si>
  <si>
    <t>FRIYAY TRADES + BONDS TICKS SIZE REDUCED</t>
  </si>
  <si>
    <t>7 mar 950am, 8 MAR 7AM</t>
  </si>
  <si>
    <t>537AM</t>
  </si>
  <si>
    <t>D25 TED</t>
  </si>
  <si>
    <t>5h</t>
  </si>
  <si>
    <t>8 mar 1045am</t>
  </si>
  <si>
    <t xml:space="preserve">TRY THESE </t>
  </si>
  <si>
    <t>3MS 1M mean price | var hl75 | prob distribution in each price level around mean | what is the chance of getting a price around it according to which distribute total lots across the ladder | entry only when fly hedge is also available or early exit possible</t>
  </si>
  <si>
    <t>1st ir pricing mean price and levels but small lots only and try high frequency / short term trades</t>
  </si>
  <si>
    <t>DO NOT WATCH PAT EVER AGAIN!</t>
  </si>
  <si>
    <t>galat side wala hi milta h in high volatility so exit try andthe wrong leg will exit leaving you with the one in right direction</t>
  </si>
  <si>
    <t>MON JPY GDP | JBL MOMENTUM, AUS RANGED</t>
  </si>
  <si>
    <t>TUE US CPI | CURVE ANOMALY, HEDGED COMBO, LGAP, VAR 3,4 FROM FLY ANGLE ONLY</t>
  </si>
  <si>
    <t>WED RANGED, TEDS ASE</t>
  </si>
  <si>
    <t>THU US RS | REDS SCALPING OR FLY, VAR2,3 FROM FLY ANGLE, NO TEDS ASE</t>
  </si>
  <si>
    <t xml:space="preserve">FRIYAY TRADES | VAR FROM FLY ANGLE </t>
  </si>
  <si>
    <t>330pm</t>
  </si>
  <si>
    <t>8 MAR 808PM</t>
  </si>
  <si>
    <t>LUCK TRADES LEFT</t>
  </si>
  <si>
    <t>NFP (P375K -&gt; 229K F198K A 275K) | PREV DOWN 100K REVISIONS WERE EXTREMELY DOVISH</t>
  </si>
  <si>
    <t>XT WENT DOWN FIRST (TRAPPED) THEN REVISIONS MADEIT GO UP A LOT | FRONT 2 SPDS WENT DOWN 1 TICK</t>
  </si>
  <si>
    <t>ue (p3.7% f3.7% a3.9%)</t>
  </si>
  <si>
    <t>MOMENTUM + ret</t>
  </si>
  <si>
    <t>FEW SECONDS to scalping minutes</t>
  </si>
  <si>
    <t>NEVER TRADE XT WHEN TICKS GO LOW | EXTREME VOLATILITY SO AVOID</t>
  </si>
  <si>
    <t>ALWAYS SEE IF THERE ARE ANY REVISIONS | IF REVISIONS ARE MORE THAN ACTUAL FROM EXPECTATIONS THEN FOLLOW THAT</t>
  </si>
  <si>
    <t>why 3 lots when tick size changed makes no sense</t>
  </si>
  <si>
    <t xml:space="preserve">XT 3 LOTS MOMENTUM ALWAYS AND FOR SHORT TERM (&lt;1H) EXCEPT INT RATE DECISION DAY </t>
  </si>
  <si>
    <t>AVOID NFP EVENT FOR XT OR OUTRIGHT FOR NEXT 2 MONTHS</t>
  </si>
  <si>
    <t>LATER WENT DOWN SLOWLY FROM THE NEXT CANDLE | DID NOT BREACH THE PREVIOUS HIGH BY MUCH</t>
  </si>
  <si>
    <t>THINK MORE ABOUT THE DATA AND ITS IMPACT BASED ON CURRENT SITUATION | THE MOVE WAS CORRECT BUT CRACK HEADS TOOK ADVANTAGE AND CHANGED THE TIMING TO GAIN MORE</t>
  </si>
  <si>
    <t>NEVER LOSE DISCIPLINE (SO ALWAYS HAVE DEFINED STOPS) THIS WILL ALLOW YOU TO TAKE BETTER BETS AND KEEP YOU IN THE GAME</t>
  </si>
  <si>
    <t>FLIES (70 LOTS ANY DEFLY / FLY) WEEKLY  (D,W) FOR THIS WEEK | TRY 1 FLY ENTRY 1ST 70x2 ON 3 SPDS (for defly)  WHICHEVER YOU GET 1ST FORGET THAT AND TRY THE OTHER THEN  70x2 | it will look like j24 b 70.70 , s24 s 70.70, d24 b 70.70 | ASK LIMITS FOR SPDS @ 420 FOR DEFLIES ONLY</t>
  </si>
  <si>
    <t xml:space="preserve">FRIYAY VAR + ZONES (A) + NO OUTRIGHT (CRACKHEADS) | 2nd half </t>
  </si>
  <si>
    <t xml:space="preserve">MONDAY RANGED BETS (A) 62 LOTS </t>
  </si>
  <si>
    <t>6PM</t>
  </si>
  <si>
    <t>US CORE CPI (MOM) (FEB) (P0.4% F0.3% A0.4%)</t>
  </si>
  <si>
    <t>BONDS RETRACING EVERYWHERE after anti / sl hunting | what a scam</t>
  </si>
  <si>
    <t>6MS VAR: J24 4,3 (careful and fewer lots than rest) | s24 3 (useful) | d24 2 (useful) | rest all 1 (SO NOT WORTH IT UNLESS FLY MAKING OF 6M)</t>
  </si>
  <si>
    <t>6MS 50%ILE: J24 -24 | S24 -24 | D24 -20 | M25 -15</t>
  </si>
  <si>
    <t>US CPI MOM FEB (P0.3% F0.4% A0.4% )</t>
  </si>
  <si>
    <t>TUE US CPI | CA, HC (A)</t>
  </si>
  <si>
    <t>THU US RS, PPI | NO TEDS, NO SCALPING | lgap + var + reds fly + no teds + no scalp (a) only (b) + outright only fibo or next candle (15m)</t>
  </si>
  <si>
    <t>FRIYAY TRADES | VAR, VALUE ZONES + no outrights</t>
  </si>
  <si>
    <t>US CPI YOY FEB (P3.1% F3.1% A3.2%)</t>
  </si>
  <si>
    <t>S24 DEFLY</t>
  </si>
  <si>
    <t>RZ (3,4)</t>
  </si>
  <si>
    <t>0 or negative (-2)</t>
  </si>
  <si>
    <t>END OF MONTH</t>
  </si>
  <si>
    <t>1W 2D</t>
  </si>
  <si>
    <t>18 mar 4pm, 21 mar 308am, 430am</t>
  </si>
  <si>
    <t>EXIT AFTER FOMC  DONE</t>
  </si>
  <si>
    <t>730PM</t>
  </si>
  <si>
    <t>s25 fly @ -4</t>
  </si>
  <si>
    <t>3d</t>
  </si>
  <si>
    <t>HAD to get out as A lot of events | try for better prices</t>
  </si>
  <si>
    <t>609AM</t>
  </si>
  <si>
    <t>Scractchable / exit worse @ 2</t>
  </si>
  <si>
    <t>var3 + good rz -10</t>
  </si>
  <si>
    <t>M25 -9 B 20 LOTS FOR DEFLY EXIT @ 0</t>
  </si>
  <si>
    <t>930am</t>
  </si>
  <si>
    <t>XT JUN24</t>
  </si>
  <si>
    <t>Lead lag from JBL (in general bonds)</t>
  </si>
  <si>
    <t>950am</t>
  </si>
  <si>
    <t>tt stop + JBL entry</t>
  </si>
  <si>
    <t>YT JUN24</t>
  </si>
  <si>
    <t>YT LEGGED FROM TEDS</t>
  </si>
  <si>
    <t>2H</t>
  </si>
  <si>
    <t>8AM</t>
  </si>
  <si>
    <t xml:space="preserve">TUE: BOJ 8AM, RBA 9AM, BOJ PRESS 12PM, CAD CPI | XT RET with 1 lot multi entry after 30min | carry only flies </t>
  </si>
  <si>
    <t>WED: JPN HOLIDAY, FOMC</t>
  </si>
  <si>
    <t>THU: NZD GDP, AUS LABOR DATA, BOE, US PMI</t>
  </si>
  <si>
    <t>FRI: JPY CPI, US POWELL SPEAKS</t>
  </si>
  <si>
    <t>AFTER FOMC FIND RANGE AND TRY RANGEBOUND</t>
  </si>
  <si>
    <t>ALSO LOOK FOR CURVE ANOMALY, HEDGED COMBOS IN DEFLIES AFTER FOMC NOT BEFORE</t>
  </si>
  <si>
    <t>POST 9AM</t>
  </si>
  <si>
    <t>BOJ INT RATE HIKES TO 0% + SCRAPPED YCC</t>
  </si>
  <si>
    <t>9am</t>
  </si>
  <si>
    <t>RBA PAUSES</t>
  </si>
  <si>
    <t>BEFORE EVENT</t>
  </si>
  <si>
    <t>NOT HIKES IN AUSSIE WOSE CASE ALSO VERY LESS</t>
  </si>
  <si>
    <t>6MINS</t>
  </si>
  <si>
    <t>event</t>
  </si>
  <si>
    <t>cool</t>
  </si>
  <si>
    <t>930AM</t>
  </si>
  <si>
    <t>IR JUN24</t>
  </si>
  <si>
    <t>RZ 95.78 + RANGEBOUND</t>
  </si>
  <si>
    <t>2pm</t>
  </si>
  <si>
    <t>ONLY DEFLY / FLY . HARD ONLY. FULL TRIMESTER (BY APRIL)</t>
  </si>
  <si>
    <t>RANGED . TEDS | TRY MANUAL RANGED AS WEEL | ASE 2 LOTS</t>
  </si>
  <si>
    <t>FOMC | HEDGED COMBO</t>
  </si>
  <si>
    <t>W OR HOURLY TRADES ONLY</t>
  </si>
  <si>
    <t>XT CAN TRY</t>
  </si>
  <si>
    <t>&lt;1D</t>
  </si>
  <si>
    <t>NEED TO EXIT B4 FOMC AS CANT CARRY SPDS THROUGH EVENTS ESPECIALLY WITH 110 LOTS</t>
  </si>
  <si>
    <t>exit after fomc and focus on better trades or adding to the same trade</t>
  </si>
  <si>
    <t>IF D24 SPD EXIT THEN M25 S @ -0.09 SCRATCH by b</t>
  </si>
  <si>
    <t>EMP CHANGE FEB (P0.5K F40K A116.5K)</t>
  </si>
  <si>
    <t>XT WENT DOWN, FRONT SPDS WENT UP 3,2 TICKS</t>
  </si>
  <si>
    <t>UE FEB (P4.1% F4% A3.7%)</t>
  </si>
  <si>
    <t>Momentum</t>
  </si>
  <si>
    <t>22m</t>
  </si>
  <si>
    <t>next entry &gt;=1</t>
  </si>
  <si>
    <t>1030am</t>
  </si>
  <si>
    <t>4h</t>
  </si>
  <si>
    <t>149pm, 216pm, 609PM</t>
  </si>
  <si>
    <t>FRIYAY RET trades in value zones + DEAD SCALPING IN W (D) FROM THE DIRECTION OF THE BEST POSSIBLE FLY</t>
  </si>
  <si>
    <t>teds squeeze zones entry from calendar</t>
  </si>
  <si>
    <t>NO OUTRIGHTS ON FRIDAY | did not follow</t>
  </si>
  <si>
    <t>915AM</t>
  </si>
  <si>
    <t>M26 TED</t>
  </si>
  <si>
    <t>Scalping + BACKUP OF YT FIBO ENTRY</t>
  </si>
  <si>
    <t>25 mar 305am</t>
  </si>
  <si>
    <t>manual entry from fibo</t>
  </si>
  <si>
    <t>Fibo 61.8% ret</t>
  </si>
  <si>
    <t>45m</t>
  </si>
  <si>
    <t xml:space="preserve">FIBO DOESNT WORK IN XT / failed in this setup at least try fibo ext next time </t>
  </si>
  <si>
    <t xml:space="preserve">NEVER TRY AGAIN </t>
  </si>
  <si>
    <t>DO ONLY MOMENTUM</t>
  </si>
  <si>
    <t xml:space="preserve">VERY SLOW TAKES A LOT OF TIME | NOT WORTH IT </t>
  </si>
  <si>
    <t xml:space="preserve">FRI AVOID ANY FORM OF OUTRIGHT TRADES </t>
  </si>
  <si>
    <t>XT SLOW BOND | OBSERVE US 10Y IN TRADINGVIEW AND PLAY THE LAGGING GAME AFTER SOMETIME</t>
  </si>
  <si>
    <t>ONLY DEFLY / FLY . HARD ONLY. FULL TRIMESTER (BY APRIL) | all entries MUST be from this angle</t>
  </si>
  <si>
    <t>NO OUTRIGTHS ON FRIDAY / before holiday</t>
  </si>
  <si>
    <t>NO TEDS OR SCALPING ON THURSDAY</t>
  </si>
  <si>
    <t>YT FIBO EXTREME LEVEL ONLY + VAR DAILY 4,4 FOT TED ANYONE ENTRY FROM YT SIDE (MON, TUE, WED)</t>
  </si>
  <si>
    <t>1057am</t>
  </si>
  <si>
    <t>TRY TO TAKE MORE NEAR 0 (S24 FLY @ 0,1 OR J24 FLY @ 0,-1)</t>
  </si>
  <si>
    <t>549AM</t>
  </si>
  <si>
    <t>&gt;=2</t>
  </si>
  <si>
    <t>NEED TO MAKE S24 FLY SELL @ 0 in the next week (55 lots)</t>
  </si>
  <si>
    <t>or exit @ 2 ticks +2 or more</t>
  </si>
  <si>
    <t>buy d24 spd 1st to make s24 fly (HAVE 2 ENTRY 55 EACH)</t>
  </si>
  <si>
    <t>ONLY DEFLY / FLY TRADES UNTIL 12.5K (MAKE THE BEST AVAILABLE FLY IN THE CURRENT MARKET WITH 40 LOTS (WITHIN 1 WEEK EXIT) AND ADD TILL 100 AT THE REQUIRED ZONE | if first fails better to make some defly to buy time instead of losses</t>
  </si>
  <si>
    <t>zen</t>
  </si>
  <si>
    <t>stat an of ir and on ranged states take such trades | will require patience and trust in maths/stats/system</t>
  </si>
  <si>
    <t>443am</t>
  </si>
  <si>
    <t>833AM</t>
  </si>
  <si>
    <t>-27 some and carry towards 24</t>
  </si>
  <si>
    <t>add more till 31 upto 40-50 lots</t>
  </si>
  <si>
    <t>120pm, 3pm</t>
  </si>
  <si>
    <t>1040AM</t>
  </si>
  <si>
    <t>M26 TED MANUALLY YT</t>
  </si>
  <si>
    <t>scalping</t>
  </si>
  <si>
    <t>27 MAR 630AM</t>
  </si>
  <si>
    <t>get outta here</t>
  </si>
  <si>
    <t>SO MANUAL ENTRY WILL HAVE BETTER ODDS WITH 1 ENTRY AND THEN THE OTHER ENTRY FROM ASE LATER ON WITH 2 LOTS</t>
  </si>
  <si>
    <t>DO NOT TAKE 3-10 | IT DOESNT WORK</t>
  </si>
  <si>
    <t>SO MANUAL ENTRY WILL HAVE BETTER ODDS WITH 1 ENTRY || THEN THE OTHER ENTRY FROM ASE LATER ON WITH 2 LOTS</t>
  </si>
  <si>
    <t>615am</t>
  </si>
  <si>
    <t>Scalping + sz (-28 to 31)</t>
  </si>
  <si>
    <t>26 mar 1030pm</t>
  </si>
  <si>
    <t>830am</t>
  </si>
  <si>
    <t>M25 TED MANUALLY IR</t>
  </si>
  <si>
    <t>14h</t>
  </si>
  <si>
    <t>30:24 net 1 win per day will be enough</t>
  </si>
  <si>
    <t>2, 2, 1 in ASE</t>
  </si>
  <si>
    <t>1250pm</t>
  </si>
  <si>
    <t>STICK TO PLAN . done</t>
  </si>
  <si>
    <t>MAKE STRUCTURES BEFORE TRIP | NO SPDS | ONLY FLY OR DEFLY . done</t>
  </si>
  <si>
    <t>1245PM</t>
  </si>
  <si>
    <t>&gt;=3 (3,4)</t>
  </si>
  <si>
    <t>2 APR 4PM, 3 APR 930PM</t>
  </si>
  <si>
    <t>exit within 1-2 weeks must</t>
  </si>
  <si>
    <t>+2, 0 (2) OR +2,-1 (3) OR +2,-2 (4) OR +1,-1 (2) OR +1,-2 (3) OR +1,-3 (4) WORSE: -2,0 (-2) OR -1,0 (-1) OR 0,0 (0) or +2,+1 (1) or +3,+1 (2)| HIGH CONVICTION IS FOR +2,-1 (3) | ODD CASE: +3,0 (3) AT1727OR -1, 1 (-2)</t>
  </si>
  <si>
    <t>LOTS +90,-180,+90 FOR SPDS</t>
  </si>
  <si>
    <t>SELL J24 AT HIGH LEVELS OR BUY S24 AT LOW LEVELS D24 MORE OR LESS STAYS SAME</t>
  </si>
  <si>
    <t xml:space="preserve">RARE CASE BUT POSSIBLE CONSIDERING LUCK IN MARKETS : -13, 16, 13 = +6 EXIT TRY </t>
  </si>
  <si>
    <t>exit flies individually instead of spreads</t>
  </si>
  <si>
    <t>it's difficult to exit with higher lots | so best to enter from 2nd spd leg anyway possible in the direction of current trend / the last spd leg as it should be slowest moving amonngst these</t>
  </si>
  <si>
    <t>enter again @ 2 25 lots</t>
  </si>
  <si>
    <t>432PM</t>
  </si>
  <si>
    <t>SZ (-4 TO -5)</t>
  </si>
  <si>
    <t>HC</t>
  </si>
  <si>
    <t>1 MONTH</t>
  </si>
  <si>
    <t>3w</t>
  </si>
  <si>
    <t>exit 25-40 lots first then exit after a week of mkt activity</t>
  </si>
  <si>
    <t>439pm</t>
  </si>
  <si>
    <t>&lt;12H</t>
  </si>
  <si>
    <t>27 MAR 1055AM</t>
  </si>
  <si>
    <t>3Y BONDS FIBO ENTRY ESPECIALLY IF TEDS ARE RANGED BACKUP WOULD BE RED TED SCRATCH, NOTHING ELSE NO PROFIT TAKING TRADE (try with 1 lot of ted into consideration) | entry from yt</t>
  </si>
  <si>
    <t>IR RANGED DAYS: VAR 3,4 SCALP OR TED BACKUP mostly reds or belly for belly teds (MOST IMPORTANT THING, TRY WITH 1 LOT of ted into consideration) | intra session morning</t>
  </si>
  <si>
    <t>AGGRESSIVE MONEY MANAGEMENT: CONCENTRATE 15% OF ALL MONEY IN ONE TRADE | MOSTLY A DEFLY</t>
  </si>
  <si>
    <t>TIMEOUT IS ESSENTIAL TO PREVENT OVER TRADING, GAMBLING MENTALITY, FORGETING MONEY MANAGEMENT, RISK MANAGEMENT, LOSING DISCIPLINE TO FOLLOW THE SETUPS AND START TRADING INTUITIVELY MORE , LOSING PATIENCE, POOR HEALTH, POOR SLEEP, POOR DECISION MAKING, POOR JUDGEMENT, POOR MENTAL STATE TO TRADE NEXT TIME, POOR LIFE, LOSING MONEY</t>
  </si>
  <si>
    <t>ONLY EXIT TRADES AFTER TODAY'S 1ST SESSION</t>
  </si>
  <si>
    <t>B4 EVENT REMOVE TED ORDER</t>
  </si>
  <si>
    <t>ONLY FLIES AND DEFLIES | WHATEVER BEST PRICE IS AVAILABLE MAKE WITH (B) AND BETTER PRICES WITH (A)</t>
  </si>
  <si>
    <t>TEDS ASE 2 LOTS | ASK FOR MORE LIMITS</t>
  </si>
  <si>
    <t>TEDS MANUALLY 1 LOT SE TRY</t>
  </si>
  <si>
    <t xml:space="preserve">var 3, 4from 2nd spd onwards only </t>
  </si>
  <si>
    <t>ranged 6ms (b) and multi levels (upto 3) distribute the lots | and keep it intraday</t>
  </si>
  <si>
    <t>MONTHLY CPI INDICATOR YOY (P3.4% F3.5% A3.4%)</t>
  </si>
  <si>
    <t>XT DID NOT MOVE MUCH, SPDS 2 TICKS UP DOWN</t>
  </si>
  <si>
    <t>735am</t>
  </si>
  <si>
    <t>TO MAKE S24 SPD @ -15 AND EXIT J24 @ -13 FOR DEFLY EXIT / scalping</t>
  </si>
  <si>
    <t>-13, -15</t>
  </si>
  <si>
    <t>STICK TO YOUR METHOD</t>
  </si>
  <si>
    <t>DEFLY EXIT ALWAYS FROM 3M MID LEG</t>
  </si>
  <si>
    <t xml:space="preserve">DONT HAVE EXTRA TIME TO CLOSE OTHER LEGS + BAD PIQ | THATS A BIGGER RISK </t>
  </si>
  <si>
    <t>RISKING TOO MUCH FOR TOO LITTLE</t>
  </si>
  <si>
    <t>INTRADAY EXIT</t>
  </si>
  <si>
    <t>April 24 live</t>
  </si>
  <si>
    <t>APR.24</t>
  </si>
  <si>
    <t>welcome back</t>
  </si>
  <si>
    <t>IR-TEDS-FLY: VAR hi follow krna h, any other form of entry will have low chances of hedging and success</t>
  </si>
  <si>
    <t>try with 1 lot and check how long usually you have to wait</t>
  </si>
  <si>
    <t>can NEVER execute with higher total lots than spreads</t>
  </si>
  <si>
    <t xml:space="preserve">J24 DEFLY TRY: -13 J24 S, S24 -16 B, D24 -13 S = +6 EXIT </t>
  </si>
  <si>
    <t>OR ELSE TRY +4 IF FAILS THEN +3 | 50 LEFT TRY EXITING 20, 30 LOTS AT A TIME or 1 fly at a time s24 spd exit will be the key</t>
  </si>
  <si>
    <t>change workspace setup for teds quantum strat / fly outright quantum strat</t>
  </si>
  <si>
    <t>NEVER TRADE FOR RECOVERY OF LOSSES. NEVER</t>
  </si>
  <si>
    <t>TRY WITH 1,2,3,4 LOTS FIRST</t>
  </si>
  <si>
    <t>TUE JOLTS | AVOID OUTRIGHTS MOMENTUM AGGRESSIVE| CHECK REVISIONS</t>
  </si>
  <si>
    <t>WED US PMI</t>
  </si>
  <si>
    <t>THU AUD RETAIL SALES, US IJL</t>
  </si>
  <si>
    <t>FRI NFP, UE | VAR3,4 FOR HEDGED COMBO ENTRY</t>
  </si>
  <si>
    <t>1PM</t>
  </si>
  <si>
    <t>3PM</t>
  </si>
  <si>
    <t>315PM</t>
  </si>
  <si>
    <t>3 apr 1155am</t>
  </si>
  <si>
    <t>failed exit</t>
  </si>
  <si>
    <t>VAR 5 DOUBLE LOTS</t>
  </si>
  <si>
    <t>4pm</t>
  </si>
  <si>
    <t>624PM</t>
  </si>
  <si>
    <t>VAR + MEAN 24 SO SHORT ABOVE IT</t>
  </si>
  <si>
    <t>1H, 8H</t>
  </si>
  <si>
    <t>754pm, 3 APR 258AM</t>
  </si>
  <si>
    <t>SCALE DOWN A LITTLE | UNTIL SOME STRAT IS FOUND / FLY</t>
  </si>
  <si>
    <t>1155am</t>
  </si>
  <si>
    <t>ENTIRE FI CURVE GOING UP SO THIS IS STILL SAFE</t>
  </si>
  <si>
    <t>5D</t>
  </si>
  <si>
    <t>9 apr 9am</t>
  </si>
  <si>
    <t>BE MORE SELECTIVE WITH TEDS AND PICK MAX 2 TEDS AND BET ON THE BETTER PRICE / TRADE MORE</t>
  </si>
  <si>
    <t>639PM</t>
  </si>
  <si>
    <t>VAR3 + MEAN 24 SO SHORT ABOVE IT</t>
  </si>
  <si>
    <t>50m</t>
  </si>
  <si>
    <t>ISM NMFG PMI MAR (P58.6 F58.4 A53.4)</t>
  </si>
  <si>
    <t>XT WENT UP SPIKE, SPDS NO CHANGE</t>
  </si>
  <si>
    <t xml:space="preserve">XT JUN24 </t>
  </si>
  <si>
    <t>MOMNTM</t>
  </si>
  <si>
    <t>2M</t>
  </si>
  <si>
    <t>928pm</t>
  </si>
  <si>
    <t>4 apr 354am</t>
  </si>
  <si>
    <t>-9, -13</t>
  </si>
  <si>
    <t>Scratch</t>
  </si>
  <si>
    <t>1251am</t>
  </si>
  <si>
    <t>TO GET TJHE DEFLY BACK IN CASE IT FAILS</t>
  </si>
  <si>
    <t>3AM</t>
  </si>
  <si>
    <t>CANT MAKE ANY FLY SO INTRADAY SCALPING B4 RETAIL SALES WITH SL</t>
  </si>
  <si>
    <t>48M</t>
  </si>
  <si>
    <t>1048am</t>
  </si>
  <si>
    <t>THU NO SCALPING OR TEDS | SO EARLY EXIT</t>
  </si>
  <si>
    <t>FIND A FLY STRUCTURE IN WHITES</t>
  </si>
  <si>
    <t>FRIYAY . AVOID OUTRIGHTS (AT LEAST WITH HEAVY LOTS), VAR3,4, OR ZONES FOR HEDGED FLY</t>
  </si>
  <si>
    <t>wait after data for 15 mins then use ase multiple of them</t>
  </si>
  <si>
    <t xml:space="preserve">Find a short term trade setup and scale up on it | too risky to scale up ONLY in positional trades | one bad day can wipe out </t>
  </si>
  <si>
    <t>Try scalping from Ir, var to make fly, var to make teds from zones</t>
  </si>
  <si>
    <t>OI should be on the lower end after long break so chances of massive squeeze will be less, make deflies with higher than average lots | go UA</t>
  </si>
  <si>
    <t>835am</t>
  </si>
  <si>
    <t>DEFLY @ &gt;=5</t>
  </si>
  <si>
    <t>&lt;=3</t>
  </si>
  <si>
    <t>4d</t>
  </si>
  <si>
    <t>10 apr 11pm</t>
  </si>
  <si>
    <t>UNABLE TO MAKE @ 5 WITH &gt;80 LOTS</t>
  </si>
  <si>
    <t>EXIT STRAT: 3,0 (3) OR 3,-1 (4)</t>
  </si>
  <si>
    <t>EXIT FLIES SEPARATELY</t>
  </si>
  <si>
    <t>scalping + SZ (-10, -11)</t>
  </si>
  <si>
    <t>8 apr 515pm</t>
  </si>
  <si>
    <r>
      <rPr>
        <sz val="10"/>
        <color rgb="FF000000"/>
        <rFont val="Calibri"/>
      </rPr>
      <t xml:space="preserve">WED RBNZ, </t>
    </r>
    <r>
      <rPr>
        <b/>
        <sz val="10"/>
        <color rgb="FF000000"/>
        <rFont val="Calibri"/>
      </rPr>
      <t>US CPI</t>
    </r>
    <r>
      <rPr>
        <sz val="10"/>
        <color rgb="FF000000"/>
        <rFont val="Calibri"/>
      </rPr>
      <t>, BOC INT RATE | HEDGED FLY ENTRY OR PARTIAL EXIT</t>
    </r>
  </si>
  <si>
    <t>THU PPI | NO SCALPING OT TEDS</t>
  </si>
  <si>
    <t>12pm</t>
  </si>
  <si>
    <t>8 APR 940AM</t>
  </si>
  <si>
    <t>NFP MAR (P275K -&gt; 270K F212K A303K)</t>
  </si>
  <si>
    <t>IU WENT DOWN 10 TICKS</t>
  </si>
  <si>
    <t>UE (P3.9% F3.9% A3.8%)</t>
  </si>
  <si>
    <t>DEFLY @ &gt;=5 (fail)</t>
  </si>
  <si>
    <t>B S24 80 X -0.14</t>
  </si>
  <si>
    <t>defly attempt failed</t>
  </si>
  <si>
    <t>2h</t>
  </si>
  <si>
    <t>756pm</t>
  </si>
  <si>
    <t>605PM</t>
  </si>
  <si>
    <t>5M</t>
  </si>
  <si>
    <t>610PM</t>
  </si>
  <si>
    <t>scalping + 50%ile ~ -24 + var3</t>
  </si>
  <si>
    <t>522am</t>
  </si>
  <si>
    <t>SZ (-8 TO -6)</t>
  </si>
  <si>
    <t>925AM</t>
  </si>
  <si>
    <t>D25 TED EXIT + ENTRY</t>
  </si>
  <si>
    <t>940am</t>
  </si>
  <si>
    <t>1240pm</t>
  </si>
  <si>
    <t>STRATS</t>
  </si>
  <si>
    <t>NEW DATA: IR | HL75 | HL90</t>
  </si>
  <si>
    <t>J24 | 2,1 | 3,2</t>
  </si>
  <si>
    <t>S24 | 3,1 | 4,3</t>
  </si>
  <si>
    <t>D24 | 3,2 | 4,2 | 5,3</t>
  </si>
  <si>
    <t>M25 | 4,2 | 4,3 | 5,3</t>
  </si>
  <si>
    <t>J25 | 42, 4,2 | 6,4</t>
  </si>
  <si>
    <t>S25 | 4,2 | 6,4</t>
  </si>
  <si>
    <t>D25 | 4,2 | 4,3 | 5,4</t>
  </si>
  <si>
    <t>50%ile price might change in these few days so if not entering in volatile states, reduce lots or hedge</t>
  </si>
  <si>
    <t>SCALE UP ON TEDS</t>
  </si>
  <si>
    <t>USE ASE of fly outright to use as indicators for entry / exit of middle leg | Also consider getting the best spd leg 1st like with deflies, make the best available fly 1st | or just scalp!</t>
  </si>
  <si>
    <t>TEDS as backup | so multiples of 5 or 10 in IR should be the lot size</t>
  </si>
  <si>
    <t>740pm</t>
  </si>
  <si>
    <t>INTRADAY + 1 FAT FINGER IN BED</t>
  </si>
  <si>
    <t>EXCEPT FOR THE FAT FINGER TRADE | WAS ABLE TO CAPTURE TREND PATTERN + B/O, CAN GO WITH 2 LOTS 1 EXIT QUICK THE OTHER HOLD A LITTLE LONGER / SCRATCH</t>
  </si>
  <si>
    <t>pattern trades is all art so avoid</t>
  </si>
  <si>
    <t xml:space="preserve">You've got tot pull it together </t>
  </si>
  <si>
    <t>Aisi galti fir se mat karna</t>
  </si>
  <si>
    <t xml:space="preserve">make a system </t>
  </si>
  <si>
    <t>Fat finger happens | next time trade actively | not in bed</t>
  </si>
  <si>
    <t>not good in this type of trading, yet | try later after capping some money</t>
  </si>
  <si>
    <t>IF FAT FINGET -&gt;&gt; CUT LOSS IMMEDIATELY | DONT THINK JUST TRY TO SCALP OR HARD SL</t>
  </si>
  <si>
    <t>230AM</t>
  </si>
  <si>
    <t>S25 IR-YT</t>
  </si>
  <si>
    <t>11h</t>
  </si>
  <si>
    <t>spds flipped so no more exposure at least at the same price</t>
  </si>
  <si>
    <t>512AM</t>
  </si>
  <si>
    <t>S25 FLY OUTRIGHT</t>
  </si>
  <si>
    <t>Always exit ir within 30mins no matter what</t>
  </si>
  <si>
    <t>Scratched the last leg as got legged for 30mins</t>
  </si>
  <si>
    <t>TRY TO GET THE BEST SPD 1ST | JUST LIKE FOR DEFLIES USED TO GET BEST FLY FIRST</t>
  </si>
  <si>
    <t>635am</t>
  </si>
  <si>
    <t>S25 TED ENTRY</t>
  </si>
  <si>
    <t>750am</t>
  </si>
  <si>
    <t>Someone else's fat finger (maybe)</t>
  </si>
  <si>
    <t>1145am</t>
  </si>
  <si>
    <t>DEFLY EXIT @ 4</t>
  </si>
  <si>
    <t>210PM</t>
  </si>
  <si>
    <t>FAILED</t>
  </si>
  <si>
    <t>FIRST YOU HAVE TO GET THE MIDDLE LEG</t>
  </si>
  <si>
    <t>so it failed | get out</t>
  </si>
  <si>
    <t>Let the middle leg decide how much we make</t>
  </si>
  <si>
    <t>be defensive in 1st leg</t>
  </si>
  <si>
    <t>mkt behaving stupid | carry strucutres + (D)  lots</t>
  </si>
  <si>
    <t>Use ASE as indicators</t>
  </si>
  <si>
    <t>407am</t>
  </si>
  <si>
    <t>S25 TED ENTRY + EXIT</t>
  </si>
  <si>
    <t>1232am</t>
  </si>
  <si>
    <t>711am</t>
  </si>
  <si>
    <t>defly @&gt;=5</t>
  </si>
  <si>
    <t>1037pm</t>
  </si>
  <si>
    <t>Could not get more</t>
  </si>
  <si>
    <t>IR D25</t>
  </si>
  <si>
    <t>ALGO ERR</t>
  </si>
  <si>
    <t>208PM</t>
  </si>
  <si>
    <t>FAT FINGER</t>
  </si>
  <si>
    <t>bad luck 100</t>
  </si>
  <si>
    <t>US CORE CPI MOM MAR (P0.4% F0.3% A)</t>
  </si>
  <si>
    <t>US CPI MOM MAR (P0.4% F0.3% A)</t>
  </si>
  <si>
    <t>CPI YOY MAR (P3.2% F3.4% A)</t>
  </si>
  <si>
    <t>&lt;1S</t>
  </si>
  <si>
    <t>luck100</t>
  </si>
  <si>
    <t>M26 IR-YT</t>
  </si>
  <si>
    <t>scalping + SZ (-3)</t>
  </si>
  <si>
    <t>3M</t>
  </si>
  <si>
    <t>IR DEC25</t>
  </si>
  <si>
    <t>RET ORDER AT SOME LEVEL</t>
  </si>
  <si>
    <t>removed remaining orders on time</t>
  </si>
  <si>
    <t>scalping + 50%ile ~ -24 + var5</t>
  </si>
  <si>
    <t>19M</t>
  </si>
  <si>
    <t>failed so exit quickly</t>
  </si>
  <si>
    <t>RIGHT</t>
  </si>
  <si>
    <t>lost less than expected</t>
  </si>
  <si>
    <t>VAR</t>
  </si>
  <si>
    <t>S24 9M SPD</t>
  </si>
  <si>
    <t>save</t>
  </si>
  <si>
    <t>DEFLY EXIT (FAIL)</t>
  </si>
  <si>
    <t>12H+</t>
  </si>
  <si>
    <t>11 apr 727am</t>
  </si>
  <si>
    <t>SCALPING (RZ) + RET</t>
  </si>
  <si>
    <t>11 APR 515AM</t>
  </si>
  <si>
    <t xml:space="preserve">NOW NEW RANGE MIGHT FORM IN THE NXT COMING DAYS </t>
  </si>
  <si>
    <t>6MS 50%ILE NEW DATA MIGHT BE MADE BY NEXT WEEK</t>
  </si>
  <si>
    <t>COULD NOT EXIT @ 18 SO OUT @ 17</t>
  </si>
  <si>
    <t>wait for new range to be formed</t>
  </si>
  <si>
    <t>J24 9M SPD</t>
  </si>
  <si>
    <t>11 apr 526am</t>
  </si>
  <si>
    <t>BAD LUCK GOT SQUEEZED IN OUTRIGHTS</t>
  </si>
  <si>
    <t>EXIT THROUGH 9M SPD BETTER AND SHOULD HAVE HELD THE FIRST OUTRIGHT AS IT IS RANGEBOUND AND IN SZ</t>
  </si>
  <si>
    <t>BUT BAAT BARABAR HI THI</t>
  </si>
  <si>
    <t>lost more than supposed to (222$ EXTRA)</t>
  </si>
  <si>
    <t>avoid holding 9m for long if you try again</t>
  </si>
  <si>
    <t>PIQ doesnt matter in these contracts</t>
  </si>
  <si>
    <t>672$ extra</t>
  </si>
  <si>
    <t>HAS TO BE SOME CUTS PRICED IN THIS REGION</t>
  </si>
  <si>
    <t>ADD MORE TILL -7</t>
  </si>
  <si>
    <t>18H</t>
  </si>
  <si>
    <t>11 APR 1240PM</t>
  </si>
  <si>
    <t>this should not go much up</t>
  </si>
  <si>
    <t>D25 TED ENTRY</t>
  </si>
  <si>
    <t>1227AM</t>
  </si>
  <si>
    <t>1020PM</t>
  </si>
  <si>
    <t>D24 6M SPD</t>
  </si>
  <si>
    <t>1045pm</t>
  </si>
  <si>
    <t>1224AM</t>
  </si>
  <si>
    <t>IR J24</t>
  </si>
  <si>
    <t>WAIT FOR NEW RANGES TO BE FORMED | timeout</t>
  </si>
  <si>
    <t>UNTIL THEN AVOID 6MS AND FRONT SPD OR FLY</t>
  </si>
  <si>
    <t xml:space="preserve">LOOK FROM 3RD SPD ONWARDS AND WITH (B) LOTS </t>
  </si>
  <si>
    <t xml:space="preserve">LOOK FOR TEDS WITH 1 LOT </t>
  </si>
  <si>
    <t>a good defly has to be made in multiple attempts total 100 lots</t>
  </si>
  <si>
    <t>FRONT SPD NO TOUCHING</t>
  </si>
  <si>
    <t>JUST MINIMIZING LOSSES</t>
  </si>
  <si>
    <t>TIMEOUT | NEXT WEEK TRADE ONWARDS NEW ENTRIES</t>
  </si>
  <si>
    <t>SO NO NEW TRADES THIS WEEK</t>
  </si>
  <si>
    <t>ENTER ONLY A FLY WITH ~50 LOTS so 100 from middle leg</t>
  </si>
  <si>
    <t>109pm</t>
  </si>
  <si>
    <t>S24 FLY (1)</t>
  </si>
  <si>
    <t>if can scratch then prevented 1 tick loss</t>
  </si>
  <si>
    <t>SCRATCH HALF ASAP then make @ 0</t>
  </si>
  <si>
    <t>Scratch scratch, scratch</t>
  </si>
  <si>
    <t>30 lots 2 ticks anti | try to scratch</t>
  </si>
  <si>
    <t>this was a red trade &gt; minimized by making fly</t>
  </si>
  <si>
    <t>similar shit in outrights have to figure out</t>
  </si>
  <si>
    <t>1pm</t>
  </si>
  <si>
    <t>CUTS SHIFTING AT BACK</t>
  </si>
  <si>
    <t>(WHITES LONG WITH REDS SHORT) BETTER TO MAKE FLY</t>
  </si>
  <si>
    <t>19 apr 4am</t>
  </si>
  <si>
    <t>waste of margin + teds opportunity</t>
  </si>
  <si>
    <t>128pm</t>
  </si>
  <si>
    <t>M25 SPD (1)</t>
  </si>
  <si>
    <t>140pm</t>
  </si>
  <si>
    <t xml:space="preserve">S24 6M FLY </t>
  </si>
  <si>
    <t>1 rate cut and in dec</t>
  </si>
  <si>
    <t>FLY @ 0 LONG + WHITES LONG REDS SHORT</t>
  </si>
  <si>
    <t>611pm</t>
  </si>
  <si>
    <t>S24 -8 B, M25 -8 S</t>
  </si>
  <si>
    <t>807am</t>
  </si>
  <si>
    <t xml:space="preserve">scalping </t>
  </si>
  <si>
    <t>1050am</t>
  </si>
  <si>
    <t>144PM</t>
  </si>
  <si>
    <t>VAR + SCALPING</t>
  </si>
  <si>
    <t xml:space="preserve">should be scratchable </t>
  </si>
  <si>
    <t xml:space="preserve">next week mostly no event | find a fly structure </t>
  </si>
  <si>
    <t>CAN MAKE FLY @ 0</t>
  </si>
  <si>
    <t>WRONG CONDITION IN SL</t>
  </si>
  <si>
    <t>saved | flipped later anyways</t>
  </si>
  <si>
    <t>303pm</t>
  </si>
  <si>
    <t>M26 IRYT</t>
  </si>
  <si>
    <t>similar to reds short trade (FOR DIRECTION)</t>
  </si>
  <si>
    <t>422pm</t>
  </si>
  <si>
    <t>622pm</t>
  </si>
  <si>
    <t>J24  DEFLY (1) -&gt; S24 FLY</t>
  </si>
  <si>
    <t>RZ (5 TO 7)</t>
  </si>
  <si>
    <t>&lt;=2</t>
  </si>
  <si>
    <t xml:space="preserve">90 more @ &gt;=5 </t>
  </si>
  <si>
    <t>more defly @ &gt;=5</t>
  </si>
  <si>
    <t>Scratch @ 3 20 lots</t>
  </si>
  <si>
    <t>s24 fly exit @ 1 so J24 FLY EXIT @ &lt;=4 (SCRATCH @ 4)</t>
  </si>
  <si>
    <t>IF WE CONSIDER S24 FLY @ 1 SCRATCH THEN J24 FLY IS SHORT @ 4</t>
  </si>
  <si>
    <t>626pm</t>
  </si>
  <si>
    <t>CAN MAKE DEFLY @ 4 OR 5</t>
  </si>
  <si>
    <t>15 apr 430am</t>
  </si>
  <si>
    <t>make deflies @ &gt;=5</t>
  </si>
  <si>
    <t>so -5, -4 short 30 each</t>
  </si>
  <si>
    <t xml:space="preserve">take 10,-9 b </t>
  </si>
  <si>
    <t>30 exit done | remaining 30 for defly</t>
  </si>
  <si>
    <t>FRIYAY RET</t>
  </si>
  <si>
    <t>823pm</t>
  </si>
  <si>
    <t>D25 IRYT</t>
  </si>
  <si>
    <t>PREV SZ TO RZ</t>
  </si>
  <si>
    <t>15 apr 512am</t>
  </si>
  <si>
    <t>740am</t>
  </si>
  <si>
    <t>Not many cuts in that zone</t>
  </si>
  <si>
    <t>1130am</t>
  </si>
  <si>
    <t>US RS (P0.9% UP  F0.4% A0.7%)</t>
  </si>
  <si>
    <r>
      <rPr>
        <b/>
        <sz val="10"/>
        <color rgb="FF000000"/>
        <rFont val="Calibri"/>
      </rPr>
      <t xml:space="preserve">HL75 | TOTAL 120 front  (40, 40, 40) (30, 30, 60) or (60,60) | belly (60,60) back (90, 30) | </t>
    </r>
    <r>
      <rPr>
        <sz val="10"/>
        <color rgb="FF000000"/>
        <rFont val="Calibri"/>
      </rPr>
      <t>2nd entry onwards keep hedging</t>
    </r>
  </si>
  <si>
    <t xml:space="preserve">HEDGED FLY / COMBOS / DEFLIES | 150 (FULL CLIP) </t>
  </si>
  <si>
    <t>13h</t>
  </si>
  <si>
    <t>16 apr 755am</t>
  </si>
  <si>
    <t>739PM</t>
  </si>
  <si>
    <t>D24 FLY</t>
  </si>
  <si>
    <t>1127am</t>
  </si>
  <si>
    <t>J24 FLY (1) (Q)</t>
  </si>
  <si>
    <t>HEDGED + CAN MAKE DEFLY @ 5</t>
  </si>
  <si>
    <t>17 apr, 18 apr</t>
  </si>
  <si>
    <t>TUE POWELL SPEAKS 1030PM</t>
  </si>
  <si>
    <t>WED NZD CPI 415AM</t>
  </si>
  <si>
    <t>THU AUD LABOUR DATA, PHILLY FED, FED MEMBERS</t>
  </si>
  <si>
    <t>FRIYAY</t>
  </si>
  <si>
    <t>Q: NEECHE GAYA TOH YE COMBO EXIT</t>
  </si>
  <si>
    <t>TRYING RET</t>
  </si>
  <si>
    <t>Had to leave for gym + not more than 30 mins</t>
  </si>
  <si>
    <t>6 MISN LATER SCRATCH POSSIBLE</t>
  </si>
  <si>
    <t>11PM</t>
  </si>
  <si>
    <t>POWELL HAWKISH SPEECH</t>
  </si>
  <si>
    <t>10PM</t>
  </si>
  <si>
    <t>rz used for exit</t>
  </si>
  <si>
    <t xml:space="preserve">Scalping (RZ) </t>
  </si>
  <si>
    <t>1am</t>
  </si>
  <si>
    <t>start reducing positions before lmonth end</t>
  </si>
  <si>
    <t>415am</t>
  </si>
  <si>
    <t>NZD CPI YOY (4%)</t>
  </si>
  <si>
    <t>NZD CPI QOQ (P0.5% F0.6% A0.6%)</t>
  </si>
  <si>
    <t>610AM</t>
  </si>
  <si>
    <t>5m</t>
  </si>
  <si>
    <t>641am</t>
  </si>
  <si>
    <t>M26 IR|YT</t>
  </si>
  <si>
    <t>1130pm</t>
  </si>
  <si>
    <t>Luck100</t>
  </si>
  <si>
    <t>BOND MARKET IS TOUGH TO TRADE RN</t>
  </si>
  <si>
    <t>BETTER TO AVOID | especially either sides of belly</t>
  </si>
  <si>
    <t>ILLIQUID IN DOWNWARD DIRECTION</t>
  </si>
  <si>
    <t>1150am</t>
  </si>
  <si>
    <t>S24 FLY LONG @1 (or 2 some lots if hits -6)</t>
  </si>
  <si>
    <t>HIGH EXPOSURE</t>
  </si>
  <si>
    <t>1248pm</t>
  </si>
  <si>
    <t>J24 6M FLY (Q)</t>
  </si>
  <si>
    <t>Hedged combo (fronts long and backs short structure)</t>
  </si>
  <si>
    <t>so now only sep24 leg of s24 fly is long with 25 lots | BASICALLY EXIT S24 SPD WHEN / IF IT GOES UP</t>
  </si>
  <si>
    <t>Q: UPAR GAYA TO YE COMBO EXIT</t>
  </si>
  <si>
    <t>153pm</t>
  </si>
  <si>
    <t>18 apr545am</t>
  </si>
  <si>
    <t>HC  + defly ~3</t>
  </si>
  <si>
    <t>22 apr 4am</t>
  </si>
  <si>
    <t>AUD EMP CHANGE MAR (P116K F7.2K A)</t>
  </si>
  <si>
    <t>AUD UE (P3.7% F3.9% A)</t>
  </si>
  <si>
    <t>656am</t>
  </si>
  <si>
    <t>Sz -4</t>
  </si>
  <si>
    <t>UE RATE WAS GREEN</t>
  </si>
  <si>
    <t>E CHANGE CAME NEGATIVE SO SHORT BUT LOST EXTRA 1 TICK (58$)</t>
  </si>
  <si>
    <t>CUT AT LOWEST :)</t>
  </si>
  <si>
    <t>CLIPS: FRONT 2 SPDS 1,30,40,60</t>
  </si>
  <si>
    <t>3,4 SPDS: 1,30,60</t>
  </si>
  <si>
    <t>5 ONWARDS: 50,100</t>
  </si>
  <si>
    <r>
      <rPr>
        <b/>
        <sz val="10"/>
        <color rgb="FF000000"/>
        <rFont val="Calibri"/>
      </rPr>
      <t xml:space="preserve">HL75 | TOTAL 120 front 100 if fly trade else if fly as backup then (60,60) or (40, 40, 40) (30, 30, 60)  | belly (60,60) back (90, 30) | </t>
    </r>
    <r>
      <rPr>
        <sz val="10"/>
        <color rgb="FF000000"/>
        <rFont val="Calibri"/>
      </rPr>
      <t xml:space="preserve">2nd entry onwards keep hedging </t>
    </r>
  </si>
  <si>
    <t xml:space="preserve">HEDGED FLY / COMBOS / DEFLIES | 150 (FULL CLIP)  </t>
  </si>
  <si>
    <t>RED FLY | 100, 100</t>
  </si>
  <si>
    <t>DON'T THINK JUST DO</t>
  </si>
  <si>
    <t>START EXITING BY NEXT WEEK END</t>
  </si>
  <si>
    <t>ONLY EXITS NOW + scale down in fronts (END OF TRIMESTER STUPID MOVES)</t>
  </si>
  <si>
    <t>STRATS | 25 lots each 3 levels around these prices</t>
  </si>
  <si>
    <t>25 lots each 3 levels around these prices | so start with 8 lots (1 then 7)</t>
  </si>
  <si>
    <t>USE 1 LOT FOR BR AND SR VERY CAREFULLY</t>
  </si>
  <si>
    <t>ALTERNATE CONTRACTS</t>
  </si>
  <si>
    <t>639am</t>
  </si>
  <si>
    <t>ISRAEL ATTACKS IRAN: SIMULTANEOUS EXPLOSIONS REPORTED IN IRAN, SYRIA, AND IRAQ ACCORDING TO INITIAL REPORTS</t>
  </si>
  <si>
    <t>Momentum + TREND TRYING</t>
  </si>
  <si>
    <t xml:space="preserve">IR JUN24 </t>
  </si>
  <si>
    <t>S24 SPD -7 X65 LOTS / D24 SPD -8 X 65</t>
  </si>
  <si>
    <t>905AM</t>
  </si>
  <si>
    <t>IRANIAN OFFICIAL TO REUTERS "THERE WAS NO MISSILE ATTACK ON IRAN" - RTRS | - Says Explosion Was A Result Of Activation Of Air Defence</t>
  </si>
  <si>
    <t>SCALPING LIKE AN IDIOT</t>
  </si>
  <si>
    <t>WED AUD CPI | EMPTY GRID BEFORE THAT | intraday short term with 4 lots XT | EXIT OR MAKE FLY AS HOLIDAY + GDP NEXT DAY</t>
  </si>
  <si>
    <t>THU HOLIDAY + us gdp</t>
  </si>
  <si>
    <t>FRI US PCE</t>
  </si>
  <si>
    <t>FRIYAY TRADES</t>
  </si>
  <si>
    <t xml:space="preserve">Rz </t>
  </si>
  <si>
    <t>D24 FLY @ 0 S or later s24 defly b @ 1</t>
  </si>
  <si>
    <t>FLY @ 1 OR 2 (SCRATCH)</t>
  </si>
  <si>
    <t>D24 -9 b EXIT | s24 -8 s left</t>
  </si>
  <si>
    <t>WHY MAKE FLY ? BECAUSE GOING ANTI BUT DID NOT GO ANTI</t>
  </si>
  <si>
    <t>SO WE NEED 2 ENTRIES TO BE CONFIDENT?!</t>
  </si>
  <si>
    <t>GO 75, 75. then hit 25 if going in favour then make a fly with those 25 lots first</t>
  </si>
  <si>
    <t>TARGET NOW -2 IF GET BACK IN THE STRAT</t>
  </si>
  <si>
    <t>RUSHED THE EXIT + AUD CPI MIGHT PROVIDE BETTER OPPORTUNITIES SO GET READY OR THAT</t>
  </si>
  <si>
    <t>BETTER TO SHORT AGAIN @ 0,-1 | FOR 100, 100 OR BUY -2, -3 FOR 100,100</t>
  </si>
  <si>
    <t>510AM</t>
  </si>
  <si>
    <t>2h, 3h</t>
  </si>
  <si>
    <t>743am, 914am</t>
  </si>
  <si>
    <t>EXIT NEXT SESSION</t>
  </si>
  <si>
    <t>ADD MORE @ -10</t>
  </si>
  <si>
    <t>greedy quick exit try</t>
  </si>
  <si>
    <t>ALWAYS TRY FOR 2 TICKS IN WHITE ELSE IF EXIT FAILS THEN 1 TICK</t>
  </si>
  <si>
    <t>ADD MORE @ -9</t>
  </si>
  <si>
    <t xml:space="preserve">HL75 | TOTAL 120 front (60,60) if in favour then add 25, belly (75,75) back (150) </t>
  </si>
  <si>
    <t>AUD CPI YOY Q1 (P4.1% F3.4% A3.6%)</t>
  </si>
  <si>
    <t>SPDS WENT UP VAR 8,9 FRONT 2ND VAR 5,6 3RD VAR 3</t>
  </si>
  <si>
    <t xml:space="preserve">LOSS BOOKING HAS HAPPENED WHEN WENT POSITIVE 2 FLIPPED, SO SHOULD GO BACK TO THAT LEVEL AT SOME POINT </t>
  </si>
  <si>
    <t xml:space="preserve">TRY TO EXIT / REDUCE BY THIS WEEK AT BEST PRICES IN HTE RNAGE WITH FEW LOTS AT A TIME </t>
  </si>
  <si>
    <t>SCALP in the ranges if exit not possible</t>
  </si>
  <si>
    <t>AUD CPI QOQ Q1 (P0.6% F0.8% A1%)</t>
  </si>
  <si>
    <t>TRIMMED MEAN QOQ Q1 (P0.8% F0.8% A1%)</t>
  </si>
  <si>
    <t>TRIMMED MEAN CPI YOY (P4.2% F3.8% A4%)</t>
  </si>
  <si>
    <t>EVENT SCALPING + VAR5</t>
  </si>
  <si>
    <t>EVENT SCALPING + VAR 5</t>
  </si>
  <si>
    <t>EVENT SCALPING + VAR3</t>
  </si>
  <si>
    <t>RET OR VAR7!</t>
  </si>
  <si>
    <t>9 MIN, 19M, 2.5H</t>
  </si>
  <si>
    <t>HC FOR ANTI LEG</t>
  </si>
  <si>
    <t>25 apr 1240pm</t>
  </si>
  <si>
    <t>SCRATCH &gt; minimize loss (7,8 exit try)</t>
  </si>
  <si>
    <t>IR J24 NEECHE BUY KRNA H, IR SEP24 UPAR SELL KRNA H | TRY VAR PLAY TILL FRI WITH 10 LOTS X 2 | VAR J23 . 2,3 | S24 . 3,4</t>
  </si>
  <si>
    <t>BY MON EXIT ALL</t>
  </si>
  <si>
    <t>800 extra</t>
  </si>
  <si>
    <t>J24 6M FLY</t>
  </si>
  <si>
    <t>HC FOR ANTI LEG OF RZ</t>
  </si>
  <si>
    <t>HOLD</t>
  </si>
  <si>
    <t>J24 6M FLY (1)</t>
  </si>
  <si>
    <t>HC FOR ANTI LEG FOR RZ</t>
  </si>
  <si>
    <t>SCRACTH asap / reduce in 2nd session</t>
  </si>
  <si>
    <t>J24 3 x 50, S24 -5 x 50</t>
  </si>
  <si>
    <t>1200 extra</t>
  </si>
  <si>
    <t>RET + RZ</t>
  </si>
  <si>
    <t>via IR</t>
  </si>
  <si>
    <t>VAR1</t>
  </si>
  <si>
    <t>31 LEFT @ -7</t>
  </si>
  <si>
    <t>J25 IRYT</t>
  </si>
  <si>
    <t>450pm</t>
  </si>
  <si>
    <t>IR S24</t>
  </si>
  <si>
    <t>THU US GDP</t>
  </si>
  <si>
    <t xml:space="preserve">WED FED INT RATE | EMPTY GRID </t>
  </si>
  <si>
    <t>S24 SPD IR</t>
  </si>
  <si>
    <t>Trend temporary scalp + some spd exit (j24 as high exposure)</t>
  </si>
  <si>
    <t>EXITS ONLY AND SCALPING INTRADAY</t>
  </si>
  <si>
    <t>EMPTY GRID BY TUE 1ST SESSION</t>
  </si>
  <si>
    <t>2AM</t>
  </si>
  <si>
    <t>D24 SPD (1)</t>
  </si>
  <si>
    <t>TO HEDGE FRONT EXPOSURE</t>
  </si>
  <si>
    <t>S25 IR|YT</t>
  </si>
  <si>
    <t>convert to defly + reduce front exposure TO 75</t>
  </si>
  <si>
    <t>CONVERT PRESENT STRUCTURE INTO A FRONT DEFLY SHORT | WE NEED A DEFLY STRUCTURE</t>
  </si>
  <si>
    <t>SO PICK BEST PRICES | J24 S ABOVE AND S24 BUY BELOW AND D24 SELL ABOVE</t>
  </si>
  <si>
    <t>-125,375,-375,125</t>
  </si>
  <si>
    <t>AND THEN ADD MORE FROM MIDDLE LEG</t>
  </si>
  <si>
    <t>B J24 50, B S24 135, S D24 225</t>
  </si>
  <si>
    <t xml:space="preserve">BET AGAINST J24 FLY &gt;=10 </t>
  </si>
  <si>
    <t>defly short @ around 10</t>
  </si>
  <si>
    <t>GG &gt;&gt; GENIUS</t>
  </si>
  <si>
    <t>YOU ARE COOKING THE MARKETS</t>
  </si>
  <si>
    <t>US GDP QOQ (P3.4% F2.5% A1.6%)</t>
  </si>
  <si>
    <t>NO F WERE GIVEN</t>
  </si>
  <si>
    <t>US CORE PCE PRICES (P2% F3.4% A3.7%)</t>
  </si>
  <si>
    <t>MKT RESPECTED THIS 1 STAR EVENT (HAWKISH)</t>
  </si>
  <si>
    <t>HC QUANTUM</t>
  </si>
  <si>
    <t>in the money @ 9 for now</t>
  </si>
  <si>
    <t>REDUCE TO 60 LOTS BEFORE FED</t>
  </si>
  <si>
    <t>75 left | add 45 to this structure at best quantum wave prices | 61 left added 30 and 40 lot fly</t>
  </si>
  <si>
    <t>30 out so 60 s24 out</t>
  </si>
  <si>
    <t>PRICING IF HIKE COMES IN FRONT OR CUTS DISAPPEAR SPD WOULD GO POSITIVE</t>
  </si>
  <si>
    <t xml:space="preserve">HC </t>
  </si>
  <si>
    <t>STICKING WITH FLIES NOW</t>
  </si>
  <si>
    <t xml:space="preserve">scalping at 2 ticks onwards and consecutive scalping </t>
  </si>
  <si>
    <t>50 left | add 50 more</t>
  </si>
  <si>
    <t>50 s24 out</t>
  </si>
  <si>
    <t>10 LEFT EXIT ASAP @ 7 OR 8</t>
  </si>
  <si>
    <t>CONV TO DEFLY</t>
  </si>
  <si>
    <t>US GDP PRICE INDEX QOQ (P1.7% F3% A3.1%)</t>
  </si>
  <si>
    <t>Scalping aotc</t>
  </si>
  <si>
    <t>M25 IR|YT</t>
  </si>
  <si>
    <t>MANUAL EXIT</t>
  </si>
  <si>
    <t>NO TEDS | ONLY STRUCTURES N OUTRIGHTS</t>
  </si>
  <si>
    <t>J25 IR|YT</t>
  </si>
  <si>
    <t>FOR FLY</t>
  </si>
  <si>
    <t>10h</t>
  </si>
  <si>
    <t>219pm</t>
  </si>
  <si>
    <t>657am</t>
  </si>
  <si>
    <t>M25 FLY</t>
  </si>
  <si>
    <t>HC FOR RANGED SPD LEG</t>
  </si>
  <si>
    <t>99 left @ -1</t>
  </si>
  <si>
    <t>50 LEFT @ -1</t>
  </si>
  <si>
    <t>410am</t>
  </si>
  <si>
    <t>IB MAY24</t>
  </si>
  <si>
    <t>RR</t>
  </si>
  <si>
    <t>1 may, 6 may, 7 MAY</t>
  </si>
  <si>
    <t>reduce @ fomc</t>
  </si>
  <si>
    <t>can hold till expiry and then add on aug or jun if any trade available</t>
  </si>
  <si>
    <t>BOJ UNCHANGED</t>
  </si>
  <si>
    <t>IB JUN24</t>
  </si>
  <si>
    <t>Hawkish bias in mkt + rr</t>
  </si>
  <si>
    <t>1113am</t>
  </si>
  <si>
    <t>Pricing also makes no sense</t>
  </si>
  <si>
    <t>220pm</t>
  </si>
  <si>
    <t>if this fails by 2 ticks pricing is BS hedge with s24 and avoid front contracts after that</t>
  </si>
  <si>
    <t xml:space="preserve">S24 SPD </t>
  </si>
  <si>
    <t>wrong algo</t>
  </si>
  <si>
    <t>1148AM</t>
  </si>
  <si>
    <t>US CORE PCE PRICE INDEX MOM MAR (P0.3% F0.3% A0.3%)</t>
  </si>
  <si>
    <t>US CORE PCE PRICE INDEX YOY (P2.8% F2.6 A2.8%)</t>
  </si>
  <si>
    <t>PCE PRICE INDEX MOM MAR (P0.3% F0.3% A0.3%)</t>
  </si>
  <si>
    <t>PCE PRICE INDEX YOY MAR (P2.5% F2.6%  A2.7%)</t>
  </si>
  <si>
    <t>538PM</t>
  </si>
  <si>
    <t>PRICING WISE POSITIVE IF HIKES IN FRONT</t>
  </si>
  <si>
    <t>J24 DEFLY SHORT / J24 FLY SHORT POSSIBLE</t>
  </si>
  <si>
    <t>11 x 40 lots and s24 0 40 lots</t>
  </si>
  <si>
    <t>EXTRA</t>
  </si>
  <si>
    <t>FRIDAY DONT BE AGGRESSIVE AND ATTACKING</t>
  </si>
  <si>
    <t>FOR FLY EXIT @ -2</t>
  </si>
  <si>
    <t>Scratch with tt stop</t>
  </si>
  <si>
    <t>HC + might be getting anti so hedged</t>
  </si>
  <si>
    <t>EXIT &lt;=5 or 6</t>
  </si>
  <si>
    <t>went ot 1 and 2 @ hit was available</t>
  </si>
  <si>
    <t>30 lots could have held longer @ 1,2</t>
  </si>
  <si>
    <t>COULD HAVE MADE 2000$ MORE</t>
  </si>
  <si>
    <t>i did my best</t>
  </si>
  <si>
    <t>u r lucky that u even got to exit b4 fed | morning session that seemed not possible</t>
  </si>
  <si>
    <t>29 apr 631am</t>
  </si>
  <si>
    <t>TT STOP @ 12 ASK CONDITION 2nd session</t>
  </si>
  <si>
    <t>11 x 40 lots</t>
  </si>
  <si>
    <t>J24 DEFLY | 61 left @ 9.7, 40 @ 8, 30 @ 5.7 | EXIT ALL BEFORE FOMC @ &lt;=5 (TOTAL 131)</t>
  </si>
  <si>
    <t xml:space="preserve">J24 11, S24 -1, D24 -8 (5) </t>
  </si>
  <si>
    <t>J24 12, S24 0, D24 -8 (4)</t>
  </si>
  <si>
    <t>D24 (-8,-9) S24 (-1,0) J24 (11,10) |  lots (50,50) (100,100) (50,50) @ eqbm then hit remaining according to mkt</t>
  </si>
  <si>
    <t>EXIT ALL BEFORE FED</t>
  </si>
  <si>
    <t>345PM</t>
  </si>
  <si>
    <t>AUD RETAIL SALES (P0.3% f0.2% a-0.4%)</t>
  </si>
  <si>
    <t>front spd went 4 ticks down, 2nd went 3 ticks down, ir s went 5-6 ticks up</t>
  </si>
  <si>
    <t>SHOULD HAVE SCALPED SOME LOTS AT LEAST OF S24 SPD -4</t>
  </si>
  <si>
    <t>WRONG</t>
  </si>
  <si>
    <t>1109am</t>
  </si>
  <si>
    <t xml:space="preserve">TUE </t>
  </si>
  <si>
    <t>Scalping / RET | var 3 (maybe)</t>
  </si>
  <si>
    <t>738pm</t>
  </si>
  <si>
    <t xml:space="preserve">EXITING QUOTED </t>
  </si>
  <si>
    <t>LEARNINGS / OBSERVATIONS</t>
  </si>
  <si>
    <t xml:space="preserve">REALLY GOOD HEDGING ENTRIES OR STRATS </t>
  </si>
  <si>
    <t xml:space="preserve">LET SOME LOTS JUST RUN AND TRY TO EXIT ON HIT </t>
  </si>
  <si>
    <t>DID SCALPING WHILE IN THE TREND MUCH BETTER (MADE 1280$ EXTRA)</t>
  </si>
  <si>
    <t xml:space="preserve">COULD HAVE MADE 2000$ EXTRA BUT THAT IS ALWAYS POSSIBLE </t>
  </si>
  <si>
    <t>May 24 live</t>
  </si>
  <si>
    <t>MAY.24</t>
  </si>
  <si>
    <r>
      <rPr>
        <b/>
        <sz val="10"/>
        <color rgb="FF000000"/>
        <rFont val="Calibri"/>
      </rPr>
      <t xml:space="preserve">HL75 | TOTAL 120 front (100, 100) or (200, 200) in middle leg if fly trade; else if fly as backup then (60,60) or (40, 40, 40) (30, 30, 60)  | belly (60,60) back (90, 30) | </t>
    </r>
    <r>
      <rPr>
        <sz val="10"/>
        <color rgb="FF000000"/>
        <rFont val="Calibri"/>
      </rPr>
      <t xml:space="preserve">2nd entry onwards keep hedging </t>
    </r>
  </si>
  <si>
    <t>HEDGED FLY / COMBOS / DEFLIES | 150 (FULL CLIP) max lots</t>
  </si>
  <si>
    <t>RED FLY | 150, 150</t>
  </si>
  <si>
    <t>USE TT STOP TO ENTER NEW TRADES TO MAKE AGGRESSIVE FLIES IF FULL CLIP (NOT LOTS) NOT REACHED</t>
  </si>
  <si>
    <t>FRONT 3-4 IRS BEHAVING LIKE ACTIVE BELLY FRON LAST YEAR</t>
  </si>
  <si>
    <t>TARGET ORDERS MAT LAGAO, BAS HEDGE KARO YA SL DEFINE KARO | could not follow it b4 fed meeting!</t>
  </si>
  <si>
    <t xml:space="preserve">NEW SYSTEM NOW </t>
  </si>
  <si>
    <t xml:space="preserve">NEW LEVELS MIGHT FORM SO TRADE AFTERWARDS </t>
  </si>
  <si>
    <t>ONLY BALANCED LOTS</t>
  </si>
  <si>
    <t xml:space="preserve">WED FOMC </t>
  </si>
  <si>
    <t>FRI UE AND NFP</t>
  </si>
  <si>
    <t>NO TRADING @ FED IN FRONT SPD or front any contract</t>
  </si>
  <si>
    <t xml:space="preserve">VAR PLAYS BUT B LOTS NOT A OR UA FROM 2ND SPD ONWARDS </t>
  </si>
  <si>
    <t>S24 IS BEHAVING TRICKY (careful)</t>
  </si>
  <si>
    <t>enter from structure only and scalp later around it</t>
  </si>
  <si>
    <t>NO TEDS OR BOND TRADES</t>
  </si>
  <si>
    <t>TRADE AFTER THE THEME CHANGING EVENT</t>
  </si>
  <si>
    <t>(A) DEFLIES 300 LOTS | so go full clip (200)</t>
  </si>
  <si>
    <t>(A) RANGED 150 so (front3 75,75 | belly 100,50 | back 150)</t>
  </si>
  <si>
    <t xml:space="preserve">ASE TEDS 2 </t>
  </si>
  <si>
    <t>XT EVENT 3,..,3 IF HIGH VOLATILITY EXPECTED THEN 2,..,2,..2</t>
  </si>
  <si>
    <t>TOTAL SHOULD TOUCH 6 NOW FOR XT</t>
  </si>
  <si>
    <t>(A) HL75 200 SO FRONTS (100,.,100) BELLY 100,100, BACKS 200</t>
  </si>
  <si>
    <t>LGAP (180) SO W 90,90 | R 180</t>
  </si>
  <si>
    <t>FLY/DEFLIES ONLY FIRST THEN SCALPING AROUND THEM</t>
  </si>
  <si>
    <t>1130PM</t>
  </si>
  <si>
    <t>US FED INT RATE UNCHANGED</t>
  </si>
  <si>
    <t>GOING FORWARD IMP</t>
  </si>
  <si>
    <t>USE ASE TO PLACE ORDERS AT PRICE</t>
  </si>
  <si>
    <t xml:space="preserve">CHECK WITH LOTS AS PER STRAT AND MKT STATE </t>
  </si>
  <si>
    <t>ENTRY FROM STRUCTURE SIDE</t>
  </si>
  <si>
    <t>S24 FLY S @ 5 OR 6 OR DEFLY @ 5 OR 6</t>
  </si>
  <si>
    <t>745pm</t>
  </si>
  <si>
    <t>US NFP (P315K F238K A175K)</t>
  </si>
  <si>
    <t>REVISIONS WERE HAWKISH</t>
  </si>
  <si>
    <t>yt 10 ticks moved | reds ir 9 ticks</t>
  </si>
  <si>
    <t>US UE (P3.8% F3.8% A3.95)</t>
  </si>
  <si>
    <t>AVG HOURLY EARNINGS (P0.3% F0.4% A0.2%)</t>
  </si>
  <si>
    <t>6 may 940am</t>
  </si>
  <si>
    <t>SZ LGAP</t>
  </si>
  <si>
    <t>734PM</t>
  </si>
  <si>
    <t>BOTTOM</t>
  </si>
  <si>
    <t>SZ LGAP (40)</t>
  </si>
  <si>
    <t>FLY EXIT (60 LOTS  REMAINING 40)</t>
  </si>
  <si>
    <t>716pm</t>
  </si>
  <si>
    <t>ACE</t>
  </si>
  <si>
    <t>this was a gift from mkt</t>
  </si>
  <si>
    <t>next time forget that gift if you want to protect that gift</t>
  </si>
  <si>
    <t>ISM NMFG PMI (APR) (P51.4 F52 A49.4)</t>
  </si>
  <si>
    <t>HIGH DOVE</t>
  </si>
  <si>
    <t>ISM NMFG PRICES (P53.4 F55 A59.2)</t>
  </si>
  <si>
    <t>ULTRA HAWK</t>
  </si>
  <si>
    <t>RBA</t>
  </si>
  <si>
    <t xml:space="preserve">WAIT FOR 1 HR FOR THE SOMP AND PRESSER TO ADD MORE POSITIONS </t>
  </si>
  <si>
    <t>ONLY 50% OF FULL CLIP B4 11AM</t>
  </si>
  <si>
    <t>THEME CHANGING EVENT SO (B) LOTS</t>
  </si>
  <si>
    <t xml:space="preserve">look at somp and then make changes </t>
  </si>
  <si>
    <t>50,50,50 shots for any front fly or defly</t>
  </si>
  <si>
    <t>missed j24 defly long @ 1 (Awesome)</t>
  </si>
  <si>
    <t>RBA INT RATE (4.35%) | 2 meeting pauses now, CPI 4.1%</t>
  </si>
  <si>
    <t>NEED MARGIN FOR RBA DAY</t>
  </si>
  <si>
    <t>REDUCE LOTS AND INCREASE THE GAPS OF ENTRIES FOR STRUCTURES ONLY</t>
  </si>
  <si>
    <t xml:space="preserve">RBA STATEMENT + SOMP + PRESSER IMPORTANT </t>
  </si>
  <si>
    <t>ALERT AFTER 9AM</t>
  </si>
  <si>
    <t>Not the time to make structures but to hit them</t>
  </si>
  <si>
    <t>1115AM</t>
  </si>
  <si>
    <t>207pm</t>
  </si>
  <si>
    <t>Sz</t>
  </si>
  <si>
    <t>less downside</t>
  </si>
  <si>
    <t>SZ</t>
  </si>
  <si>
    <t>HC + cs to cf</t>
  </si>
  <si>
    <t xml:space="preserve">add more @ -2 </t>
  </si>
  <si>
    <t>OKAY</t>
  </si>
  <si>
    <t>NEED 50 OR 60 IN D24 -10</t>
  </si>
  <si>
    <t>10AM</t>
  </si>
  <si>
    <t>RBA UNCHANGED (4.35%)</t>
  </si>
  <si>
    <t>BULLOCK: IF SERVICES INFLATION GETS STUCK, WILL NEED TO ACT</t>
  </si>
  <si>
    <t>4w</t>
  </si>
  <si>
    <t>55 left</t>
  </si>
  <si>
    <t>S24 FLY (3) -&gt;</t>
  </si>
  <si>
    <t>WAY ABOVE RZ</t>
  </si>
  <si>
    <t xml:space="preserve">FLY   </t>
  </si>
  <si>
    <t>1135AM</t>
  </si>
  <si>
    <t>75 LOT FLY @ -3</t>
  </si>
  <si>
    <t>1154AM</t>
  </si>
  <si>
    <t>1155AM</t>
  </si>
  <si>
    <t>S24 DEFLY (2)</t>
  </si>
  <si>
    <t>20 left</t>
  </si>
  <si>
    <t>510pm</t>
  </si>
  <si>
    <t>sz</t>
  </si>
  <si>
    <t>defly + hc</t>
  </si>
  <si>
    <t>whole month</t>
  </si>
  <si>
    <t>2w</t>
  </si>
  <si>
    <t>IR 4,5 TICKS UPAR NEECHE ORDERS LAGA DO 25 LOTS FOR SCALPING OR FLY / SPD MAKING</t>
  </si>
  <si>
    <t>IR leg for 2nd spd 16m, 30m</t>
  </si>
  <si>
    <t>BACKUPS: TED HIT, M26 IR HIT FOR SPD @ -4 (@ SZ)</t>
  </si>
  <si>
    <t>60 left</t>
  </si>
  <si>
    <t>rz</t>
  </si>
  <si>
    <t>IR S25</t>
  </si>
  <si>
    <t xml:space="preserve">TRIED SPD FOR FLY </t>
  </si>
  <si>
    <t>RANGED VAR 4,5 SE HI ENTRY LENA NA KI EQBM</t>
  </si>
  <si>
    <t xml:space="preserve">IR EXECUTION: ENTER FROM VAR 4,5 + HAVE TED BACKUP READY + TRADE ACTIVELY (BETTER IN THE MORNING HOURS OR MAX 1 HOUR) + </t>
  </si>
  <si>
    <t>DEFLY LEG remove and add s24 fly @ 7 short more the same amt</t>
  </si>
  <si>
    <t xml:space="preserve">LEGGED </t>
  </si>
  <si>
    <t>SCRATCH</t>
  </si>
  <si>
    <t>1030AM</t>
  </si>
  <si>
    <t>30,30,45 orders</t>
  </si>
  <si>
    <t>150PM</t>
  </si>
  <si>
    <t>735PM</t>
  </si>
  <si>
    <t>scalping friyay (-2 s24, -10, d24)</t>
  </si>
  <si>
    <t>2ND SESSION MONDAY EXIT @ 1 TICK POSSIBLE</t>
  </si>
  <si>
    <t>MIGHT NEED TO HOLD FULL MONDAY</t>
  </si>
  <si>
    <t>BELEIVE IN THE FRIYAY</t>
  </si>
  <si>
    <t>tue us ppi | hl 75 (b), RET var 4</t>
  </si>
  <si>
    <t xml:space="preserve">wed us cpi | lgap, could be theme changing, xt momentum (all B) </t>
  </si>
  <si>
    <t>thu labour data, lgap, ghost or momentum based on pre set levels</t>
  </si>
  <si>
    <t>VAR 6MS</t>
  </si>
  <si>
    <t>J24 G 4,3 R 3,3 | 4 ALL CASES MUST | HL85 5,4</t>
  </si>
  <si>
    <t>S24 G4,3 R3,2 | HL85 3,2 | 3 ALL CASES MUST</t>
  </si>
  <si>
    <t>D24 2,2 | HL85 2,2</t>
  </si>
  <si>
    <t>M25 2,1</t>
  </si>
  <si>
    <t>J25,S25,D25 2</t>
  </si>
  <si>
    <t>450PM</t>
  </si>
  <si>
    <t>J24 SPD (3)</t>
  </si>
  <si>
    <t xml:space="preserve">SCALPING </t>
  </si>
  <si>
    <t>FLY @ 8 FOR DEFLY @ 1 + ratio with 3x s24 fly short</t>
  </si>
  <si>
    <t>453am</t>
  </si>
  <si>
    <t>SCALPING, VAR4</t>
  </si>
  <si>
    <t>SPD @ -6</t>
  </si>
  <si>
    <t>620AM</t>
  </si>
  <si>
    <t>ALWAYS ENTER FOR SCALPING IN THE DIRECTION OF A REQUIRED SPD AND HAVE BACKUPS AS SPD OR TED</t>
  </si>
  <si>
    <t>TED BACKUP</t>
  </si>
  <si>
    <t>US PPI MOM APR (P0.2% -&gt; -0.1% F0.3% A0.5%)</t>
  </si>
  <si>
    <t>DOVISH REVISIONS | HAWKISH DATA</t>
  </si>
  <si>
    <t>DOVISH REVISIONS</t>
  </si>
  <si>
    <t>IR 6,8 TICKS</t>
  </si>
  <si>
    <t>US CORE PPI MOM (P0.2% -&gt; -0.1% F02% A0.5%)</t>
  </si>
  <si>
    <t>SCALPING, VAR2</t>
  </si>
  <si>
    <t>49m</t>
  </si>
  <si>
    <t>27m</t>
  </si>
  <si>
    <t>627pm</t>
  </si>
  <si>
    <t>322pm</t>
  </si>
  <si>
    <t xml:space="preserve">SCALPING + SZ </t>
  </si>
  <si>
    <t>5h40m</t>
  </si>
  <si>
    <t>1.5h</t>
  </si>
  <si>
    <t>WPI QOQ (P1% F1% A0.8%)</t>
  </si>
  <si>
    <t>WPI YOY (P0.9% F4.2% A4.1%)</t>
  </si>
  <si>
    <t>sxalping</t>
  </si>
  <si>
    <t>538pm</t>
  </si>
  <si>
    <t>exit b4 cpi</t>
  </si>
  <si>
    <t>SCALPING, VAR4 + BUT DURING DATA SO LESSER ODDS</t>
  </si>
  <si>
    <t>TIMEOUT AFTER THIS WEEK | MUST</t>
  </si>
  <si>
    <t>LGAP 75, HEDGED FLY 200 (OR 150,50)</t>
  </si>
  <si>
    <t>WHY DID I NOT TIMEOUT</t>
  </si>
  <si>
    <t>US CORE CPI MOM APR (P0.4% F0.3% A0.3%)</t>
  </si>
  <si>
    <t>US CORE CPI YOY (P3.8% F3.6% A3.6%)</t>
  </si>
  <si>
    <t>US CPI YOY (P3.5% F3.4% A3.4%)</t>
  </si>
  <si>
    <t>US CPI MOM (P0.4% F0.4% A0.3%)</t>
  </si>
  <si>
    <t>US CORE RETAIL SALES MOM APR (P1.1% -&gt; 0.9%  F0.2% A0.2%)</t>
  </si>
  <si>
    <t>US RETAIL SALES MOM (P0.7% -&gt; 0.6% F0.4% A0%)</t>
  </si>
  <si>
    <t>614pm</t>
  </si>
  <si>
    <t>1h, 18h</t>
  </si>
  <si>
    <t>could have been reduced though</t>
  </si>
  <si>
    <t>AUD EMP CHANGE (P-8.6K F22.4K A38K)</t>
  </si>
  <si>
    <t>AUD UE RATE (P3.8% -&gt; 3.9% F3.9% A4.1%)</t>
  </si>
  <si>
    <t xml:space="preserve"> SZ </t>
  </si>
  <si>
    <t>OK</t>
  </si>
  <si>
    <t>phew</t>
  </si>
  <si>
    <t>818am</t>
  </si>
  <si>
    <t>IR M26</t>
  </si>
  <si>
    <t>VAR4 +RANGED</t>
  </si>
  <si>
    <t>ranged 3ms: J24 50,70 | S24 100,100 | D24 100 | M25 - D25 150</t>
  </si>
  <si>
    <t>ranged 6ms: J24 40,60 | S24 80,80 | D24-S25: 75,75</t>
  </si>
  <si>
    <t>1150pm</t>
  </si>
  <si>
    <t>SCALPING FRIYAY</t>
  </si>
  <si>
    <t>ADD AT-0.18</t>
  </si>
  <si>
    <t>754pm</t>
  </si>
  <si>
    <t>take j25 b 150 @ -9 for fly @ -3</t>
  </si>
  <si>
    <t>ADD @ -14 AS WELL</t>
  </si>
  <si>
    <t>MADE FLY</t>
  </si>
  <si>
    <t>M25 SPD -11 X 5 FOR DEFLY EXIT @ 3 AND -11 X 40 FOR FLY EXIT @ -2</t>
  </si>
  <si>
    <t>WED RBNZ</t>
  </si>
  <si>
    <t>Scalping vr4</t>
  </si>
  <si>
    <t>1 session</t>
  </si>
  <si>
    <t>932am</t>
  </si>
  <si>
    <t>could have done 2 irs | leave the sides for hedging but take the next one</t>
  </si>
  <si>
    <t>SCALPING dead</t>
  </si>
  <si>
    <t>1 week</t>
  </si>
  <si>
    <t>1136am</t>
  </si>
  <si>
    <t>should have taken 100</t>
  </si>
  <si>
    <t>640am</t>
  </si>
  <si>
    <t>2 sessions</t>
  </si>
  <si>
    <t>730am</t>
  </si>
  <si>
    <t>2 session</t>
  </si>
  <si>
    <t>D24 6M PD</t>
  </si>
  <si>
    <t>SCALPING DEAD</t>
  </si>
  <si>
    <t>20h</t>
  </si>
  <si>
    <t>3pm</t>
  </si>
  <si>
    <t>extra short somehow</t>
  </si>
  <si>
    <t>530am</t>
  </si>
  <si>
    <t>J25 FLY (1) -&gt; ()</t>
  </si>
  <si>
    <t>SZ -3,-4</t>
  </si>
  <si>
    <t>hc + cs to cf | net hawk or less cuts later</t>
  </si>
  <si>
    <t>3 jun 748pm, 4 jun, 6 jun</t>
  </si>
  <si>
    <t>EXIT VIA 6MS</t>
  </si>
  <si>
    <t>EXIT 15 VIA IR VAR4 SCALPING + TED BACKUP WITH TT STOP AT SCRATCHABLE TED | exit via eqbm 10</t>
  </si>
  <si>
    <t>50 left</t>
  </si>
  <si>
    <t>try re-entry while exiting red flies -3 to -2 x 2 and then -2 to 3 x 2</t>
  </si>
  <si>
    <t>IR VAR: 40 LOTS</t>
  </si>
  <si>
    <t>VAR SPD 100,100</t>
  </si>
  <si>
    <t>D SCALP 70</t>
  </si>
  <si>
    <t>TUE AUD RETAIL SALES</t>
  </si>
  <si>
    <t>WED AUD MONTHLY INFLATION INDICATOR</t>
  </si>
  <si>
    <t>VAR4 -&gt; b/o</t>
  </si>
  <si>
    <t>60 ticks lost extra</t>
  </si>
  <si>
    <t>HARD SL @ 2TICKS FOR 1 ORDER MUST</t>
  </si>
  <si>
    <t>480$ extra</t>
  </si>
  <si>
    <t>3520$ extra</t>
  </si>
  <si>
    <t>hedge with yt during these times</t>
  </si>
  <si>
    <t>1010AM</t>
  </si>
  <si>
    <t>recoverable</t>
  </si>
  <si>
    <t>EXTRA 100 TICKS</t>
  </si>
  <si>
    <t>640$ extra</t>
  </si>
  <si>
    <t>IR EXECUTION: VAR4 SCALPING FOR whitesFRONT 4 except 1st ir</t>
  </si>
  <si>
    <t>1025AM</t>
  </si>
  <si>
    <t>60 ticks extra</t>
  </si>
  <si>
    <t>IR EXECUTION: D24, M25 VAR 3,4</t>
  </si>
  <si>
    <t>J25,S25,D25 VAR4,5</t>
  </si>
  <si>
    <t>OUTRIGHT HEDGE TO MINIMIZE LOSSES</t>
  </si>
  <si>
    <t>-21to save 1 x 30 tick</t>
  </si>
  <si>
    <t>try outright exit 15,15 lots</t>
  </si>
  <si>
    <t>1920$ extra</t>
  </si>
  <si>
    <t>IR D25(1)</t>
  </si>
  <si>
    <t>EXIT AT RANGES</t>
  </si>
  <si>
    <t>SELL AT VAR 4</t>
  </si>
  <si>
    <t>15, 15 or 10,10, 10</t>
  </si>
  <si>
    <t>IR EXECUTION: JAISE FLY YA DEFLY BANANE KE LIYE ORDERS LAGATE THE SPD ME WAISE IR ME LAGAO FOR SPD AND FLY</t>
  </si>
  <si>
    <t>ir execution: alternate orders not consecutive</t>
  </si>
  <si>
    <t>YT JUN24 (1)</t>
  </si>
  <si>
    <t>HEDGE FOR OUTRIGHTS (1 X 30)</t>
  </si>
  <si>
    <t>BUY AT VAR 4</t>
  </si>
  <si>
    <t>12, 12 or 8, 8 ,8</t>
  </si>
  <si>
    <t>ir execution: spds or teds ke entry se lagaenge orders var 3,4,5 pe naki scalping ke liye | in this manner might be able to take 2 ticks from scalping as well</t>
  </si>
  <si>
    <t>bonds are scratchable | var + hl days</t>
  </si>
  <si>
    <t>24,24</t>
  </si>
  <si>
    <t>UK CPI YOY APR (P3.2% F2.1% A2.3%)</t>
  </si>
  <si>
    <t>IR MISTAKE WAS FACTOR OF INCREMENT FOR IR WAS WRONG AND AGGRESSIVE</t>
  </si>
  <si>
    <t>WENT FROM 10,15,20 TO 30</t>
  </si>
  <si>
    <t>UK CPI MOM (P0.6% F0.2% A0.3%)</t>
  </si>
  <si>
    <t>1130AM</t>
  </si>
  <si>
    <t>&lt;=-1</t>
  </si>
  <si>
    <t>exit b4 pmi on fri 1st session</t>
  </si>
  <si>
    <t>NEXT SESSION</t>
  </si>
  <si>
    <t>518pm</t>
  </si>
  <si>
    <t>at least 2 ticks exit</t>
  </si>
  <si>
    <t>AVOID FRONT SPD retracement trades</t>
  </si>
  <si>
    <t>hawkish decent</t>
  </si>
  <si>
    <t>ok</t>
  </si>
  <si>
    <t>VAR2</t>
  </si>
  <si>
    <t>fly @ 6/ COULDNT SO TRY TO SCRATCH LATER</t>
  </si>
  <si>
    <t>hold till tue</t>
  </si>
  <si>
    <t>make fly | easier to scratch by holding this structure longer</t>
  </si>
  <si>
    <t>AVERAGE @ -11</t>
  </si>
  <si>
    <t>755PM</t>
  </si>
  <si>
    <t>scratch b4 pmi. done</t>
  </si>
  <si>
    <t>sudden theme change</t>
  </si>
  <si>
    <t>NO NEGATIVE AVERAGING</t>
  </si>
  <si>
    <t>EXIT S24 LEG @ -3 HOLD D24 -10 AS THAT ONE IS SCRATCHABLE</t>
  </si>
  <si>
    <t>REDUCE 50% ADD DOUBLE @ -11 FOR SCALPING AND -13 NEW LONG | REPEAT</t>
  </si>
  <si>
    <t>first recover from strats that work : lgap in events in spds, hedged combos</t>
  </si>
  <si>
    <t xml:space="preserve">ONLY FLIES TILL MONTH END </t>
  </si>
  <si>
    <t>ONLY 3rd IR SCALPING 30,30 VAR 3,4</t>
  </si>
  <si>
    <t>EMPTY GRID BEFORE RBA MEETING THIS TIME</t>
  </si>
  <si>
    <t>FRONT SPD ONLY FOR DEFLY</t>
  </si>
  <si>
    <t>NO 1ST 2 6MS</t>
  </si>
  <si>
    <t>REDUCE EVERYTHING NO NEGATIVE AVERAGING</t>
  </si>
  <si>
    <t>add @ 18 only 100 lots</t>
  </si>
  <si>
    <t xml:space="preserve">no negative averaging </t>
  </si>
  <si>
    <t>add @ -18 X 120</t>
  </si>
  <si>
    <t>8pm</t>
  </si>
  <si>
    <t>CAN MAKE FLY @ -3 B</t>
  </si>
  <si>
    <t>add @ -10 then make fly @ -3</t>
  </si>
  <si>
    <t>hold full month</t>
  </si>
  <si>
    <t>450AM</t>
  </si>
  <si>
    <t>NOT A VERY CLEAR IDEA ABOUT WHAT IS HAPPENING</t>
  </si>
  <si>
    <t>D LOT SIZE | SCALE DOWN</t>
  </si>
  <si>
    <t>120 ticks extra gone</t>
  </si>
  <si>
    <t>120 lot ka back scalping have to do extra</t>
  </si>
  <si>
    <t xml:space="preserve">reds 120 lots take extra any fly or 60 lots 2 times extra </t>
  </si>
  <si>
    <t xml:space="preserve">so REDS FLY 210 LOTS </t>
  </si>
  <si>
    <t>530AM</t>
  </si>
  <si>
    <t>HEDGING IR</t>
  </si>
  <si>
    <t xml:space="preserve">TIME TO MINIMIZE LOSSES AGAIN ONLY </t>
  </si>
  <si>
    <t>just see the downside of any trade and try to minimize losses</t>
  </si>
  <si>
    <t>642am</t>
  </si>
  <si>
    <t>BELLY BACK KE RANGES ME 120 LOT SCALPING</t>
  </si>
  <si>
    <t>FLIES ORDERS 120 LOT</t>
  </si>
  <si>
    <t>need to make 3.5k extra</t>
  </si>
  <si>
    <t>120 lots fly * 2 ticks or 2 times 1 tick</t>
  </si>
  <si>
    <t>LGAP 120</t>
  </si>
  <si>
    <t>HC DURING TOUGH TIMES + cs to cf | net hawk</t>
  </si>
  <si>
    <t>ADD @ -3 100</t>
  </si>
  <si>
    <t xml:space="preserve">until profit of 2 ticks (&gt;=0) </t>
  </si>
  <si>
    <t>POSSIBLY NEAR RBA MEETING MIHT GO UP</t>
  </si>
  <si>
    <t>45 LEFT</t>
  </si>
  <si>
    <t>SCALPING + SZ (DOWNSIDE OF 2 TICKS)</t>
  </si>
  <si>
    <t>ADD 100 @ -18</t>
  </si>
  <si>
    <t>too much exposure everywhere</t>
  </si>
  <si>
    <t>630pm</t>
  </si>
  <si>
    <t>LAST S24 6M SPD TRADE | NOT WORKING ANYMORE| INTRADAY</t>
  </si>
  <si>
    <t>EXITS ONLY AND REDUCE BY TUE</t>
  </si>
  <si>
    <t>AND THEN TIMEOUT (STRICT) CONSIDER THIS AN ACCOUNT STOP</t>
  </si>
  <si>
    <t xml:space="preserve">TAKE A WHOLE WEEK OFF </t>
  </si>
  <si>
    <t>FRONT IR (EXCEPT 1ST ONE) PRICE MAKING TRADES OF SPDS (LIKE FLIES WITH SPDS) AND FLY (LIKE DEFLIES WITH SPDS) USING VAR</t>
  </si>
  <si>
    <t>STOP 6MS AS NOTHING IS RANGEBOUND ANYMORE</t>
  </si>
  <si>
    <t>ONLY DEFLIES AND BACK FLIES</t>
  </si>
  <si>
    <t>US S&amp;P GLOBAL MANUFACTURING PMI MAY (P51.3 F51.2 A54.8)</t>
  </si>
  <si>
    <t>VERY DECENT HAWKISH DATA</t>
  </si>
  <si>
    <t>US GLOBAL COMPOSITE PMI (P51.3 F51.1 A54.8)</t>
  </si>
  <si>
    <t>S&amp;P GLOBAL SERVICES PMI (P51.3 F51.2 A54.8)</t>
  </si>
  <si>
    <t>RETRACEMENT TRYING AGAINST HAWKISH DATA</t>
  </si>
  <si>
    <t>S24 6MS -13</t>
  </si>
  <si>
    <t>fail</t>
  </si>
  <si>
    <t>S24 6MS -11</t>
  </si>
  <si>
    <t>D24 6MS -20</t>
  </si>
  <si>
    <t>extra lots (50% extra)</t>
  </si>
  <si>
    <t>extra trade due to 6ms</t>
  </si>
  <si>
    <t>OVERSIZED</t>
  </si>
  <si>
    <t>SHOULD HAVE BEEN 70,70 INSTEAD 120</t>
  </si>
  <si>
    <t>SO 50 LOTS EXTRA  (800$)</t>
  </si>
  <si>
    <t>D24 FLY (1) + (2)+ (3)</t>
  </si>
  <si>
    <t>HC SZ cs to cf | net dove or more cuts</t>
  </si>
  <si>
    <t>REDUCE 50% ASAP</t>
  </si>
  <si>
    <t>85 left</t>
  </si>
  <si>
    <t>D24 ALL OUT | M25 B -10 LEFT X 85</t>
  </si>
  <si>
    <t xml:space="preserve">ACCOUNT STOP AND NO TRADING FOR WHOLE WEEK ONLY DEFENSIVE LOTS </t>
  </si>
  <si>
    <t>DEFLIES (A)</t>
  </si>
  <si>
    <t>only deflies</t>
  </si>
  <si>
    <t>0 TRADES DAYS</t>
  </si>
  <si>
    <t>(b) lots</t>
  </si>
  <si>
    <t>CAPPING SOME AMT AND FORGETTING ABOUT IT IS BEST</t>
  </si>
  <si>
    <t>MISTAKES</t>
  </si>
  <si>
    <t>THERE WAS NO STRUCTURE TO PLAY AROUND| ALWAYS HAVE A BALANCED STRUCTURE (COMBO FLY OR DEFLY)</t>
  </si>
  <si>
    <t>LOT SIZING WAS WRONG MAX CLIPS HAVE BEEN REACHED FOR FLIES, DEFLIES AND SPDS | JUST HAVE BALANCED APPROACH NEXT TIME</t>
  </si>
  <si>
    <t>THEN TRY RANGEBOUND WITH REMAING LOTS LIMIT</t>
  </si>
  <si>
    <t>HAVE MORE BALANCE FIRST BEFORE TRYING RANGED OR FAST PROFITS</t>
  </si>
  <si>
    <t>ALTHOUGH DID GO A/UA AND UNFORTUNATELY TRADES FAILED | LOST EXTRA THEREFORE</t>
  </si>
  <si>
    <t>STRUCTURE FIRST, THEN SCALP</t>
  </si>
  <si>
    <t>CURRENT MKT GREATER THAN 1 TICK TRADES ONLY</t>
  </si>
  <si>
    <t>HAVE MKT NEUTRAL TRADES J.S</t>
  </si>
  <si>
    <t>1018AM</t>
  </si>
  <si>
    <t xml:space="preserve">J25 SPD </t>
  </si>
  <si>
    <t>net cuts later</t>
  </si>
  <si>
    <t>29 may 840am</t>
  </si>
  <si>
    <t>MAKE JUN24 DEFLY B</t>
  </si>
  <si>
    <t xml:space="preserve">J24 FLY </t>
  </si>
  <si>
    <t>MAKE DEFLY</t>
  </si>
  <si>
    <t>reduce all trades before tue if possible</t>
  </si>
  <si>
    <t>DOWNSIDE LESS</t>
  </si>
  <si>
    <t>IF -11 STARTS TO BREAK | NOT HARD SL HERE</t>
  </si>
  <si>
    <t>29 MAY 425AM</t>
  </si>
  <si>
    <t>WED AUD MONTHLY CPI INDICATOR</t>
  </si>
  <si>
    <t>FRI US PCE, CAD GDP</t>
  </si>
  <si>
    <t>scalping continue @ 1 or 0 if not @ 1 possible</t>
  </si>
  <si>
    <t>NEXT ENTRY @ -4 (NOT -3)</t>
  </si>
  <si>
    <t>this week</t>
  </si>
  <si>
    <t>29 may 615am</t>
  </si>
  <si>
    <t>ONLY EXITS THE ONES THAT ARE IN FAVOUR FOR THE DAY NOT SESSION SO CHEK THE WHOLE WEEK</t>
  </si>
  <si>
    <t>ONLY EXIT ORDERS SHOULD BE PLACED</t>
  </si>
  <si>
    <t>REDUCE REDUCE REDUCE WHENEVER POSSIBLE</t>
  </si>
  <si>
    <t>no hedges left just reduce all</t>
  </si>
  <si>
    <t>SCALE DOWN</t>
  </si>
  <si>
    <t>get out of j24 leg and enter a separate s24 fly</t>
  </si>
  <si>
    <t>FLY FOR DEFLY @ -1</t>
  </si>
  <si>
    <t>NEED D24 @ -7 AND -8</t>
  </si>
  <si>
    <t>1 BIG PLAYER FLIPPING THE PRICES</t>
  </si>
  <si>
    <t>SURVIVE</t>
  </si>
  <si>
    <t>RUN WITH WOLVES THEY EAT YOU</t>
  </si>
  <si>
    <t>only curve trades now structures + mkt neutral</t>
  </si>
  <si>
    <t>ANY OTHER TRADES AVOID NOW</t>
  </si>
  <si>
    <t>have money for your strategies</t>
  </si>
  <si>
    <t>take whole trimester to make 30k (MAY, JUN, JUL, AUG) | USING ONLY DEFLIES STRATEGIES WHERE AT LEAST 3 TICKS AVAILABLE</t>
  </si>
  <si>
    <t>dont listen to sir or anyone</t>
  </si>
  <si>
    <t>WHATS NEXTAFTER THIS CYCLE (MAY END)</t>
  </si>
  <si>
    <t>DEFLIES 100,100 LOTS | ENTRY FROM WHEREVER &gt;=3 TICKS POSSIBLE, (total 200 ticks has to be there with a downside of 2 ticks max)| use ASE FOR BETTER PRICES ENTRY AS PER MKT</t>
  </si>
  <si>
    <t>RANGED 70,70 | 2 ENTRIES BUT NEVER AT CONSECUTIVE SPD</t>
  </si>
  <si>
    <t>IR EXECUTION : ENTRY FROM SPD PRICES FOR FLIES | BACKUP AS TED HIT IF 2ND ORDER IS FILLED, USE 15,15 after capping 10k</t>
  </si>
  <si>
    <t>LOT SIZING IR EXECUTION MAX 18 SO 15 SINCE WE NEED MULTIPLE OF 5 FOR TED BACKUP</t>
  </si>
  <si>
    <t>YOU WILL HAVE 5K LEFT</t>
  </si>
  <si>
    <t>SO ONLY FRONT DEFLIES WITH 100,100 + REDS 3MS 150 with BACKUP as FLY  (scalping around the structures) + LGAP @ var 75,75 during events intraday so hedge or scalp</t>
  </si>
  <si>
    <t>NO 6MS, IR EXECUTION WHOLE NEXT 2 MONTHS OR CAP +10K IN A SESSION</t>
  </si>
  <si>
    <t>WILL TAKE 2-3 MONTHS TO RECOVER SAFELY</t>
  </si>
  <si>
    <t>JUN, JUL, AUG THIS IS THE PLAN</t>
  </si>
  <si>
    <t>this should provide avg 10k/month so if you continue till 6 month you will make 50k</t>
  </si>
  <si>
    <t>MAY.24 after disaster</t>
  </si>
  <si>
    <t>REMEMBER</t>
  </si>
  <si>
    <t>AVOID: NO 6MS, IR EXECUTION WHOLE NEXT 2 MONTHS (IF NEEDED WITH 15 LOTS ONE ENTRY AND BE SELECTIVE NOT ALL IR)</t>
  </si>
  <si>
    <t xml:space="preserve">TRY THIS NEXT TIME IF RANGE BREAKS </t>
  </si>
  <si>
    <t>HIT IR WITH 20 LOTS IF RANGE IS NOT BREAKING THEN TED ELSE 4 TICKS BOOK</t>
  </si>
  <si>
    <t>EMPTY GRID B4 RBA 18 JUN</t>
  </si>
  <si>
    <t xml:space="preserve">ALL THIS WAS VERY UNFORTUNATE </t>
  </si>
  <si>
    <t>NEED TO LEAVE THIS JOB AFTER THIS YEAR SURELY</t>
  </si>
  <si>
    <t>I WANT TO TAKE A LOSER AND TAKE IT</t>
  </si>
  <si>
    <t>UNCOMFORTABLE</t>
  </si>
  <si>
    <t>MY JOB IS TO MINIMIZE LOSSES</t>
  </si>
  <si>
    <t>NEVER LOSE MORE THAN WHAT YOU SHOULD LOSE IN THE TRADE</t>
  </si>
  <si>
    <t>WHEN YOUR TRADE IS LOSING, TAKE THE LOSS AT THAT PRICE | THATS THE JOB</t>
  </si>
  <si>
    <t xml:space="preserve">MINIMIZE THE LOSERS QUICKLY </t>
  </si>
  <si>
    <t>MKT NEUTRAL DEFLIES ONLY WITH 100 LOTS AND SCALP TO MAKE THE DEFLY BETTER WITH 60 LOTS ELSE SCRATCH OR 1 TICK LOSS</t>
  </si>
  <si>
    <t>ADD 2 TIMES TO MAKE 200 LOT DEFLY AT THE SAME PRICE OR BETTER THEN SCALP IMMEDIATELY</t>
  </si>
  <si>
    <t>100 LOT DEFLY THEN 60 TO SCALP AROUND IT IF FAILS ADD MORE POSITION TO DEFLY</t>
  </si>
  <si>
    <t>BEECH WALA LEG 80</t>
  </si>
  <si>
    <t>REDS 150 LOT SCALP FROM 3MS AND EXTREME PRICES</t>
  </si>
  <si>
    <t>AVOID ALL OTHER STRATS</t>
  </si>
  <si>
    <t>WHEN THEME CHANGING AND CURVE MOVINGAS A WHOLE BETTER TO STICK TO MKT NEUTRAL STRATS</t>
  </si>
  <si>
    <t>ONLY MAKE THE DEFLY AND SCALP AROUND IT WITH 40 LOTS MID WALA 60 LOTS</t>
  </si>
  <si>
    <t>MAKE THE DEFLY @ -1 FIRST THEN LEAVE</t>
  </si>
  <si>
    <t>NO NEW TRADES UNTIL THIS EXITS</t>
  </si>
  <si>
    <t>CAN USE 5 LOTS FROM IR TO SCALP AND TED AS BACKUP</t>
  </si>
  <si>
    <t>exit his immediately @ 0 if possible</t>
  </si>
  <si>
    <t>no trading in 2nd session actively | only thinking about exposure (direction; check market neutrality + sizing in each direction)</t>
  </si>
  <si>
    <t>NEED S24 DEFLY SHORT AS WELL</t>
  </si>
  <si>
    <t>100 LOTS @ &gt;=5</t>
  </si>
  <si>
    <t>SO BUY D24 100 IF GOES DOWN AND SHORT S24 SPD IF GOES UP</t>
  </si>
  <si>
    <t>TAKE S24 FLY EXTRA 60 LOTS NOW</t>
  </si>
  <si>
    <t>TAKE S24 FLY @ 6 NOW 100 EXTRA from d24 use ase</t>
  </si>
  <si>
    <t>MAY.24 recovery</t>
  </si>
  <si>
    <t>513am</t>
  </si>
  <si>
    <t>PRICING WISE HIGH IS 6</t>
  </si>
  <si>
    <t>can make defly @ &gt;=4</t>
  </si>
  <si>
    <t>&lt;=4</t>
  </si>
  <si>
    <t>MAKE S24 DEFLY</t>
  </si>
  <si>
    <t>HOLD THIS MAX 2.5 TICKS</t>
  </si>
  <si>
    <t>TIMING IN EXITS</t>
  </si>
  <si>
    <t>611am</t>
  </si>
  <si>
    <t>AUD RETAIL SALES (P-0.4% F0.3% A0.1%)</t>
  </si>
  <si>
    <t>708AM</t>
  </si>
  <si>
    <t>J25 6MSPD</t>
  </si>
  <si>
    <t>11am</t>
  </si>
  <si>
    <t>J25 6M FLY</t>
  </si>
  <si>
    <t>Sz (-6)</t>
  </si>
  <si>
    <t>hc (cuts later but not spread out + cs to cf)</t>
  </si>
  <si>
    <t>31 may 824pm</t>
  </si>
  <si>
    <t>AUD CPI INDICATOR (P3.5% F3.4% A3.6%)</t>
  </si>
  <si>
    <t>BO</t>
  </si>
  <si>
    <t xml:space="preserve">RR </t>
  </si>
  <si>
    <t>J24 6MS SPD</t>
  </si>
  <si>
    <t>J25 IR-YT</t>
  </si>
  <si>
    <t>Scalping + LGAP @ SZ</t>
  </si>
  <si>
    <t>2MIN</t>
  </si>
  <si>
    <t>bottom</t>
  </si>
  <si>
    <t>3MIN</t>
  </si>
  <si>
    <t>842am</t>
  </si>
  <si>
    <t>SCALPING + var5</t>
  </si>
  <si>
    <t>6M FLY @ -6 B (SZ)</t>
  </si>
  <si>
    <t>US GDP QOQ (P3.4% F1.6% A1.3%)</t>
  </si>
  <si>
    <t>US GDP PRICE INDEX Q1 (P1.7% F3.1% A3.1%)</t>
  </si>
  <si>
    <t>235pm</t>
  </si>
  <si>
    <t>Scalping ranged (-2 to 1)</t>
  </si>
  <si>
    <t>232pm</t>
  </si>
  <si>
    <t>3 TICKS @ 95.525 (015 BPS) QTY CONDITION</t>
  </si>
  <si>
    <t>US CORE PCE PRICE INDEX YOY APR (P2.8% F2.8% A2.8%)</t>
  </si>
  <si>
    <t>US CORE PCE PRICE INDEX MOM (P0.3% F0.3% A0.2%)</t>
  </si>
  <si>
    <t>FED swaps SEES 1 2024 RATE CUT</t>
  </si>
  <si>
    <t>607pm</t>
  </si>
  <si>
    <t>RET + TED BACKUP FRIYAY? (MAYBE) . yes</t>
  </si>
  <si>
    <t>626PM</t>
  </si>
  <si>
    <t>friyay ret</t>
  </si>
  <si>
    <t>not required</t>
  </si>
  <si>
    <t>should have held it? YES</t>
  </si>
  <si>
    <t xml:space="preserve">why didnt I ? LOSSES BEFORE THIS ? </t>
  </si>
  <si>
    <t>749pm</t>
  </si>
  <si>
    <t>S24 DEFLY (1.1)</t>
  </si>
  <si>
    <t>hc + safer exposure to scalp around it</t>
  </si>
  <si>
    <t>add double @ 5</t>
  </si>
  <si>
    <t>4 JUN, 5 JUN</t>
  </si>
  <si>
    <t>EXIT B4 ISM AS MIGHT BE A BIG MOVER</t>
  </si>
  <si>
    <t>S24 FLY (1.2)</t>
  </si>
  <si>
    <t>hc</t>
  </si>
  <si>
    <t>make defly</t>
  </si>
  <si>
    <t>EZ CPI (P2.4% F2.5% A2.6%)</t>
  </si>
  <si>
    <t xml:space="preserve">MAKING STRUCTURES AND AVOIDING WHITES OR 1ST 2 CONTRACTS IN NIGHT SESSION | NO ACTIVE TRADING IN 2ND SESSION </t>
  </si>
  <si>
    <t>NOT OPENING TT IN 2ND SESSION</t>
  </si>
  <si>
    <t xml:space="preserve">EXTRA LOSSES: 3.5K FROM IR EXECUTION | PLAN = 1 DEFLY 100 LOTS SE 2 TICK OR 100 LOTS DEFLY 1 TICK * 3 TIMES | 1MONTH ME RECOVER </t>
  </si>
  <si>
    <t>5.8K CONSECUTIVE 6MS SAME DIRECTION | 150 LOTS RED SPD OR FLY OR 6MS-&gt;3MS SCALPING *3 net wins | 2 months</t>
  </si>
  <si>
    <t>960 EXTRA lots LOSS | SCALPING AROUND ANY STRUCTURE with 60 lots 1 tick</t>
  </si>
  <si>
    <t>5.3K HEDGED ADDITIONAL 6MS KA LEG IN A WRONG TRADE | just a wrong trade| will take time to recover this with previous strats | 100 lots defly se 2 ticks 2 times / 200 lots defly se 1 tick 1x / scalping around structures with 60 lots x 6</t>
  </si>
  <si>
    <t>need to make 10k and forget that money first then start capping profits and then add the remaining profit to balance</t>
  </si>
  <si>
    <t xml:space="preserve">extra loss </t>
  </si>
  <si>
    <t>NEED TO RECOVER SLOWLY AND CAUTIOUSLY VIA DEFLIES ONLY</t>
  </si>
  <si>
    <t>June24 live</t>
  </si>
  <si>
    <t>JUN.24</t>
  </si>
  <si>
    <t xml:space="preserve">TIMEOUT WED FOR FRIYAY TRADES </t>
  </si>
  <si>
    <t>MKT NEUTRAL STRATS. J.S. + BALANCED MM + TIMEOUT + DON'T LISTEN TO SIR FOR TRADING STRATEGIES</t>
  </si>
  <si>
    <t>PLAN for JUN, JUL, AUG| REDEMPTION</t>
  </si>
  <si>
    <t>1) 1 * (DEFLY or DC 125 LOTS SE &gt;=2 TICKS) OR (100 LOTS DEFLY &gt;=1 TICK) * 2 TIMES NET WINS| 125, . ,125 (alternate)</t>
  </si>
  <si>
    <t>NOT DONE</t>
  </si>
  <si>
    <t>STICK TO HOURLY TRADES</t>
  </si>
  <si>
    <t>FIRST MARKET NEUTRAL STRUCTURES THAT SUSTAINS (EITHER IN MULTIPLE SESSIONS OR SINGLE) THEN SCALP TO MAKE THE STRUCTURE BETTER</t>
  </si>
  <si>
    <t>2) ( 150 LOTS RED SPD OR FLY OR 6MS -&gt; 3MS SCALPING ) * 2 TIMES NET WINS | 150,150</t>
  </si>
  <si>
    <t>DONE</t>
  </si>
  <si>
    <t>2/3</t>
  </si>
  <si>
    <t>NEVER HOLD SPDS FOR &gt; 1 DAY</t>
  </si>
  <si>
    <t>TRUST THE PROCESS SLOW AND STEADY</t>
  </si>
  <si>
    <t>3) SCALPING AROUND ANY STRUCTURE with 60 lots &gt;=1 tick * 1 NET WINS</t>
  </si>
  <si>
    <t>IF H-&gt;D |     EXIT SPDS, CONVERT TO FLY, REDUCE SIZING</t>
  </si>
  <si>
    <t>GOAL = BUILD A RESERVE BALANCE WHOLE YEAR</t>
  </si>
  <si>
    <t>4) WEDNESDAYS TIMEOUT OR WFH (unless event) OR (D) TRADES ONLY so have hedged positions and orders accordingly or just sleep!| SCREEN LOCK FULL + WATCH SERIES, READ A BOOK, LISTEN TO MUSIC, EAT FOOD, WALK, FIND COOKING RECIPES, TIMEOUT</t>
  </si>
  <si>
    <t>START REDUCING IF H is changing to D</t>
  </si>
  <si>
    <t>CHECK THE CHARTS BEFORE DECIDING A BIG TRADE WITH BACKUPS READY IN TJ</t>
  </si>
  <si>
    <t>5) FRIYAY TRADES (AND HAVE MADE MOST MONEY) | SCREEN LOCK FULL IN MORNING SESSION + WACTH SERIES, READ A BOOK, LISTEN TO MUSIC, EAT FOOD, WALK, FIND COOKING RECIPES, TIMEOUT</t>
  </si>
  <si>
    <t>ALWAYS USE TRAILING SL IF HOLDING SPDS FOR D</t>
  </si>
  <si>
    <t>DO NOT CHANGE THE LOT SIZES</t>
  </si>
  <si>
    <t>6) THU NO SCALPING, no TEDS, for friyay trades | FRIDAY NO OUTRIGHTS weird behavior | SCREEN LOCK FULL DAY, EXCEPT DATA</t>
  </si>
  <si>
    <t>LEAVE WHITES FOR THE EVENT DAYS | DEAD MKT ME REDS ME SCALP ORDERS LAGAO MAYBE 1 BELLY BUT NEVER AGGRESSIVE</t>
  </si>
  <si>
    <t>7) REDUCE 20% FROM BALANCE EVERY MONTH | FORGET THAT MONEY</t>
  </si>
  <si>
    <t>LOSSES</t>
  </si>
  <si>
    <t>REMOVED TT PNL</t>
  </si>
  <si>
    <t xml:space="preserve">8) MARKET NEUTRAL STRATS ALL TIMES | TRADE LIKE A BANKER | ISHAAN </t>
  </si>
  <si>
    <t>LGAP IS GIFT</t>
  </si>
  <si>
    <t>9) ACCOUNT STOP WHEN LOST A LOT OF MONEY AS WELL AS MADE A LOT OF MONEY QUICKLY | TIMEOUT</t>
  </si>
  <si>
    <t xml:space="preserve">NEVER LISTEN TO ANYONE AGAIN FOR YOUR TRADING; </t>
  </si>
  <si>
    <t>10) mondays plan for the week ahead</t>
  </si>
  <si>
    <t>LIQUIDITY IS VERY IMPORTANT</t>
  </si>
  <si>
    <t>Balanced design = factor of safety (for reliability) + reserves (for sustainability)</t>
  </si>
  <si>
    <t>if all strats done leave mkt</t>
  </si>
  <si>
    <t>THIS IS BORING; DISCIPLINE IS BORING BUT ESSENTIAL</t>
  </si>
  <si>
    <t>DEFLIES #OF E:2 E:100,100 LOTS | ENTRY FROM WHEREVER &gt;=3 TICKS POSSIBLE, (total 200 ticks has to be there with a downside of 2 ticks max)| use ASE FOR BETTER PRICES ENTRY AS PER MKT</t>
  </si>
  <si>
    <t xml:space="preserve">for safety go higher when the deflies are in zones </t>
  </si>
  <si>
    <t>4 CASES: FULL CURVE UP (CUTS DISAPPEARING AND/OR HIKE IN FRONT), FULL CURVE DOWN (CUTS ADDING), FRONT CURVE DOWN (CUTS EARLY), BACK CURVE DOWN (CUTS LATER)</t>
  </si>
  <si>
    <t xml:space="preserve">HAVE EXPOSURE MKT NEUTRAL </t>
  </si>
  <si>
    <t>S24 DEFLY ADD AT 4 or 5 (30 lots)</t>
  </si>
  <si>
    <t>Add @ -8 as that was flipped and never tradedd after that</t>
  </si>
  <si>
    <t>4 jun 5am</t>
  </si>
  <si>
    <t>intraday + b4 event</t>
  </si>
  <si>
    <t>720am</t>
  </si>
  <si>
    <t>EXIT OF 3MF VIA 6MS</t>
  </si>
  <si>
    <t>S25 6MS -&gt; S25 FLY</t>
  </si>
  <si>
    <t>reduced due to events and have no hedges</t>
  </si>
  <si>
    <t>SCRATCH BEFORE FED BY FRI OR TUE</t>
  </si>
  <si>
    <t>US ISM MFG PMI (P49.2 F49.8 A48.7)</t>
  </si>
  <si>
    <t>1 TICK MOVEMENTin spds; XT going up</t>
  </si>
  <si>
    <t>MON 730 US ISM PMI</t>
  </si>
  <si>
    <t>TUE AUD RETAIL SALES, 730 jolts</t>
  </si>
  <si>
    <t>WED AUD GDP, US ADP NFE CHANGE, S&amp;P SERVICES PMI, ISM NMFG PMI, BOC INT RATE | ISM ME LAGGING SE TRADES ENTER KARO</t>
  </si>
  <si>
    <t>THU IJLC</t>
  </si>
  <si>
    <t>FRI NFP, US LABOUR DATA</t>
  </si>
  <si>
    <t>AUD RETAIL SALES (P-0.4% F0.1% A)</t>
  </si>
  <si>
    <t>MAKE TED @ -12 | SHOULD BE SCRATCHABLE | HAVE SL @ YT 96.01 CONDITIONAL + can make j25 spd @ -8 for fly exit + scalp | (scalping wala is scratchable because of PIQ so OCO SHOULD BE BETWEEN OTHER 2)</t>
  </si>
  <si>
    <t>FOR S25 TED @ -13 + SCALPING FROM VAR4</t>
  </si>
  <si>
    <t>GOT A KILL HIDE | NO IR THIS WEEK</t>
  </si>
  <si>
    <t>20 MINS</t>
  </si>
  <si>
    <t>EXIT 15 VIA IR VAR4 SCALPING + TED BACKUP WITH TT STOP AT SCRATCHABLE TED</t>
  </si>
  <si>
    <t>US JOLTS (P8.35 REVISED LOWER F8.37 A8.05)</t>
  </si>
  <si>
    <t>TIMEOUT FOR WED (BIG DAY) | NO TRADES @ NIGHT</t>
  </si>
  <si>
    <t>Sz + ret b4 aud gdp tomorrow + LGAP+ VAR 3</t>
  </si>
  <si>
    <t xml:space="preserve">can exit defly </t>
  </si>
  <si>
    <t>24M</t>
  </si>
  <si>
    <t>AUD GDP YOY Q1 (P1.5% -&gt; 1.6% F1.2% A1.1%)</t>
  </si>
  <si>
    <t>HAWK REV</t>
  </si>
  <si>
    <t>GDP QOQ Q1 (P0.2% -&gt; 0.3% F0.2% A0.1%)</t>
  </si>
  <si>
    <t>1055am</t>
  </si>
  <si>
    <t>MON HOLIDAY</t>
  </si>
  <si>
    <t>WED US CPI + FED | EMPTY GRID ALL (D) TRADES IF ANY</t>
  </si>
  <si>
    <t>THU AUD LABOUR DATA</t>
  </si>
  <si>
    <t>FRIYAY (A)</t>
  </si>
  <si>
    <t>IF NO STRUCTURE GO DEFENSIVE UNTIL IT GETS CLEARER OR ARBITRAGE EXISTS</t>
  </si>
  <si>
    <t>D IN W (for any trades) lgap near sz and rz + var4 (b)</t>
  </si>
  <si>
    <t>715pm</t>
  </si>
  <si>
    <t>BOC CUTS 25 BPS (4.75%)</t>
  </si>
  <si>
    <t>ISM NMFG PMI MAY (P49.4 F51 A53.8)</t>
  </si>
  <si>
    <t>ISM NMFG PRICES MAY (P59.2 F59 A58.1)</t>
  </si>
  <si>
    <t>ECB CUTS BY 25 (3.75%) | 17 NOV 2023 CPI GOES DOWN FROM 4 TO 2.9% THEN STAYS BELOW 3% TILL MAY END AFTER WHICH ECB MADE THE CUT</t>
  </si>
  <si>
    <t>NEED A RED FLY OR STRUCTURE</t>
  </si>
  <si>
    <t>FRIYAY TRADES AFTER EVENT, LGAP</t>
  </si>
  <si>
    <t>Current understanding is bad so avoid higher lots</t>
  </si>
  <si>
    <t>FLY HIT PE LENA IF MILE</t>
  </si>
  <si>
    <t>making defly but at sz (not ideal)</t>
  </si>
  <si>
    <t>COULDNT MAKE DEFLY + MIGHT GET BETTER OPPORTUNITY FROM FRIYAY TRADES</t>
  </si>
  <si>
    <t>NFP (P175K -&gt; 158kF182K A272k)</t>
  </si>
  <si>
    <t>dovish revisions</t>
  </si>
  <si>
    <t>UE RATE MAY (P3.9% F3.9% A4%)</t>
  </si>
  <si>
    <t>630PM</t>
  </si>
  <si>
    <t>CS TO CF + ROLL TO -2</t>
  </si>
  <si>
    <t>12 JUN EVENT</t>
  </si>
  <si>
    <t>D25 -4 50 MORE</t>
  </si>
  <si>
    <t>625PM</t>
  </si>
  <si>
    <t>S24 6MS</t>
  </si>
  <si>
    <t>LGAP VAR 6</t>
  </si>
  <si>
    <t>can make fly</t>
  </si>
  <si>
    <t>TUE 1ST SESSION OR 2ND</t>
  </si>
  <si>
    <t>WHY NOT BOOK ANOTHER 10,20 AT 2 TICKS</t>
  </si>
  <si>
    <t>NEVER HOLD MORETHAN 1 SESSION IN 6MS</t>
  </si>
  <si>
    <t>book 1/4 in tht session | must</t>
  </si>
  <si>
    <t>BOOK @ 2 TICKS OR BY SESSION END EXIT HALF IF NOT HEDGED</t>
  </si>
  <si>
    <t>missed opportunity of 120 ticks</t>
  </si>
  <si>
    <t>S24 FLY (1) (d)</t>
  </si>
  <si>
    <t>NO FRONT FLIES | ONLY DEFLIES</t>
  </si>
  <si>
    <t>SAT</t>
  </si>
  <si>
    <t>S24 DEFLY(1) added</t>
  </si>
  <si>
    <t xml:space="preserve">FOR S24 DEFLY + CS TO CF </t>
  </si>
  <si>
    <t>BELOW 1 BUT SCRATCH 33 @ 1 FIRST</t>
  </si>
  <si>
    <t>ADD @ &gt;=4 NOTHING ELSE</t>
  </si>
  <si>
    <t>13 jun event</t>
  </si>
  <si>
    <t>S25 CONDOR (2) -&gt; () -&gt; (1)</t>
  </si>
  <si>
    <t>can make fly + defly</t>
  </si>
  <si>
    <t>1 MONTH POST ROLL</t>
  </si>
  <si>
    <t>90 LEFT</t>
  </si>
  <si>
    <t>1125am</t>
  </si>
  <si>
    <t>D24 SPD (1) (h)</t>
  </si>
  <si>
    <t>ADD @ -9 OR TAKE M25 -8,-9 | b4 event sl @ -8 if dovish data</t>
  </si>
  <si>
    <t>can hold longer if hawkish, book some then add more  (s24 levels might be followed -6 to 1)</t>
  </si>
  <si>
    <t>VARS OF 3MS, 6MS, 1Y SPD</t>
  </si>
  <si>
    <t>6MS hl75,80    J4 4,5 | S24 3 | D24 3,2 | M25 ONWARDS 1</t>
  </si>
  <si>
    <t xml:space="preserve">1y hl75,85    S24 5,7 | D24 3,5 | M25 3 | J25 ONWARDS 1,2 </t>
  </si>
  <si>
    <t>S25 6M SPD</t>
  </si>
  <si>
    <t>2 lots extra to scale up</t>
  </si>
  <si>
    <t>SZ (-17,-18)</t>
  </si>
  <si>
    <t>CUTS IN THIS ZONE SHOULD FLATTEN THIS STRUCTURE + roll rz</t>
  </si>
  <si>
    <t xml:space="preserve">M25 DC @ 3 S HC </t>
  </si>
  <si>
    <t>920pm</t>
  </si>
  <si>
    <t>M25 DC (2)</t>
  </si>
  <si>
    <t>HC (cs)</t>
  </si>
  <si>
    <t>add more @ 5</t>
  </si>
  <si>
    <t>EXIT VIA IR 15 lots (30 lots of mid leg)</t>
  </si>
  <si>
    <t>exits with 50,50 lots</t>
  </si>
  <si>
    <t>PLAN LGAP TO VALUE ZONES IN 3MS</t>
  </si>
  <si>
    <t>6MS VAR MAX ALTERNATE</t>
  </si>
  <si>
    <t>US CORE CPI MOM MAY (P0.3% F0.3% A0.2%)</t>
  </si>
  <si>
    <t>US CPI YOY (P3.4% F3.4% A3.3%)</t>
  </si>
  <si>
    <t>US CPI MOM (P0.3% F0.1% A0%)</t>
  </si>
  <si>
    <t>CORE CPI YOY (P3.6% F3.5% A3.4%)</t>
  </si>
  <si>
    <t>SZ + ADDING TO SCALPING (WRONG SIDE)</t>
  </si>
  <si>
    <t>exit via spds</t>
  </si>
  <si>
    <t>FED UNCHANGED (5.5%)</t>
  </si>
  <si>
    <t>POWELL WANTS 2025 TO BE IN THE PLAY TO DELAY HIS PLAY | DURATION</t>
  </si>
  <si>
    <t>cut if something drops immediately huge move on cut side if mkt doesnt price it in or curve changes beforehand towards cuts direction</t>
  </si>
  <si>
    <t>THESE CB WONT TELL WHAT THEIR NEXT PLAN IS</t>
  </si>
  <si>
    <t>Hedge for losing spd</t>
  </si>
  <si>
    <t>Scratch if no defly possible</t>
  </si>
  <si>
    <t>EMP CHANGE MAY (P38.5K F30.5K A39.7K)</t>
  </si>
  <si>
    <t>UE RATE (P4.1% F4% A4%)</t>
  </si>
  <si>
    <t>D24 FLY (1)-&gt;()</t>
  </si>
  <si>
    <t>ROLL MIGHT MAKE IT GO UP (did not)</t>
  </si>
  <si>
    <t>KINK SHOULD NOT COME FORWARD + CAN MAKE DEFLY</t>
  </si>
  <si>
    <t>5pm</t>
  </si>
  <si>
    <t>M25 1Y SPD</t>
  </si>
  <si>
    <t>DC EXIT-&gt; SCRATCH</t>
  </si>
  <si>
    <t>FRIYAY TRADES FOR REDUCING / INTRADAY till monday 1st session else scratch orders</t>
  </si>
  <si>
    <t>TUE RBA | dont add positions b4 this just intraday | (b)</t>
  </si>
  <si>
    <t>If structure can give 2 or more ticks (defly front / back decondor  then make it with 200 ticks or as many possible)</t>
  </si>
  <si>
    <t>858AM</t>
  </si>
  <si>
    <t>BOJ UNCHANGED INT RATE (0.1%)</t>
  </si>
  <si>
    <t>323PM</t>
  </si>
  <si>
    <t>S25 6M SPM -&gt; J25 DC</t>
  </si>
  <si>
    <t>FRIYAY + RZ</t>
  </si>
  <si>
    <t>s25 -9 and d25 -5 so d25 -5 s 200 to make s25 fly b @ -4 . not required</t>
  </si>
  <si>
    <t xml:space="preserve">j25-j26 -26 s 50 for j25 dc @ 2 s 50 can add @ 3 as well with 100 lots </t>
  </si>
  <si>
    <r>
      <rPr>
        <sz val="10"/>
        <color rgb="FF000000"/>
        <rFont val="Calibri"/>
      </rPr>
      <t xml:space="preserve">scalp </t>
    </r>
    <r>
      <rPr>
        <b/>
        <sz val="10"/>
        <color rgb="FF000000"/>
        <rFont val="Calibri"/>
      </rPr>
      <t>s25 -8 s 100 and d25 -5 s 100</t>
    </r>
  </si>
  <si>
    <t>THEN scratch j25 1yr @ -26 or scalp</t>
  </si>
  <si>
    <t>VIA IR</t>
  </si>
  <si>
    <t>338PM</t>
  </si>
  <si>
    <t>FRIYAY + RANGED (-33,-34 TO -37,-38)</t>
  </si>
  <si>
    <t>MON SCALP</t>
  </si>
  <si>
    <t>scalp</t>
  </si>
  <si>
    <t>425PM</t>
  </si>
  <si>
    <t>D25 6M SPD</t>
  </si>
  <si>
    <t>S25 C EXIT</t>
  </si>
  <si>
    <t>d25 -5 m26 -4 so d25 -5 s 100 to get m26 -4 b and s25 -8 s 100 to exit s25 c @ -4</t>
  </si>
  <si>
    <t>d25 -5 s 100</t>
  </si>
  <si>
    <t>S25 CONDOR EXIT BY EXITING D25 -5 S 100 AS WE ALREADY HAVE M26 -4 AND D25 -5</t>
  </si>
  <si>
    <t>643AM</t>
  </si>
  <si>
    <t>745am</t>
  </si>
  <si>
    <t>IR: pull all orders after 11am no orders after 11.30 in IR</t>
  </si>
  <si>
    <t>AFTER RBA NOT MANY ECONOMIC EVENTS</t>
  </si>
  <si>
    <t>BE AWARE OF OTHER ECONOMIES EZ, UK, CAD, etc. and US NEWS</t>
  </si>
  <si>
    <t>1102am</t>
  </si>
  <si>
    <t>VAR 5 OF M26 FOR D25 -5 SPD | HEDGE FOR IR D25 S (S25 SPD -8 B)</t>
  </si>
  <si>
    <t>11am+</t>
  </si>
  <si>
    <t>SINCE GOOD PIQ IN S25 SO MIGHT BE POSSIBLE TO EXIT THE OUTRIGHT AND HAVE D25 SPD EXIT</t>
  </si>
  <si>
    <t>AFTER SESSION END THIS PLAY IS VOIDED SO SCRATCH M26 IT @ 96.2 TO GET S25 SPD B @ -8 (THIS WILL JUST TAKE MORE TIME TO SCRATCH)</t>
  </si>
  <si>
    <t>(OR) IR M26</t>
  </si>
  <si>
    <t>NO MORE ENTRIES | FOR RBA margin</t>
  </si>
  <si>
    <t xml:space="preserve">EXITS ONLY </t>
  </si>
  <si>
    <t>SZ NEW (MAYBE) -3,-4</t>
  </si>
  <si>
    <t>CS TO CF</t>
  </si>
  <si>
    <t>add 100 @ -4</t>
  </si>
  <si>
    <t>26 jun event</t>
  </si>
  <si>
    <t>if dont get -8 s then will have fly @ -3 b</t>
  </si>
  <si>
    <t>S25 6MSPD</t>
  </si>
  <si>
    <t>J25 DC EXIT</t>
  </si>
  <si>
    <t>16H</t>
  </si>
  <si>
    <t>IB JUL24</t>
  </si>
  <si>
    <t>SHOULD NOT BE A CUT (BUT ALWAYS HAVE THE WORSE CASE IN MIND) 6 SIGMA CAN WIPE OUT ALL | THAT SHOULD NEVER BE THE CASE</t>
  </si>
  <si>
    <t>IN THESE TRADES LOT SIZING SHOULD ALWAYS COME FROM WORSE CASE SCENE THAT NO ONE THINKS WILL HAPPEN AS THERE WILL BE NO CHANCE TO CUT POSITIONS</t>
  </si>
  <si>
    <t>bad practice in general, carrying through rate decisions </t>
  </si>
  <si>
    <t>should always hold lot size where a six sigma event doesnt wipe us out </t>
  </si>
  <si>
    <t>worse case could have been 20k loss</t>
  </si>
  <si>
    <t>S24 DEFLY added (1)</t>
  </si>
  <si>
    <t xml:space="preserve">1 OR SCRATCH AS WEIRD BEHAVIOR AND NO EVENTS </t>
  </si>
  <si>
    <t>exit by thu / reduce by 50% (scratch)</t>
  </si>
  <si>
    <t>friyay trades</t>
  </si>
  <si>
    <t>no more adding to this in this week</t>
  </si>
  <si>
    <t>add defensively 40 x 3 times intraday to make the structure better</t>
  </si>
  <si>
    <t>scratch by thu for friyay trades aggressively</t>
  </si>
  <si>
    <t>EXIT 65 @ 2 FIRST</t>
  </si>
  <si>
    <t>FRONT NO MORE TRADES THIS MONTH</t>
  </si>
  <si>
    <t>EXIT BY MONTH END SCRATCH</t>
  </si>
  <si>
    <t xml:space="preserve">roll ranges hve failed so reduce exposure </t>
  </si>
  <si>
    <t>REDUCE FIRST THEN AVERAGE AT ALTERNATE PRICE I.E., @ &gt;=4</t>
  </si>
  <si>
    <t>EXIT HAS TO BE FROM MIDDLE LEG</t>
  </si>
  <si>
    <t>45M</t>
  </si>
  <si>
    <t>1045AM</t>
  </si>
  <si>
    <t>SCRATCH / USE AS EXIT OF DEFLY</t>
  </si>
  <si>
    <t>BULLOCK SPEECH</t>
  </si>
  <si>
    <t>RZ -6,-7,-5 + var 4</t>
  </si>
  <si>
    <t>FOR DEFLY</t>
  </si>
  <si>
    <t>223pm</t>
  </si>
  <si>
    <t>failed</t>
  </si>
  <si>
    <t>CANT AFFORD FRONT SCALPING WITH 60 LOTS</t>
  </si>
  <si>
    <t>SLIGHTLY HAWKISH VIEW</t>
  </si>
  <si>
    <t>XT SEP24</t>
  </si>
  <si>
    <t>WAKEUP</t>
  </si>
  <si>
    <t>TUE EZ CPI, US RETAIL SALES</t>
  </si>
  <si>
    <t>WED US HOLIDAY, UK CPI AND NEXT DAY INT RATE</t>
  </si>
  <si>
    <t>THU NZD GDP, BOE INT RATE, PHILLY FED | AVOID IR, TEDS FOR FRIYAY</t>
  </si>
  <si>
    <t>FRI PMI | FRIYAY TRADES</t>
  </si>
  <si>
    <t>EXIT SCALPING AROUND FRONT STRUCTURE</t>
  </si>
  <si>
    <t>wed | no trades, ONLY reduce fronts by scalping from var</t>
  </si>
  <si>
    <t>thu | no trades, ONLY reduce fronts by scalping from var</t>
  </si>
  <si>
    <t>friyay trades (a)</t>
  </si>
  <si>
    <t>FOR DEFLY HEDGE -&gt; bad hedge so scratch</t>
  </si>
  <si>
    <t>20 JUN 630PM</t>
  </si>
  <si>
    <t>58 REMAINS</t>
  </si>
  <si>
    <t>MORNING HOURS TT RETRY @ VAR 4,5 FOR MAR25 20,20 LOTSAND VAR 4 FOR DEC24 25 LOTS</t>
  </si>
  <si>
    <t>552PM</t>
  </si>
  <si>
    <t>GET M25 -11 TO MAKE D24 -11</t>
  </si>
  <si>
    <t>THEN SCALP @ -10</t>
  </si>
  <si>
    <t>MAKE S24 CONDOR @ 6 S</t>
  </si>
  <si>
    <t>US RETAIL SALES CORE MOM (P-0.1% F0.2 A-0.1%)</t>
  </si>
  <si>
    <t>DOVE REV</t>
  </si>
  <si>
    <t>RETAIL SALES  MOM (P-0.2% F0.3 A0.1%)</t>
  </si>
  <si>
    <t>DEFLY EXPOSURE REDUCE</t>
  </si>
  <si>
    <t>19 jun 6am</t>
  </si>
  <si>
    <t>scratch</t>
  </si>
  <si>
    <t>wrong or useless</t>
  </si>
  <si>
    <t>DEFLY EXIT REDUCE</t>
  </si>
  <si>
    <t>618PM</t>
  </si>
  <si>
    <t>M25 1 YR SPD</t>
  </si>
  <si>
    <t xml:space="preserve">SCALPING RANGED </t>
  </si>
  <si>
    <t>16h</t>
  </si>
  <si>
    <t>19 jun 10am</t>
  </si>
  <si>
    <t>SCALP / SCRATCH</t>
  </si>
  <si>
    <t>ADD @ 29THEN EXIT ALL @ 28</t>
  </si>
  <si>
    <t>J25 1YR SPD</t>
  </si>
  <si>
    <t>DECONDOR EXITT</t>
  </si>
  <si>
    <t>add 50 @ 29</t>
  </si>
  <si>
    <t>20 JUN 720PM</t>
  </si>
  <si>
    <t xml:space="preserve">S25 -8, D25 -5 X 46 TO EXIT DECONDOR </t>
  </si>
  <si>
    <t>ADD 50 @ 29 THEN EXIT @ 29</t>
  </si>
  <si>
    <t>12am</t>
  </si>
  <si>
    <t>CONDOR EXIT</t>
  </si>
  <si>
    <t>SCALP / TRY EXITING CONDOR / SCRATCH</t>
  </si>
  <si>
    <t>S24 DEFLY SITUATION | M25 1 TICK UP DOWN SO MANAGEABLE</t>
  </si>
  <si>
    <t>D24 UP SELL S24 DOWN TWICE OR VAR4 BUY</t>
  </si>
  <si>
    <t>need 3 entries so 30,30,30</t>
  </si>
  <si>
    <t>middle legs 60,60,60</t>
  </si>
  <si>
    <t>any front structure</t>
  </si>
  <si>
    <t>s24 1 yr spd</t>
  </si>
  <si>
    <t>rz (6 to 8)</t>
  </si>
  <si>
    <t>SHOULD NOT HAVE HIKES MORE PRICED IN | CHANCES OF EMERGENCY CUTS OR CUTS IN GENERAL IN WORLD ECONOMIES MORE | BET ON MORE CUT CHANCE AS PER WORLD ECONS</t>
  </si>
  <si>
    <t>HC + TOO STEEP</t>
  </si>
  <si>
    <t>EXIT ALL @ &lt;=5</t>
  </si>
  <si>
    <t>ADD 100 @ 10</t>
  </si>
  <si>
    <t>HOLD few till week before next RBA meeting</t>
  </si>
  <si>
    <t xml:space="preserve">exit from custom market </t>
  </si>
  <si>
    <t>M26 SPD</t>
  </si>
  <si>
    <t>SCALPING 6M VIA 3M</t>
  </si>
  <si>
    <t>20 jun 418am</t>
  </si>
  <si>
    <t xml:space="preserve">BLUNDER | MISTAKE HIT </t>
  </si>
  <si>
    <t>57 REMAINS</t>
  </si>
  <si>
    <t>MORNING HOURS TT RETRY @ VAR 4,5 FOR JUN25 20,20 LOTSAND VAR 4 FOR DEC24 25 LOTS</t>
  </si>
  <si>
    <t>THU NO TRADING SO ALL STRUCTURE</t>
  </si>
  <si>
    <t>TIMEOUT | NOT GOOD TRADING</t>
  </si>
  <si>
    <t>UK CPI YOY MAY (P2.3% F2% A2%)</t>
  </si>
  <si>
    <t>UK CPI MOM (P0.3% F0.4% A0.3%)</t>
  </si>
  <si>
    <t>need multiple entries so reduce lots / entry</t>
  </si>
  <si>
    <t>reds 120,120 any structure</t>
  </si>
  <si>
    <t>exit via outright</t>
  </si>
  <si>
    <t>1126am</t>
  </si>
  <si>
    <t>J25 CONDOR (1)</t>
  </si>
  <si>
    <t>cuts global scratchable</t>
  </si>
  <si>
    <t>HC CF TO CS AT BACK</t>
  </si>
  <si>
    <t>exit @ -5 via 6ms</t>
  </si>
  <si>
    <t>add @ -3</t>
  </si>
  <si>
    <t>SCRATCH 75 LOTS</t>
  </si>
  <si>
    <t>EXIT FROM SELLING S25 SIDE</t>
  </si>
  <si>
    <t xml:space="preserve">FOR DEFLY EXIT </t>
  </si>
  <si>
    <t>149PM</t>
  </si>
  <si>
    <t>S24 DEFLY -&gt; S24 FLY</t>
  </si>
  <si>
    <t>RET FAILED AND MADE WRONG FLY</t>
  </si>
  <si>
    <t>EXITING DEFLY</t>
  </si>
  <si>
    <t>WRONG TRADE AFTER RBA</t>
  </si>
  <si>
    <t xml:space="preserve">with payup  | avoid looking at extra losses </t>
  </si>
  <si>
    <t>whats done is done</t>
  </si>
  <si>
    <t>S4 DF-&gt; D4 F -&gt; S24 DF</t>
  </si>
  <si>
    <t>CUTS CHANCE SHOULD BE MORE AP WORLD ECONOMY</t>
  </si>
  <si>
    <t>HC CS (TOO STEEP)</t>
  </si>
  <si>
    <t>HOLD THIS FLY as downside is 3 ticks may not need to exit there</t>
  </si>
  <si>
    <t>REDUCE 50% @ 5 THEN ADD ONLY @ 8 OR ELSE HOLD TILL 2</t>
  </si>
  <si>
    <t>ADD @ CPI OR AFTER CPI HAWKISH DATA OR COMMENTS</t>
  </si>
  <si>
    <t>EXIT 50% ON FRI NO MATTER WHAT WHETHER YOU ADD OR NOT</t>
  </si>
  <si>
    <t>front structure scalping not working</t>
  </si>
  <si>
    <t>so avoid front scalping completely</t>
  </si>
  <si>
    <t>only exit orders</t>
  </si>
  <si>
    <t>BACK STRUCTURE 120 LOTS IF FAILS ADD 120 MORE THEN SCALP</t>
  </si>
  <si>
    <t>reduce front spd by 40 lots</t>
  </si>
  <si>
    <t>ADD DEFLY ON FRIDAY OR EXIT AS PER ORDERS 85LOTS D24 B 120 LOTS</t>
  </si>
  <si>
    <t>UPDATED STRATS FOR NEXT SETUPS</t>
  </si>
  <si>
    <t>DONT TRADE FRONT CONTRACT (S24-D24)</t>
  </si>
  <si>
    <t>DONT ADD TO CURRENT FRONT CONTRACT</t>
  </si>
  <si>
    <t>BACK TO BELLY REMAINING MONTH</t>
  </si>
  <si>
    <t>BACK STRUCTURE 150 LOTS IF FAILS ADD 150 MORE THEN SCALP</t>
  </si>
  <si>
    <t>FRONT DECONDOR 50,.,50 ENTRY FROM MIDDLE LEG</t>
  </si>
  <si>
    <t>ADD DEFLY ON FRIDAY OR EXIT AS PER ORDERS</t>
  </si>
  <si>
    <t xml:space="preserve">HAVE MARGIN FOR FRIYAY TRADES </t>
  </si>
  <si>
    <t>SO NO ADDING TOMORROW</t>
  </si>
  <si>
    <t>327PM</t>
  </si>
  <si>
    <t>TO MAKE J25 CONDOR FROM FRONT EXPOSURE</t>
  </si>
  <si>
    <t>IF SPDS GO UP (D24 GOES UP) AND GIVES EXIT TO DEFLY THEN THIS CAN BE USED AS EXIT</t>
  </si>
  <si>
    <t>UNTIL THEN SCRATCH</t>
  </si>
  <si>
    <t>SCRATCH VIA IR</t>
  </si>
  <si>
    <t>910am</t>
  </si>
  <si>
    <t>FLY EXIT + FLY ENTRY @ -2</t>
  </si>
  <si>
    <t xml:space="preserve">J25 6MS </t>
  </si>
  <si>
    <t>SCALP / FRIYAY</t>
  </si>
  <si>
    <t>J25 CONDOR EXIT @ -3</t>
  </si>
  <si>
    <t>1020AM</t>
  </si>
  <si>
    <t>fly @ -1 b for defly @ 6.7</t>
  </si>
  <si>
    <t>ADD 2 -12 THEN EXIT ALL @ -11</t>
  </si>
  <si>
    <t>via ir</t>
  </si>
  <si>
    <t>11pm</t>
  </si>
  <si>
    <t>mon</t>
  </si>
  <si>
    <t>2 ticks by tue</t>
  </si>
  <si>
    <t xml:space="preserve">DEFEND YOUR POSITIONS </t>
  </si>
  <si>
    <t>MULTIPLE SMALL ENTRIES</t>
  </si>
  <si>
    <t xml:space="preserve">MISTAKE WAS TO ADD IN FIRST SESSION AND THEN NOT HEDGING </t>
  </si>
  <si>
    <t xml:space="preserve">empty grid on wed </t>
  </si>
  <si>
    <t>DEATH BY 1000 CUTS</t>
  </si>
  <si>
    <t>AVOID FREQUENT TRADES NOW</t>
  </si>
  <si>
    <t>WED AUD CPI INDICATOR | D &lt;= 3.7% AND H &gt;=3.9%</t>
  </si>
  <si>
    <t>not holding spds b4 event</t>
  </si>
  <si>
    <t>IR D24</t>
  </si>
  <si>
    <t>SPD EXIT</t>
  </si>
  <si>
    <t>1 sesh</t>
  </si>
  <si>
    <t>AUD MONTHLY CPI INDICATOR (P3.6% F3.8% A4%)</t>
  </si>
  <si>
    <t>FRONT EXPOSURE LONG SIDE HOLDING</t>
  </si>
  <si>
    <t>so s24 exit and hold d24 spd keep buying spd if goes below and scalp</t>
  </si>
  <si>
    <t>fair</t>
  </si>
  <si>
    <t>BUT MISSED MOMENTUM TRADE WITH 2+2 OR 3 LOTS</t>
  </si>
  <si>
    <t>same amt would have been profit</t>
  </si>
  <si>
    <t>RET + SZ</t>
  </si>
  <si>
    <t>WHY TRYING IR RET TRADES DURING CPI EVENT</t>
  </si>
  <si>
    <t>ORDER MANAGEMENT ISSUE</t>
  </si>
  <si>
    <t>PLACE HARD SLs IN THESE TRADES</t>
  </si>
  <si>
    <t>240 ticks bad loss</t>
  </si>
  <si>
    <t>D24 6MS</t>
  </si>
  <si>
    <t>FLY @ 7 CAN SCALP AROUND THIS</t>
  </si>
  <si>
    <t>J25 1Y SPD</t>
  </si>
  <si>
    <t>RET + VAR 3</t>
  </si>
  <si>
    <t>CAN MAKE DECONDOR</t>
  </si>
  <si>
    <t>-30 Sell</t>
  </si>
  <si>
    <t xml:space="preserve">ILLIQUIDITY + NO SL IN 1 YR CONTRACTS PLACED </t>
  </si>
  <si>
    <t>NEED TO PLACE HARD SL</t>
  </si>
  <si>
    <t>D25 6MS</t>
  </si>
  <si>
    <t>S25 CONDOR EXIT</t>
  </si>
  <si>
    <t>80 * -16 of s25 6ms</t>
  </si>
  <si>
    <t>STOP TRADING FRONTS WHOLE YEAR WITH HEAVY LOTS | part time job survive winters</t>
  </si>
  <si>
    <t>NEED TO IMPROVE ACCOUNT RETENTION</t>
  </si>
  <si>
    <t>FRONT SPD EXIT ONLY</t>
  </si>
  <si>
    <t>NO IR TRADES IN EVENTS</t>
  </si>
  <si>
    <t>part time job for the rest of the year</t>
  </si>
  <si>
    <t>EVERY TRADE THINK WHAT COULD GO WRONG AND WHAT WILL YOU DO IF IT DOES</t>
  </si>
  <si>
    <t>CLIP SIZES SPD: 1ST SPD 25</t>
  </si>
  <si>
    <t>2ND SPD 50</t>
  </si>
  <si>
    <t>3RD SPD 100</t>
  </si>
  <si>
    <t>4TH, 5TH, 6TH 200</t>
  </si>
  <si>
    <t>7TH 100</t>
  </si>
  <si>
    <t xml:space="preserve">CLIP SIZES 6MS BACKS </t>
  </si>
  <si>
    <t>2ND: 50</t>
  </si>
  <si>
    <t>3RD: 75</t>
  </si>
  <si>
    <t>4TH, 5TH, 6TH 100-150</t>
  </si>
  <si>
    <t>J25 6MS</t>
  </si>
  <si>
    <t>EXIT VIA 3MS</t>
  </si>
  <si>
    <t>structure exit loss</t>
  </si>
  <si>
    <t>plus the structure also @ loss</t>
  </si>
  <si>
    <t>M25 CONDOR (1)</t>
  </si>
  <si>
    <t xml:space="preserve">cuts global  </t>
  </si>
  <si>
    <t>&lt;=-4</t>
  </si>
  <si>
    <t>M25 FLY +1 S AND J25 FLY -2 S</t>
  </si>
  <si>
    <t>OR ELSE SCRATCH</t>
  </si>
  <si>
    <t>100 SCRATCH</t>
  </si>
  <si>
    <t>CLASSIC ADDING TO LOSERS TRADE</t>
  </si>
  <si>
    <t>S C R A T C H</t>
  </si>
  <si>
    <t>70 remains</t>
  </si>
  <si>
    <t>EXITING FROM M25 BUYING SIDE</t>
  </si>
  <si>
    <t xml:space="preserve">OBSERVATIONS OF JUNE | WHAT WORKED: </t>
  </si>
  <si>
    <t>6MS OF BELLY AND BACK (J25 ONWARDS; 4TH CONTRACT)RANGE FROM SHORT SIDE OR RANGED</t>
  </si>
  <si>
    <t>TED ILLIQUIDITY IN CALENDAR</t>
  </si>
  <si>
    <t>FRIYAY RET IN 6MS, 1YR / STRUCTURES</t>
  </si>
  <si>
    <t xml:space="preserve">DECONDOR BACK WITH 6MS AND 1YR </t>
  </si>
  <si>
    <t>LGAP IN FRONT 6MS USING VAR + VALUE ZONES WORKS A LOT DURING NON- THEME CHANGING EVENTS OR ECONOMIC RELEASE VALUE</t>
  </si>
  <si>
    <t>RANGED IN FRONT SHOULD ALWAYS BE DEFENSIVE AND LIMITED AND INTRADAY</t>
  </si>
  <si>
    <t>RANGED IN BACKS WORKS DURING DEAD DAYS CAN EVEN TRY VIA OUTRIGHTS WHERE TED IS A BACKUP DURING RANGED TEDS</t>
  </si>
  <si>
    <t>MOMENTUM DURING THEME CHANGING EVENTS OR ECONOMIC DATA HAS LESS HEAT SHOULD BE TAKEN AGGRESSIVELY</t>
  </si>
  <si>
    <t>WHAT DID NOT WORK:</t>
  </si>
  <si>
    <t>ANYTHING IN FRONT FIRST CONTRACT RELATED IR RET, SPD RET, FLY, DEFLY, CONDOR, 6MS</t>
  </si>
  <si>
    <t>SO AVOID FRONT COMPLETELY AND BASED ON FRONT SECONDARY TRADES</t>
  </si>
  <si>
    <t>FRONT ME LOSSES BACHANE KE LIYE TRADE ONLY 15% OF LOT SIZES AT BACKS</t>
  </si>
  <si>
    <t>BACK 150 REACHED SO FRONT ANYTHING: 25 LOTS</t>
  </si>
  <si>
    <t>USE XT AND FIRST SPD FOR MOMENTUM TRADES</t>
  </si>
  <si>
    <t>EMPTY GRID . by next week | so only intraday | hold the existing positions no averaging anymore</t>
  </si>
  <si>
    <t>SCALE DOWN . done</t>
  </si>
  <si>
    <t>no more averaging the ciurrent orders just scratch first until then no new trades</t>
  </si>
  <si>
    <t>Slowly start to rebuild.</t>
  </si>
  <si>
    <t>USE TT STOP</t>
  </si>
  <si>
    <t>JUST EXIT ORDERS NOW</t>
  </si>
  <si>
    <t>IF A STRUCTURE IS GOING ITM THEN BOOKING PARTIAL LOTS SO IF A STRUCTURE IS GOING AGAINST BOOK LOSSES OF SOME LOTS</t>
  </si>
  <si>
    <t>START SMALL TO REBUILD SMALL</t>
  </si>
  <si>
    <t>WORK ON THIS : IF A STRUCTURE IS GOING ITM THEN BOOKING PARTIAL LOTS SO IF A STRUCTURE IS GOING AGAINST BOOK LOSSES OF SOME LOTS</t>
  </si>
  <si>
    <t>practise loss booking with partial lots when a structure is failing : jao partial lots book karo</t>
  </si>
  <si>
    <t>TRADE AFTER REBATE</t>
  </si>
  <si>
    <t>SO EMPTY GRID or INTRADAY</t>
  </si>
  <si>
    <t>fronts to back ratio should be 1:3</t>
  </si>
  <si>
    <t>M25 FLY  (M25C -1S)</t>
  </si>
  <si>
    <t>M25 SPD -9 SL + J25 -10 SL ORDERS 100 LOTS EACH</t>
  </si>
  <si>
    <t>J25 FLY  (M25C -1S)</t>
  </si>
  <si>
    <t xml:space="preserve">ONLY EXIT ORDERS SHOULD BE PLACED </t>
  </si>
  <si>
    <t xml:space="preserve">START FRESH AFTER EXITING ALL THESE TRADES </t>
  </si>
  <si>
    <t>fix lot sizing</t>
  </si>
  <si>
    <t>LET MARKETS FORM RANGES FIRST</t>
  </si>
  <si>
    <t>THEN EXIT ALL</t>
  </si>
  <si>
    <t>EMPTY GRID BY WED| mkt hit if not done by that time</t>
  </si>
  <si>
    <t>JUN.24 BLOWUP</t>
  </si>
  <si>
    <t>ACCOUNT BLOWN (kind of)</t>
  </si>
  <si>
    <t>LEARNINGS:</t>
  </si>
  <si>
    <t>HIGHER LOT SIZING TRADES SHOULD BE RESERVED FOR RARE TIMES AND HAVE TO BE SELECTIVE -&gt; ALSO NEED TO REDUCE ADDITIONAL LOTS IMMEDIATELY IF DOES NOT HOLD OR MANY PLAYERS GOT THAT TRADE THEN IT BECOMES LESS VALUABLE</t>
  </si>
  <si>
    <t>after scaling up if losing streak occurs scale down by 50% in the next trades until that loss is recovered and break above the previous high</t>
  </si>
  <si>
    <t>LIQUIDITY ISSUES WHEN TRADING WITH HIGHER LOTS</t>
  </si>
  <si>
    <t>DEFINED TIMINGS TO TRADE AND HAVE A TIME LIMIT TO TRADE EVERYDAY</t>
  </si>
  <si>
    <t xml:space="preserve">CANT AFFORD BIG TRADES FREQUENTLY </t>
  </si>
  <si>
    <t>SCALING UP SHOULD BE DONE ON TRADES THAT WORK IN THE LONG RUN AND LESS FREQUENTLY</t>
  </si>
  <si>
    <t>TAKING LEAVES IS ALSO A TRADE | BY NOT LOSING MONEY</t>
  </si>
  <si>
    <t>DONT FORGET ACCOUNT MANAGEMENT ALLOCATION</t>
  </si>
  <si>
    <t>LOSING STREAKS HAPPENING WITH HIGHER LOTS DUE TO LEGGED / EXIT FAILURES</t>
  </si>
  <si>
    <t>these learnings won't be possible if you traded smaller lots all the time</t>
  </si>
  <si>
    <t>FORGOT ACCOUNT MANAGEMENT SIDE | JUST FOCUSSED ON CONTINUING THE PROCESS REGARDLESS| THIS WAS WRONG</t>
  </si>
  <si>
    <t>LOSING STREAKS OR BIG LOSS % OF ACCOUNT = ACCOUNT STOP NO MATTER WHAT (SAY 50% FROM CURRENT ACCOUNT SIZE LOSS = STOP AND STEP BACK TAKE WEEK OFF)</t>
  </si>
  <si>
    <t>this was not placed as there was no losing streaks before</t>
  </si>
  <si>
    <t>AROUND THEME CHANGING EVENTS DIFFICULT TO EMPTY GRID SO BEFORE TAKING NEW TRADES FIRST EMPTY GRID COMPLETELY OR CARRY HEDGED STRUCUTRES ONLY</t>
  </si>
  <si>
    <t>conclusion:</t>
  </si>
  <si>
    <t>1) LOSS ISSUE: big lots se legged (from multiple contracts like 3m, 6m, 1yr and unable to scratch those) or partial exits or exit failures or liquidity issues in cutting losses changed the strategies pnl behaviour and overall positive expectancy | SOLUTION: when this happens from strucutres, switch to intraday strategies AND vice versa</t>
  </si>
  <si>
    <t>2) PROFIT ISSUE: big lots se unable to hold winners for longer | Solution: USE TRAILING SL LIQUIDITY CONDITION | book few lots profit and let the rest run and keep booking partially 50% of the remaining until opposition arrives (ex: 100-&gt; 50 -&gt; 25 -&gt;12 -&gt; 6) in fronts and backs (exit half (50%) at 1 tick and take half again afterwards if it comes back or 3x (150%) opposite position @ 2 ticks or the other end of ranges 50% to exit remaining and 100% for opposite side entry)</t>
  </si>
  <si>
    <t>3) LOSING STREAK: LOSING STREAK AND / OR more than 50% OF ACCOUNT DRAWDOWN  =  STOP TAKING NEW TRADES, CONTROL IMPULSES BY WALKING AWAY | TRADE NEXT WEEK ONWARDS / AFTER 2 DAYS + VALUE AT RISK 50% OF BALANCED AMOUNT AND CHECK THE LOT SIZES AS PER YOUR MM MODEL</t>
  </si>
  <si>
    <t>4) empty grid around important theme changing events | AROUND THEME CHANGING EVENTS DIFFICULT TO EMPTY GRID SO BEFORE TAKING NEW TRADES FIRST EMPTY GRID COMPLETELY OR CARRY HEDGED STRUCUTRES ONLY</t>
  </si>
  <si>
    <t>5) TIMEOUT WITHIN 2 WEEKS AND EMPTY GRID | USE liquidity condition SL FOR LEFTOVER LOTS of legged contracts | this helps to capture new opportunites and manage them better after next event or movement</t>
  </si>
  <si>
    <t>6) IF NO STRUCTURE (D) 50% BALANCED LOTS until a structure is found and improve it's legs OR INTRADAY WITH NORMAL BALANCED LOTS</t>
  </si>
  <si>
    <t>7) POSITIONAL V INTRADAY/HOUR: TRACK WHEN POSITIONAL WORKING AND INTRADAY WORKING OR INTRAHOURS | USUALLY IF ONE WORKS THE OTHER DOESNT (SO WHEN POSITIONAL NOT WORKING INTRADAY WORKS) | so for a positional trader (my strength) if it is not working shift to intraday strats first</t>
  </si>
  <si>
    <t>8) after timeout cap 20% (forget this) and add 80% to balance and after 10k overall balance cap 50% (forget this) and add 50% to balance</t>
  </si>
  <si>
    <t>9) TRADE FOR 4 TO 6 HOURS PER DAY SO SELECT THOSE TIMES | NO UNNECESSARY ORDER PLACEMENT BEFORE THAT + STICK TO INTRAHOUR OR EXIT NEXT SESSION WITH SL OCO NO NEED TO HEDGE</t>
  </si>
  <si>
    <t>10) ACCOUNT MGMT&gt;RISK MGMT: first account management for lot sizes then risk management for strategies with the defined lot sizes for the next play WHEN SCALING UP AND NEED TO SCALE DOWN AFTER BIG LOSSES</t>
  </si>
  <si>
    <t>July24 live (R+1) | REDUCE INTRADAY &gt;1D TRADES</t>
  </si>
  <si>
    <t>JUL.24</t>
  </si>
  <si>
    <t>I WAS WRONG AND I HAVE LEARNED FROM THE EXPERIENCE</t>
  </si>
  <si>
    <t>sometimes you have to accept the unfortunate that you did not expect to happen and move on</t>
  </si>
  <si>
    <t>GOALS:</t>
  </si>
  <si>
    <t>NEED TO RETAIN A LOT% OF MONEY THAT I WILL BE MAKING FROM HERE ON</t>
  </si>
  <si>
    <t>your job is to minimize losses in trades that you take</t>
  </si>
  <si>
    <t xml:space="preserve">MKT NEUTRAL STRATS. J.S. + BALANCED MM + TIMEOUT </t>
  </si>
  <si>
    <t>NEED TO EMPTY GRID AFTER MAX 2 WEEKS NO MATTER WHAT BEFORE TAKING NEW TRADES</t>
  </si>
  <si>
    <t>LOOK FOR A HEDGED STRUCTURE / VALUE ZONE; GO BALANCED / SNIPER</t>
  </si>
  <si>
    <t>IF NO STRUCTURE GO DEFENSIVE (pistol/ eco round) UNTIL IT GETS CLEARER OR ARBITRAGE EXISTS</t>
  </si>
  <si>
    <t>BEFORE ANY NEW PLAY HAVE THE ACCOUNT MANAGEMENT CHECKED</t>
  </si>
  <si>
    <t>after timeout cap to balance | mm101</t>
  </si>
  <si>
    <t>SUBTRACT AND PUSH . thats how you'll improve</t>
  </si>
  <si>
    <t>CAN'T GET THE QUALITY WITHOUT PUTTING IN THE QUANTITY</t>
  </si>
  <si>
    <t>DONT DO THE SAME THING THAT EVERYONE / 99% WILL DO; BUT STRAT REDUCTION, NOT SO MUCH</t>
  </si>
  <si>
    <t>trap traders who trade frequently | that's the nature of traders after making money | cant keep it</t>
  </si>
  <si>
    <t>NEW SIZING TOTAL LOTS (EQUAL DIVISION FOR MULTIPLE ENTRIES)</t>
  </si>
  <si>
    <t xml:space="preserve">HEDGED DFLY / FLY: 18 LOTS </t>
  </si>
  <si>
    <t>LGAP @ ZONES: 16</t>
  </si>
  <si>
    <t>RANGED: 9 LOTS SO 4,5 (IF 2 ENTRIES)</t>
  </si>
  <si>
    <t>SNIPER 36</t>
  </si>
  <si>
    <t>IF NO STRUCTURE (D) 50% OF THESE LOTS until a structure is found and improve it's legs OR INTRADAY WITH NORMAL BALANCED LOTS</t>
  </si>
  <si>
    <t>2,2</t>
  </si>
  <si>
    <t>BREATHE &gt; SMALL STEPS &gt; FEW TRADES WITH FEW LOTS &gt; EXECUTE FLAWLESSLY (PNL DOESN'T MATTER)</t>
  </si>
  <si>
    <t>435AM</t>
  </si>
  <si>
    <t>Scalping+ can exit spd</t>
  </si>
  <si>
    <t>AOTC TRADE</t>
  </si>
  <si>
    <t>M25 SPD IR</t>
  </si>
  <si>
    <t>EXITS FOR REMAINING VIA M25 6MS B -20x 70 to get m25 spd -10 x 70 out</t>
  </si>
  <si>
    <t>M25 6MS</t>
  </si>
  <si>
    <t>NIGHT</t>
  </si>
  <si>
    <t>S25 6MS</t>
  </si>
  <si>
    <t>need J25-D25 -19</t>
  </si>
  <si>
    <t>EXIT J25 CONDOR -4</t>
  </si>
  <si>
    <t>wed . nfp, pmi | remove orders only lgap at value zones</t>
  </si>
  <si>
    <t xml:space="preserve">thu . dead </t>
  </si>
  <si>
    <t>fri . US labour data</t>
  </si>
  <si>
    <t xml:space="preserve">WHAT TO DO AFTER EXITS </t>
  </si>
  <si>
    <t>POSITIONAL SNIPER AT BACKS | longer duraion trades | weekly trades pick</t>
  </si>
  <si>
    <t>INTRAHOUR (&lt;1D) TRADES (teds, ir, front spds)</t>
  </si>
  <si>
    <t>NXT WEEK THU US CPI , THATS IT WHOLE WEEK</t>
  </si>
  <si>
    <t>AUD RETAIL SALES (P0.1% F0.3% A0.6%)</t>
  </si>
  <si>
    <t>SCALPING + RZ @ 4,5</t>
  </si>
  <si>
    <t>TRY TO GET OUT VIA IR IN MORNING SESSION</t>
  </si>
  <si>
    <t>NFP (P272K -&gt; 218KF190K A206K)</t>
  </si>
  <si>
    <t>DOVISH REV</t>
  </si>
  <si>
    <t>FRI | AVOID OUTRIGHTS, FRIYAY RET (A)</t>
  </si>
  <si>
    <t>UE (P4% F4% A4.1%)</t>
  </si>
  <si>
    <t>SPDS WENT DOWN BONDS WENT UP</t>
  </si>
  <si>
    <t>M25 CONDOR EXIT</t>
  </si>
  <si>
    <t>avg @ -21</t>
  </si>
  <si>
    <t>11 jul morning</t>
  </si>
  <si>
    <t>again structure exit loss</t>
  </si>
  <si>
    <t>VAR 3</t>
  </si>
  <si>
    <t>649PM</t>
  </si>
  <si>
    <t>MORNING</t>
  </si>
  <si>
    <t>WED RBNZ INT RATE</t>
  </si>
  <si>
    <t>THU US CPI | AVOID POSITIONAL | only exits until then</t>
  </si>
  <si>
    <t>EXITS OF OLD CONTRACTS FROM SELLING SIDE (SPDS) OR BUY SIDE (IR)</t>
  </si>
  <si>
    <t>AVOID US CPI DAY | EMPTY GRID  AND NO ORDERS</t>
  </si>
  <si>
    <t>EVE</t>
  </si>
  <si>
    <t>VAR3 + FRIYAY RET</t>
  </si>
  <si>
    <t>OI HIGHEST M25, S25, J25 IN THAT ORDER | MIGHT HAVE OPPORTUNITY IN THESE CONTRACTS SPDS, 3MS, 6MS, 1Y FOR INTRADAY DURING EVENTS</t>
  </si>
  <si>
    <t>J25 DC</t>
  </si>
  <si>
    <t>SZ (3,2)</t>
  </si>
  <si>
    <t>add 12 @ 3</t>
  </si>
  <si>
    <t>12 JUL MORNING</t>
  </si>
  <si>
    <t>6MS hl75,80    S4 4,5 | D24 3 | M5 3,2 | J25 ONWARDS 1</t>
  </si>
  <si>
    <t>1110am</t>
  </si>
  <si>
    <t>J25 6MS IR</t>
  </si>
  <si>
    <t>PAPER FOR D24-J25 FROM J25 SELL</t>
  </si>
  <si>
    <t>PAPER</t>
  </si>
  <si>
    <t>1145AM</t>
  </si>
  <si>
    <t>PAPER HEDGE</t>
  </si>
  <si>
    <t>6PM EVENT</t>
  </si>
  <si>
    <t>SCRATCHABLE</t>
  </si>
  <si>
    <t>UK GDP MOM (P0% F0.2% A0.4%)</t>
  </si>
  <si>
    <t>US CORE CPI MOM JUN (P0% F0.1% A0.1%)</t>
  </si>
  <si>
    <t>US CPI MOM JUN (P3.4% F3.4% A3.3%)</t>
  </si>
  <si>
    <t>US CPI MOM JUN (P0% F0.1% A-0.1%)</t>
  </si>
  <si>
    <t>US CPI YOY (P3.3% F3.1% A3%)</t>
  </si>
  <si>
    <t>LGAP SZ</t>
  </si>
  <si>
    <t>IB AUG24</t>
  </si>
  <si>
    <t>RET AFTER DOVISH US TO AUD HAWKISH</t>
  </si>
  <si>
    <t>6BPS ( HIGHS 12BP)</t>
  </si>
  <si>
    <t>15 jul night s</t>
  </si>
  <si>
    <t>RET + SCALPING</t>
  </si>
  <si>
    <t>add more @ below prices 2 more entries bigger size</t>
  </si>
  <si>
    <t>till tue</t>
  </si>
  <si>
    <t>9h</t>
  </si>
  <si>
    <t>nxt session morning 550am</t>
  </si>
  <si>
    <t>1050pm</t>
  </si>
  <si>
    <t xml:space="preserve">VAR 4 </t>
  </si>
  <si>
    <t>6h</t>
  </si>
  <si>
    <t>nxt session</t>
  </si>
  <si>
    <t>ANALYZE THE EXTENDED OR NEW MOVE ON FRI MORNING AND PLAY FRIYAY TRADE IN 2ND SESSION</t>
  </si>
  <si>
    <t xml:space="preserve">SCALP </t>
  </si>
  <si>
    <t>DC EXIT</t>
  </si>
  <si>
    <t>EMPTY GRID ACHIEVED | plan the next attack strat for the next 2 weeks</t>
  </si>
  <si>
    <t>this is how you survive | waiting for the best opportunity and attacking when certain things have a higher chance | wait for the trapped traders | i kill the trapped traders | hurt the soft traders by having what they dont have or lose along the way; patience</t>
  </si>
  <si>
    <t>ACC BAL 5K</t>
  </si>
  <si>
    <t>MON | DEAD SO PAPER TRY WITH 5 LOTS</t>
  </si>
  <si>
    <t>TUE | US RETAIL SALES, CAD CPI | VAR</t>
  </si>
  <si>
    <t>THU | AUD LABOR DATA | MOMENTUM OR LGAP</t>
  </si>
  <si>
    <t>FRI | NZD CPI | AVOID QUOTES 1ST SESSION | BACKS ONLY (B) OR (D)</t>
  </si>
  <si>
    <t>1044am</t>
  </si>
  <si>
    <t>I</t>
  </si>
  <si>
    <t>RZ (-20,-19)</t>
  </si>
  <si>
    <t>MAKE CONDOR @ 0 WITH HALF LOTS IF GOES 1 TICK ANTI</t>
  </si>
  <si>
    <t>15 jul 218pm</t>
  </si>
  <si>
    <t>night session</t>
  </si>
  <si>
    <t>SCALPING + SZ (22,-23)</t>
  </si>
  <si>
    <t>CAN MAKE D24 CONDOR B @ -1</t>
  </si>
  <si>
    <t>D24 CONDOR -&gt; (1) 1:2</t>
  </si>
  <si>
    <t>P</t>
  </si>
  <si>
    <t>HC HAWKISH IN LONG RUN + CURVE ANOMALY or kink shifting in front (should not sustain for long)</t>
  </si>
  <si>
    <t>&gt;=2 TO 4 | half lots exits | exit all @ 0</t>
  </si>
  <si>
    <t>Hawkish rba or any hawkish data</t>
  </si>
  <si>
    <t>AFTER 23RD B4 30 HOLD FULL MONTH UNTIL 2 OR BELOW -2 | EXIT BY LAST WEEK</t>
  </si>
  <si>
    <t xml:space="preserve">31 JUL AUD CPI, FED </t>
  </si>
  <si>
    <t>EXIT ALL @ 0</t>
  </si>
  <si>
    <t>REDUCE 50% B4 WED NO MATTER WHAT</t>
  </si>
  <si>
    <t>IF LEGGED SCRATCH OR EXIT @ MKT HALF OF IT (25%)</t>
  </si>
  <si>
    <t>D24 DC(1) 1:2 -&gt; ()</t>
  </si>
  <si>
    <t>UA</t>
  </si>
  <si>
    <t>SZ (-41,-42 FOR D24 1Y SPD)</t>
  </si>
  <si>
    <t>HAWKISH OR LESS DOVISH IN LONG RUN</t>
  </si>
  <si>
    <t>DECONDOR SZ + HC STRONGER AND STABLE</t>
  </si>
  <si>
    <t>add &lt;0</t>
  </si>
  <si>
    <t>AFTER 23RD B4 30 JUL</t>
  </si>
  <si>
    <t>31 JUL AUD CPI, FED</t>
  </si>
  <si>
    <t>D24 1 Y SPD</t>
  </si>
  <si>
    <t>exit b4 aud labour data on thu</t>
  </si>
  <si>
    <t xml:space="preserve">add after us event </t>
  </si>
  <si>
    <t>ONLY INTRADAY IN D24 CONTRACTS NOW</t>
  </si>
  <si>
    <t>can add 12 more in d24 exposure</t>
  </si>
  <si>
    <t>2nd open</t>
  </si>
  <si>
    <t>S25 CONDOR(1) 1:2</t>
  </si>
  <si>
    <t>SZ (-6)</t>
  </si>
  <si>
    <t>HC ONE OF THEM SHOULD GO UP</t>
  </si>
  <si>
    <t>-4 only</t>
  </si>
  <si>
    <t>ADD NEAR -2 OR BELOW</t>
  </si>
  <si>
    <t>24 JUL EVE</t>
  </si>
  <si>
    <t>16 LEFT</t>
  </si>
  <si>
    <t>WITHIN MINUTES FLIPPING AVOIDING ADDING POSITIONS</t>
  </si>
  <si>
    <t>250pm</t>
  </si>
  <si>
    <t>CUTS IN LONGER RUN SHOULD NOT GO ABOVE 0</t>
  </si>
  <si>
    <t xml:space="preserve">taken the fly structure to scalp exit; if fails then scratch the stucture </t>
  </si>
  <si>
    <t>scalping exit or scratch the fly</t>
  </si>
  <si>
    <t>PLAN STRUCTURE: M25 DEFLY 3 TO -1</t>
  </si>
  <si>
    <t>S25 CONDOR -5,-6 TO -4</t>
  </si>
  <si>
    <t>AUD UE RATE (P4% F4.15 A4.1%)</t>
  </si>
  <si>
    <t>EMP CHANGE (P39K F19K A50k)</t>
  </si>
  <si>
    <t>YT SEP24</t>
  </si>
  <si>
    <t>D24 1Y SPD</t>
  </si>
  <si>
    <t>VAR + RET</t>
  </si>
  <si>
    <t xml:space="preserve">7M </t>
  </si>
  <si>
    <t>SQUEEZE B4 RBA ACTUAL DECISION</t>
  </si>
  <si>
    <t>830AM</t>
  </si>
  <si>
    <t>DOUBLE FILLED @ MKT HIT + -3 SZ</t>
  </si>
  <si>
    <t>-1 SCALPING</t>
  </si>
  <si>
    <t>ADD @ -3 12 MORE</t>
  </si>
  <si>
    <t>END A MONTH POSITIVE NO MATTER WHAT =&gt; BUILDS CONSISTENCY</t>
  </si>
  <si>
    <t>wed pmi, boc | avoid trading</t>
  </si>
  <si>
    <t>thu us gdp | var  (a)</t>
  </si>
  <si>
    <t>fri us pce | friyay lgap, var (b)</t>
  </si>
  <si>
    <t>M25 3MS</t>
  </si>
  <si>
    <t>SCRATCHED AS B4 EVENT SPD</t>
  </si>
  <si>
    <t>SCALPING + SZ (-13 TO -15)</t>
  </si>
  <si>
    <t>ADD @ -14 12 LOTS</t>
  </si>
  <si>
    <t>Scalping var 2</t>
  </si>
  <si>
    <t>1AM 27 JUL</t>
  </si>
  <si>
    <t>FLY EXIT IF NOT SCALPED</t>
  </si>
  <si>
    <t>D25 3MS</t>
  </si>
  <si>
    <t>fly exit</t>
  </si>
  <si>
    <t>5d</t>
  </si>
  <si>
    <t>&gt;=2 TO 4 | half lots exits</t>
  </si>
  <si>
    <t>tue | jolts @ night | EMPTY GRID</t>
  </si>
  <si>
    <t>WED | AUD CPI, BOJ INT RATE (830AM), FED INT RATE | ALL THEME CHANGING EVENTS | NO LGAP, NO RET ORDERS, NO POSTIONS HEAVY | NO TRADES (OR ORDERS) WHOLE DAY (0), UNLESS BIG CHANGES THEN MOMENTUM IN YT, IR</t>
  </si>
  <si>
    <t>THU BOE INT RATE, US PMIs | wfh morning session, (D) FOR INTRDAY SCALPS OR LGAP NEAR ANY ZONES IF ANY ELSE NO TRADES FOR FRIYAY TRADES</t>
  </si>
  <si>
    <t>FRI US LABOUR DATA | NO OUTRIGHTS, NO TEDS THIS TIME, SCALPS (D) FROM HL85, VALUE ZONES</t>
  </si>
  <si>
    <t>SCALPING OF IR FAILED THEN GOT LEGGED</t>
  </si>
  <si>
    <t>ONLY IR SCALPING NO TED BACKUP</t>
  </si>
  <si>
    <t>loss w payup 1 | total 2 ticks</t>
  </si>
  <si>
    <t>C EXIT</t>
  </si>
  <si>
    <t>EXIT B4 EVENT</t>
  </si>
  <si>
    <t>AUD CPI QOQ Q2 (P1% F1% A1%)</t>
  </si>
  <si>
    <t>AUD CPI YOY (P3.6% F3.8% A3.8%)</t>
  </si>
  <si>
    <t>AUD TRIMMED MEAN CPI QOQ Q2 (P1% F1% A0.8%)</t>
  </si>
  <si>
    <t>AUD TRIMMED MEAN CPI YOY (P4% F4% A3.9%)</t>
  </si>
  <si>
    <t>35S</t>
  </si>
  <si>
    <t>TT STOP | TRAILING</t>
  </si>
  <si>
    <t>was able to execute because no other orders | so theme changing events; empty grid and try momentum</t>
  </si>
  <si>
    <t>S25 CONDOR</t>
  </si>
  <si>
    <t>SZ / RANGED (-6 TO -4) BUT -6 NOT @ HIT</t>
  </si>
  <si>
    <t>legged during execution</t>
  </si>
  <si>
    <t>cut the losses of the structure if legged and anti</t>
  </si>
  <si>
    <t>D24 1 YR</t>
  </si>
  <si>
    <t>RET (NOT LGAP)</t>
  </si>
  <si>
    <t>SL HIT</t>
  </si>
  <si>
    <t>935am</t>
  </si>
  <si>
    <t>BOJ HIKES 15BP (0.25%)</t>
  </si>
  <si>
    <t>BONDS WENT UP1 | BOND BUYING PROGRAM OR SOMETHING</t>
  </si>
  <si>
    <t>TT STOP | TRAILING AT SCRATCH AS JAPAN</t>
  </si>
  <si>
    <t>CONDOR @ 6</t>
  </si>
  <si>
    <t>FRIYAY INTRADAY BUT (B) OR (D) LOTS</t>
  </si>
  <si>
    <t>AFTER THAT WHOLE WEEK NOTHING</t>
  </si>
  <si>
    <t>August24 live (R-1) | REDUCE LOT SIZING 2ND HALF AND ONLY EXITS IN 2ND HALF</t>
  </si>
  <si>
    <t>AUG.24</t>
  </si>
  <si>
    <t>740PM</t>
  </si>
  <si>
    <t>6MS</t>
  </si>
  <si>
    <t>CONDOR S25 EXIT @ -4</t>
  </si>
  <si>
    <t>add more @ -14</t>
  </si>
  <si>
    <t>2 AUG 638AM</t>
  </si>
  <si>
    <t>AUG.24.II</t>
  </si>
  <si>
    <t>9pm</t>
  </si>
  <si>
    <t>M25 1Y -&gt; M25 DC</t>
  </si>
  <si>
    <t>6MF/C/DC</t>
  </si>
  <si>
    <t>SZ + RANGED (R+1) [8 LOTS FOR SCALPING]</t>
  </si>
  <si>
    <t>M25 DECONDOR J25 6MS -24 x 36 @ sz -2</t>
  </si>
  <si>
    <t>5 aug 4am</t>
  </si>
  <si>
    <t xml:space="preserve">exit @ hit </t>
  </si>
  <si>
    <t xml:space="preserve">exiting b4 rba + liquidity gone </t>
  </si>
  <si>
    <t>924pm</t>
  </si>
  <si>
    <t xml:space="preserve">DOWN TREND IN LARGE TF </t>
  </si>
  <si>
    <t>10H</t>
  </si>
  <si>
    <t>2 AUG 726AM</t>
  </si>
  <si>
    <t>BS LIMIT EXCEEDED FOR THE MONTH</t>
  </si>
  <si>
    <t>scratch or avg alternate price</t>
  </si>
  <si>
    <t>ENTRIES FROM SHORT SIDE OF CURVE MORE FAVOURABLE IN THE LONG RUN</t>
  </si>
  <si>
    <t>US NFP JUL (PP206K -&gt; 179K F176K A114K)</t>
  </si>
  <si>
    <t>US UE RATE (P4.1% F4.1% A4.3%)</t>
  </si>
  <si>
    <t>AVG HOURLY EARNINGS (P0.3% F0.3% A0.2%)</t>
  </si>
  <si>
    <t>D24 3MS</t>
  </si>
  <si>
    <t>3MS</t>
  </si>
  <si>
    <t>SCALPING + VAR 5</t>
  </si>
  <si>
    <t>SCALPING EVENT LGAP FROM S SIDE</t>
  </si>
  <si>
    <t>SCALPING VAR2</t>
  </si>
  <si>
    <t>illiquidity</t>
  </si>
  <si>
    <t>S25 3MS</t>
  </si>
  <si>
    <t>CONDOR EXIT / REDUCE @ -5</t>
  </si>
  <si>
    <t>NXT TIME CUT LOSSES OF THE STRUCTUTRE</t>
  </si>
  <si>
    <t xml:space="preserve">EVE </t>
  </si>
  <si>
    <t>1YS</t>
  </si>
  <si>
    <t>SCALPING + VAR 4</t>
  </si>
  <si>
    <t>risk asset buying due to fear of US recession + israel iran attack anticipation + JAPAN CARRY TRADE</t>
  </si>
  <si>
    <t>PULLED ALL ORDERS | WAIT AND WATCH</t>
  </si>
  <si>
    <t>M25 DC</t>
  </si>
  <si>
    <t>2ND OPEN</t>
  </si>
  <si>
    <t>BS METER EXCEEDED</t>
  </si>
  <si>
    <t>LOT SIZING</t>
  </si>
  <si>
    <t>SCALPING cal 6 LOTS, SO  3,3</t>
  </si>
  <si>
    <t>OUTRIGHT MOMENTUM 2 SO 1,1 or 2 then partial exits</t>
  </si>
  <si>
    <t>VALUE ZONES or HL75 12 so 5,7</t>
  </si>
  <si>
    <t>lgap 7,8</t>
  </si>
  <si>
    <t>NO STRUCTURES OR TED</t>
  </si>
  <si>
    <t>NO OUTRIGHT RANGED OR RET</t>
  </si>
  <si>
    <t>US ISM NMFG PMI (F51.4 A51.4)</t>
  </si>
  <si>
    <t>TARGET ACC RETENTION AFTER 1 WEEK</t>
  </si>
  <si>
    <t xml:space="preserve">YOU MADE X AMT RETAIN 25% </t>
  </si>
  <si>
    <t>DO NOT LOSE MORE THAN 75% OF X THE NEXT WEEK</t>
  </si>
  <si>
    <t>PER TRADE RISK MANAGEMENT REQUIRED</t>
  </si>
  <si>
    <t>ONLY CALENDARS AND OUTRIGHTS WHERE YOU CAN PLACE TT STOP</t>
  </si>
  <si>
    <t>PRICES (F56 A57)</t>
  </si>
  <si>
    <t>USE ASE WITH 2-3 LOTS FOR FLUCTUATIONS LIKE DURING INTERNSHIP</t>
  </si>
  <si>
    <t>ONLY INTRADAY</t>
  </si>
  <si>
    <t>use algos in all for scalping 1 ticks</t>
  </si>
  <si>
    <t>3,4,5 RANGED TRADING</t>
  </si>
  <si>
    <t>EMP (F46.4 A51)</t>
  </si>
  <si>
    <t>VERY HAWKISH | OUTRIGHTS WENT DOWN</t>
  </si>
  <si>
    <t>&gt;6MINS</t>
  </si>
  <si>
    <t>WITHIN 6MINS</t>
  </si>
  <si>
    <t>OBSERVING THIS ONE</t>
  </si>
  <si>
    <t xml:space="preserve">CAN TAKE 4 TICKS MORE OR IF LATE TO HIT THEN TOTAL 4 TICKS </t>
  </si>
  <si>
    <t>xt mom: 8-10 ticks SL 4ticks</t>
  </si>
  <si>
    <t>xt range 8-12 ticks</t>
  </si>
  <si>
    <t>xt ret: 4 ticks SL 2 ticks</t>
  </si>
  <si>
    <t>yt mom: 7 ticks SL 3 ticks</t>
  </si>
  <si>
    <t>yt ret: 3 ticks SL 2 ticks</t>
  </si>
  <si>
    <t>belly ir mom: 7-9 ticks SL 3-4 ticks</t>
  </si>
  <si>
    <t>yt ret: 4 ticks SL 2 ticks</t>
  </si>
  <si>
    <t>RBA unchanged 4.35%</t>
  </si>
  <si>
    <t>STRATS UPDATE</t>
  </si>
  <si>
    <t xml:space="preserve">VAR 2 =&gt; 2 TICKS KA CANDLE | </t>
  </si>
  <si>
    <t>EITHER MOMENTUM OR RET</t>
  </si>
  <si>
    <t>M25 VAR 2</t>
  </si>
  <si>
    <t>J25 VAR1</t>
  </si>
  <si>
    <t>S25 VAR1</t>
  </si>
  <si>
    <t>D25 VAR1</t>
  </si>
  <si>
    <t>S24 VAR 4,6</t>
  </si>
  <si>
    <t>D24 VAR 3,4</t>
  </si>
  <si>
    <t>J25 VAR 2</t>
  </si>
  <si>
    <t>838AM</t>
  </si>
  <si>
    <t>S25-D25</t>
  </si>
  <si>
    <t>UD</t>
  </si>
  <si>
    <t>Scalping range ase chart -7 to -11</t>
  </si>
  <si>
    <t>IF -9 FLIPS IN CALENDAR THEN SCRATCH</t>
  </si>
  <si>
    <t>SCALPING VAR4</t>
  </si>
  <si>
    <t>1000 LOTS HIT + RZ (-15,-16)</t>
  </si>
  <si>
    <t>ADD 7 MORE @ -16</t>
  </si>
  <si>
    <t>BACK SCALPING 3</t>
  </si>
  <si>
    <t>VAR 2,4 BUT 2X A WEEK ONLY</t>
  </si>
  <si>
    <t>VALUE ZONES 2,4</t>
  </si>
  <si>
    <t>IR VAR 1,1</t>
  </si>
  <si>
    <t>LGAP 3,3</t>
  </si>
  <si>
    <t>RED FLY 4,4</t>
  </si>
  <si>
    <t>ALL INTRADAY TRADING ONLY + 1ST SESSION + NIGHT EVENTS</t>
  </si>
  <si>
    <t>6,2 =&gt; 6  TICKS AND RET &gt;=2</t>
  </si>
  <si>
    <t>IR 480 hl75, o75</t>
  </si>
  <si>
    <t>S24 3,1</t>
  </si>
  <si>
    <t>D24 4.35,1</t>
  </si>
  <si>
    <t>M25 5,2</t>
  </si>
  <si>
    <t>J25 6,1.5</t>
  </si>
  <si>
    <t>S25 6,2</t>
  </si>
  <si>
    <t>D25 6,2</t>
  </si>
  <si>
    <t>M26 6,2</t>
  </si>
  <si>
    <t>ALL H trades</t>
  </si>
  <si>
    <t xml:space="preserve">6th, 7th var in any 1 ir </t>
  </si>
  <si>
    <t>hold this full session with 3 ticks near hard sl</t>
  </si>
  <si>
    <t>AVOID US CPI DAY</t>
  </si>
  <si>
    <t>THEME CHANGING | SO JUST WAIT THIS ONE OUT</t>
  </si>
  <si>
    <t>MORE OPPORTUNITIES AHEAD</t>
  </si>
  <si>
    <t>TUE | AUD WPI | AVOID IR TRADES | DEAD SCALPING (UD)</t>
  </si>
  <si>
    <t>WED RBNZ, UK CPI, US CPI | MOMENTUM OUTRIGHT (UD ENTRY) TOTAL (D) ONLY | HAVE 250$ MAX SL</t>
  </si>
  <si>
    <t>THU AUD LABOUR DATA, US CORE RETAIL, PHILLY FED | AVOID TRADING FOR FRIYAY TRADES</t>
  </si>
  <si>
    <t>FRIYAY (UD)</t>
  </si>
  <si>
    <t>M25 6M FLY</t>
  </si>
  <si>
    <t>CUTS IN FRONT AND SPILLING FROM BACK RAISING BACK SPDS | ANANDH SIR VIEW</t>
  </si>
  <si>
    <t>HEDGED M25 6M SPD SHORT EXPOSURE</t>
  </si>
  <si>
    <t>SCALP AROUND IT FROM ADDING TO THISS POSITION DIRECTION</t>
  </si>
  <si>
    <t>M25 -28S  S25 -16B</t>
  </si>
  <si>
    <t>SCALP FROM ADDING DIRECTION</t>
  </si>
  <si>
    <t>D25 fly</t>
  </si>
  <si>
    <t>3MF</t>
  </si>
  <si>
    <t>sz (-3,-4)</t>
  </si>
  <si>
    <t>scalp around this</t>
  </si>
  <si>
    <t>SZ + SCALPING</t>
  </si>
  <si>
    <t>MAKE J25 CONDOR @ -4 S</t>
  </si>
  <si>
    <t>NEXT SESSION OPEN</t>
  </si>
  <si>
    <t>730AM</t>
  </si>
  <si>
    <t>RBNZ CUTS 25 BPS (5.25%)</t>
  </si>
  <si>
    <t>US CORE CPI MOM JUL (P0.1% F0.2% A)</t>
  </si>
  <si>
    <t>US CPI YOY JUL (P3% F3% A2.9)</t>
  </si>
  <si>
    <t>US CPI MOM JUL (-0.1% 0.2% A)</t>
  </si>
  <si>
    <t>US CORE CPI YOY (P3.3% F3.2% A)</t>
  </si>
  <si>
    <t>AUD EMP CCHANGE (P52 F28 A52)</t>
  </si>
  <si>
    <t>HAWKISH REV</t>
  </si>
  <si>
    <t>UE (F4.1 A4.2%)</t>
  </si>
  <si>
    <t>UE DOVISH</t>
  </si>
  <si>
    <t>POST EVENT</t>
  </si>
  <si>
    <t>DOVISH DIR ENTRY / ANANDH SIR VIEW</t>
  </si>
  <si>
    <t>D24 SPD IS THE ANCHOR / PIVOT FOR CUTS ONLY</t>
  </si>
  <si>
    <t>J25 IS THE END</t>
  </si>
  <si>
    <t xml:space="preserve">SEP 25 IS FOR CUTS GETTING DISPLACED </t>
  </si>
  <si>
    <t>J25 S25 RANGED around -20,-21</t>
  </si>
  <si>
    <t>Scratchable</t>
  </si>
  <si>
    <t>used to exit m25 c</t>
  </si>
  <si>
    <t>US CORE RETAIL SALES (P0.5% F0.1 A0.4%)</t>
  </si>
  <si>
    <t>HAWKISH REV, HAWKISH DATA | BONDS WENT LOWER</t>
  </si>
  <si>
    <t>IJL CLIAMS (P234K F236 A227K)</t>
  </si>
  <si>
    <t>PHILLY FED (P13 F5 A-7)</t>
  </si>
  <si>
    <t>RETAIL SALES (P-0.2 F0.4 A1%)</t>
  </si>
  <si>
    <t>603PM</t>
  </si>
  <si>
    <t>SZ (-18,-16,-14) DOWNTREND OF HIGHS</t>
  </si>
  <si>
    <t>HOLD 1 EXTRA SCALP 2 INTRADAY</t>
  </si>
  <si>
    <t>exit all by tue</t>
  </si>
  <si>
    <t>usually takes 2 days</t>
  </si>
  <si>
    <t>16 aug 530am</t>
  </si>
  <si>
    <t>weekend risk trade scalp</t>
  </si>
  <si>
    <t>J25 SPD -&gt; J25 FLY</t>
  </si>
  <si>
    <t>SCALPING + DOWNTREND OF RZ (-9,-10) OF J25 SPD</t>
  </si>
  <si>
    <t>FLY RANGED (0,-1 TO -3,-4)</t>
  </si>
  <si>
    <t>Was not available @ hit so can try for -3 or even try adding @ -1</t>
  </si>
  <si>
    <t>NOW AVAILABLE @ HIT BUT FEW LOTS</t>
  </si>
  <si>
    <t>16 aug 7am</t>
  </si>
  <si>
    <t>M25 spd (1)</t>
  </si>
  <si>
    <t>\AGGRESSIVE SCALPING OR VAR2 HAVE BETTER TRADES</t>
  </si>
  <si>
    <t>HEDGING BY BACK 9MS</t>
  </si>
  <si>
    <t>hedging @ back for ret of curve structure</t>
  </si>
  <si>
    <t>16 aug morning 6am</t>
  </si>
  <si>
    <t>D24 spd</t>
  </si>
  <si>
    <t>VAR 4</t>
  </si>
  <si>
    <t xml:space="preserve">-26 RZ START SO CAN AVG AFTER EXITING 50% </t>
  </si>
  <si>
    <t>16 aug morning</t>
  </si>
  <si>
    <t>CAN BE AVERAGED AT -26 AFTER SCALPING 1 TICK 50%</t>
  </si>
  <si>
    <t>713PM</t>
  </si>
  <si>
    <t>S24 9MS</t>
  </si>
  <si>
    <t xml:space="preserve">LGAP </t>
  </si>
  <si>
    <t xml:space="preserve">ALL WHITES SHOULD HAVE CUTS PLACED | DOWNWARD POSTIONS | AT THAT INSTANCE 66 WASBID WITH LOW VOLUMES SO -65 SHORT WAS MATHEMATICALLY GOOD CAN RIDE THIS </t>
  </si>
  <si>
    <t>-70 IF ALL THIS HAWKISH MOVE RETRACES COMPLETELY IF NOT AVG LATER</t>
  </si>
  <si>
    <t>lgap failed as a lot of bid</t>
  </si>
  <si>
    <t>so scratch asap</t>
  </si>
  <si>
    <t>M25 C (3MS)</t>
  </si>
  <si>
    <t>DOVISH DIR ENTRY IN THE LONG RUN / ANANDH SIR VIEW</t>
  </si>
  <si>
    <t>Add @ -7 rz</t>
  </si>
  <si>
    <t>NOT AVAILABLE @ HIT</t>
  </si>
  <si>
    <t>S25 9MS (1)</t>
  </si>
  <si>
    <t>9MS</t>
  </si>
  <si>
    <t>HEDGING FRONT SHORT EXPOSURES A LITTLE</t>
  </si>
  <si>
    <t>8am</t>
  </si>
  <si>
    <t>1st session close</t>
  </si>
  <si>
    <t xml:space="preserve">RZ + RANGED </t>
  </si>
  <si>
    <t>2h40m</t>
  </si>
  <si>
    <t>240PM</t>
  </si>
  <si>
    <t>tripple kill</t>
  </si>
  <si>
    <t xml:space="preserve">2nd session </t>
  </si>
  <si>
    <t>RANGED (-4 TO -3)</t>
  </si>
  <si>
    <t>CUTS IN FRONT SO DIRECTION FROM BUYING AS BACK SPDS GO UP</t>
  </si>
  <si>
    <t>need j25 3ms -12 for</t>
  </si>
  <si>
    <t>exit via 6ms</t>
  </si>
  <si>
    <t>2nd ses</t>
  </si>
  <si>
    <t>J25 6MS -&gt; J25 C</t>
  </si>
  <si>
    <t xml:space="preserve">SCALPING + RANGED OF SPD </t>
  </si>
  <si>
    <t>J25 FLY -2 B S25 FLY -3 B</t>
  </si>
  <si>
    <t xml:space="preserve">SCALPING + RANGED </t>
  </si>
  <si>
    <t>CUTS AT BACK SHOULD BE LESS PRICED IN and spds should go up</t>
  </si>
  <si>
    <t>avg @ -13</t>
  </si>
  <si>
    <t>21aug 1130am</t>
  </si>
  <si>
    <t xml:space="preserve">CUTS AT BACK SHOULD BE LESS PRICED IN </t>
  </si>
  <si>
    <t>can make s25 fly @-2 rz exit 5 LOTS and exit j25 c 2 LOTS</t>
  </si>
  <si>
    <t>ranged (-3,-2)</t>
  </si>
  <si>
    <t>21 aug 1130am</t>
  </si>
  <si>
    <t xml:space="preserve">STRATS (B) </t>
  </si>
  <si>
    <t xml:space="preserve">RED FLY RANGES  7,9  (EXCEPT AROUND THEME CHANGING EVENTS) </t>
  </si>
  <si>
    <t>lgap 5,7</t>
  </si>
  <si>
    <t>var 5,7</t>
  </si>
  <si>
    <t>zones 5,7</t>
  </si>
  <si>
    <t>scalping 3,3</t>
  </si>
  <si>
    <t>fly combo 5,7</t>
  </si>
  <si>
    <t xml:space="preserve">LOOK FOR 2 TICKS IN WHITES </t>
  </si>
  <si>
    <t>sniper 14,18</t>
  </si>
  <si>
    <t>ANTICIPATION OF BLS AND TRYING TO TRADE MOMENTUM</t>
  </si>
  <si>
    <t>IR SEP25</t>
  </si>
  <si>
    <t>dead prices can act as hedge</t>
  </si>
  <si>
    <t>J25 6MS -21, -20</t>
  </si>
  <si>
    <t>S25 3MS -9</t>
  </si>
  <si>
    <t>S25 6MS -16</t>
  </si>
  <si>
    <t>530PM</t>
  </si>
  <si>
    <t>JACKSON HOLE SYMPOSIUM + POWELL SPEECH @ 730PM</t>
  </si>
  <si>
    <t>powell speech</t>
  </si>
  <si>
    <t>Dovish outlook</t>
  </si>
  <si>
    <t>D24 FLY (2)</t>
  </si>
  <si>
    <t>RZ AROUND -6 TO -4</t>
  </si>
  <si>
    <t>&lt;=-10</t>
  </si>
  <si>
    <t>ADD @ -6 AND -5</t>
  </si>
  <si>
    <t>exit all by next weekend</t>
  </si>
  <si>
    <t>M25 6MS (1)</t>
  </si>
  <si>
    <t>M25 C SZ -12 SZ</t>
  </si>
  <si>
    <t>EXIT BY WED 2ND</t>
  </si>
  <si>
    <t xml:space="preserve">REDUCE </t>
  </si>
  <si>
    <t xml:space="preserve">failed at data + BULLOCK HAWKISH IN MORNING </t>
  </si>
  <si>
    <t>new strat</t>
  </si>
  <si>
    <t>M25 C (2)</t>
  </si>
  <si>
    <t>SZ (-12 TO -14)</t>
  </si>
  <si>
    <t>CUTS IN LONG RUN AS THIS WILL BE IMPACTED MOST BY FEB MAR APR MEETS WHERE MORE CHANCES OF CUTS (lowest is around 35)</t>
  </si>
  <si>
    <t>HEDGE FOR M25 6MS B</t>
  </si>
  <si>
    <t>Monthly CPI indicator (p3.8% f3.4% a3.5%)</t>
  </si>
  <si>
    <t>momentum J25 6MS</t>
  </si>
  <si>
    <t>c exit use -&gt; c for scratching</t>
  </si>
  <si>
    <t>6D</t>
  </si>
  <si>
    <t>night</t>
  </si>
  <si>
    <t>Scalping (sz) maybe | scratch immediately if flips</t>
  </si>
  <si>
    <t>few cuts at back in long run chance high</t>
  </si>
  <si>
    <t>THIS SHOULD HAVE BEEN 14 IF FRONT HAS 7-8 THIS SHOULD BE AT LEAST 14 OR 16</t>
  </si>
  <si>
    <t>Morning</t>
  </si>
  <si>
    <t>XT SEP24-DEC24</t>
  </si>
  <si>
    <t>ROLL (ROFL)</t>
  </si>
  <si>
    <t>morning</t>
  </si>
  <si>
    <t>sz(63)</t>
  </si>
  <si>
    <t xml:space="preserve">CUTS </t>
  </si>
  <si>
    <t>rz (-16)</t>
  </si>
  <si>
    <t>CUTS / DOVISH BIAS FAVOR</t>
  </si>
  <si>
    <t>US GDP 3% V 2.8%F</t>
  </si>
  <si>
    <t>ALL POSITIONS EXIT | R MONTH</t>
  </si>
  <si>
    <t>try intraday at extremes</t>
  </si>
  <si>
    <t>EXIT BEFORE EVENTS WITH DOVISH EXPECTATIONS</t>
  </si>
  <si>
    <t>AUS RETAIL SALES MOM 0% V 0.5% F</t>
  </si>
  <si>
    <t>EXIT B4 THU EVENT</t>
  </si>
  <si>
    <t>TUE PMI</t>
  </si>
  <si>
    <t>WED AUD GDP, BOC INT RATE, JOLTS</t>
  </si>
  <si>
    <t>THU US ISM NMFG PMI</t>
  </si>
  <si>
    <t>FRI US LABOUR DATA UE, NFP</t>
  </si>
  <si>
    <t>J25 C 3 LOTS EXIT + S25 FLY S -1</t>
  </si>
  <si>
    <t xml:space="preserve">September24 live (R) | REDUCE LOT SIZING 1ST HALF, AVOID POSITIONAL </t>
  </si>
  <si>
    <t>SEP.24</t>
  </si>
  <si>
    <t>morning entry + night hedge</t>
  </si>
  <si>
    <t>dovish view here</t>
  </si>
  <si>
    <t>rz (-6 to -4)</t>
  </si>
  <si>
    <t>DOVISH VIEW CUTS IN THESE QUARTER</t>
  </si>
  <si>
    <t>HOLD TILL THU EVE DATA</t>
  </si>
  <si>
    <t>DOVISH DATA RR</t>
  </si>
  <si>
    <t>4 sep, 5 sep</t>
  </si>
  <si>
    <t>SCALP AOTC</t>
  </si>
  <si>
    <t xml:space="preserve">INTRADAY TILL ROLL </t>
  </si>
  <si>
    <t>LOOK FOR VALUE PRICES</t>
  </si>
  <si>
    <t>EMPTY GRID BY WED 2ND SESSION</t>
  </si>
  <si>
    <t xml:space="preserve">17TH AUG ONWARDS MAKE LOT SIZING CHANGES </t>
  </si>
  <si>
    <t>UNTIL 17TH INTRADAY WITH D LOTS</t>
  </si>
  <si>
    <t>AUD GDP (1% V 1% PREV REV UP TO 1.3%)</t>
  </si>
  <si>
    <t>HAWKISH REVISIONS</t>
  </si>
  <si>
    <t>US JOLTS (7.6M V 8M)</t>
  </si>
  <si>
    <t>SCALPING + RANGED -12,-13</t>
  </si>
  <si>
    <t>INTRA + EVENT IN EVE</t>
  </si>
  <si>
    <t>SCALP + RANGED -12,-11</t>
  </si>
  <si>
    <t>S25 6MS OUTRIGHT</t>
  </si>
  <si>
    <t>SCALP FROM IR TRY . FAIL</t>
  </si>
  <si>
    <t>SCALP SZ 6MS S25 -&gt; S25 FLY -1 RZ</t>
  </si>
  <si>
    <t xml:space="preserve">CAN MAKE FLY S25 S @ -1 -&gt; HC </t>
  </si>
  <si>
    <t xml:space="preserve">6m spd scalp itself </t>
  </si>
  <si>
    <t xml:space="preserve">ISM NMFG PMI </t>
  </si>
  <si>
    <t>high volatility expected | get out</t>
  </si>
  <si>
    <t>US NFP AUG (P114K - &gt; 74k F164K A118k)</t>
  </si>
  <si>
    <t>UE RATE (P4.3% F4.2% A)</t>
  </si>
  <si>
    <t>EMPTY GRID ACHIEVED</t>
  </si>
  <si>
    <t>Avoid d24 spd</t>
  </si>
  <si>
    <t>TRADING STOP FOR 1 WEEK</t>
  </si>
  <si>
    <t>6ms lgap</t>
  </si>
  <si>
    <t>ir 2,3 most moving | behaves like red ir in hike cycle</t>
  </si>
  <si>
    <t>scenario analysis dashboard</t>
  </si>
  <si>
    <t>revamped trading workspace</t>
  </si>
  <si>
    <t>investigated curve movements based on economic data</t>
  </si>
  <si>
    <t>AU</t>
  </si>
  <si>
    <t>INT RATE: 4.35%</t>
  </si>
  <si>
    <t>UE 4.2%</t>
  </si>
  <si>
    <t>CPI YOY 3.8%</t>
  </si>
  <si>
    <t>GDP YOY 1%</t>
  </si>
  <si>
    <t>US</t>
  </si>
  <si>
    <t>INT RATE: 5%</t>
  </si>
  <si>
    <t xml:space="preserve">UE 4.2% </t>
  </si>
  <si>
    <t>CPI YOY 2.5%</t>
  </si>
  <si>
    <t>GDP YOY 3%</t>
  </si>
  <si>
    <t>Price making</t>
  </si>
  <si>
    <t>&lt;1h</t>
  </si>
  <si>
    <t>M25 FLY -&gt; m25 3ms</t>
  </si>
  <si>
    <t>RR, PRICING, CUTS BIAS IN LONG RUN</t>
  </si>
  <si>
    <t>RR, CUTS BIAS</t>
  </si>
  <si>
    <t>-26 WITH 1 PAYUP</t>
  </si>
  <si>
    <t>RZ (-65)</t>
  </si>
  <si>
    <t>book 75% in 1 tick in the money</t>
  </si>
  <si>
    <t xml:space="preserve">instead of 25% </t>
  </si>
  <si>
    <t>Aussie markets so &gt;=3 ticks is a dream</t>
  </si>
  <si>
    <t>M26 6MS -&gt; M26 FLY -&gt; m26 3ms</t>
  </si>
  <si>
    <t>SZ RANGED</t>
  </si>
  <si>
    <t>BUY SIDE ENTRY AS BACKS GO UP IF CUTS PLACED IN FRONT MORE  BIAS</t>
  </si>
  <si>
    <t>M26 FLY B -4 (SZ)</t>
  </si>
  <si>
    <t>not holding for too long</t>
  </si>
  <si>
    <t>YT ANTI DURING JPN NEWS</t>
  </si>
  <si>
    <t>M26 SPD - m26 spd</t>
  </si>
  <si>
    <t xml:space="preserve">if cuts in front backs should go up </t>
  </si>
  <si>
    <t>FOR M26 FLY @ -4</t>
  </si>
  <si>
    <t>D24 6m SPD</t>
  </si>
  <si>
    <t>too much exposure in front  |  REDUCE</t>
  </si>
  <si>
    <t xml:space="preserve">build exposure later around events </t>
  </si>
  <si>
    <t>PRICING WISE MAX</t>
  </si>
  <si>
    <t>close front contracts | except IR</t>
  </si>
  <si>
    <t>day stop trade FRI</t>
  </si>
  <si>
    <t>ANKIT</t>
  </si>
  <si>
    <t>MOST IMPORTANT</t>
  </si>
  <si>
    <t>50% reduce lots if intuitively failing instantly @ 1 tick anti</t>
  </si>
  <si>
    <t>SL @ -2 TICKS ALWAYS | THIS IS ALWAYS DEFINED</t>
  </si>
  <si>
    <t>RR IS 5:3 STILL SL @ 2 AND THEN LOT SIZE IS DECIDED</t>
  </si>
  <si>
    <t>PRICE TELLS POSSIBLE ENTRIES AND WHICH TRADES TO AVOID</t>
  </si>
  <si>
    <t>1 YEAR END WALA RATE = NEUTRAL RATE | IF 1st contract is d24 then d25 will be the interest rate OR where spread is 0 like j26 spd then j26 wala rate</t>
  </si>
  <si>
    <t>FRONT 2 AVOID B4 DATA AT ANY COST + HOW WILL (2ND FLY, 3RD SPD) onwards WILL MOVE</t>
  </si>
  <si>
    <t>October24 live (R+1) | REDUCE INTRADAY &gt;1D TRADES</t>
  </si>
  <si>
    <t>OCT.24</t>
  </si>
  <si>
    <t>IR DEC24</t>
  </si>
  <si>
    <t>RR (LOWEST PRICE 74)</t>
  </si>
  <si>
    <t>2ND SESSION</t>
  </si>
  <si>
    <t>intraday pricing + technical trade</t>
  </si>
  <si>
    <t xml:space="preserve">avoid front contract combos </t>
  </si>
  <si>
    <t>only front outrights</t>
  </si>
  <si>
    <t>look for belly and back trades</t>
  </si>
  <si>
    <t>close first contracts | except IR</t>
  </si>
  <si>
    <t>JOLTS (P7.6 F7.6 A8M)</t>
  </si>
  <si>
    <t>BONDS WENT UP!</t>
  </si>
  <si>
    <t>ISM MFG PMI (P47.2 F47.6 A47.2)</t>
  </si>
  <si>
    <t>XT DEC24</t>
  </si>
  <si>
    <t>MOMENTUM / ONE HAWKISH ONE DOVISH</t>
  </si>
  <si>
    <t>STRATS (D) | FULL MONTH</t>
  </si>
  <si>
    <t>IR1 4,4</t>
  </si>
  <si>
    <t>RED FLY 8,8</t>
  </si>
  <si>
    <t>VAR,HL 3,3</t>
  </si>
  <si>
    <t>VAL Z 4,4</t>
  </si>
  <si>
    <t>xt momntm 1</t>
  </si>
  <si>
    <t>SNP (1-2/ 2 WEEKS):7 OR 9</t>
  </si>
  <si>
    <t>IDENTIFY LOW RISK CONTRACTS</t>
  </si>
  <si>
    <t>CUTS BIAS HERE IN LONG RUN; LOW UPSIDE</t>
  </si>
  <si>
    <t>S25 1Y SPD</t>
  </si>
  <si>
    <t>S25DC -2 LONG SZ</t>
  </si>
  <si>
    <t>fri 1115am</t>
  </si>
  <si>
    <t>M25 SPD OUTRIGHT</t>
  </si>
  <si>
    <t>PRICE TRADE (FAIL)</t>
  </si>
  <si>
    <t>B4 EVENT</t>
  </si>
  <si>
    <t>RZ (-6,-5)</t>
  </si>
  <si>
    <t>US NFP (P140K -&gt; 154K F147K A254K)</t>
  </si>
  <si>
    <t>US UE (4.1% V 4.2%)</t>
  </si>
  <si>
    <t>BONDS DID NOT GO DOWN AS MUCH</t>
  </si>
  <si>
    <t xml:space="preserve">S25 6MS -&gt; S25 C </t>
  </si>
  <si>
    <t>SZ (-10)</t>
  </si>
  <si>
    <t>S1Y SPD</t>
  </si>
  <si>
    <t>SZ SCALPING</t>
  </si>
  <si>
    <t>YT DEC24</t>
  </si>
  <si>
    <t>5MINS</t>
  </si>
  <si>
    <t>var5 + rz</t>
  </si>
  <si>
    <t>M26 3MS</t>
  </si>
  <si>
    <t>FOR SOME STRUCTURE</t>
  </si>
  <si>
    <t>PRICE LOWS</t>
  </si>
  <si>
    <t>24MINS</t>
  </si>
  <si>
    <t>RZ (5,6)</t>
  </si>
  <si>
    <t>PRICE HIGHS + CUTS BIAS IN LONG RUN (LESS DOWNSIDE)</t>
  </si>
  <si>
    <t>HEDGED C</t>
  </si>
  <si>
    <t>SCRATCH 10 @ 5 ASAP | M25 20, J25 15</t>
  </si>
  <si>
    <t>THESE TRADES ARE NOT RESPECTED IN MKT</t>
  </si>
  <si>
    <t xml:space="preserve">FIND INTRADAY ONLY </t>
  </si>
  <si>
    <t>23 lots left at j25 -14 s</t>
  </si>
  <si>
    <t>LGAP TO RZ</t>
  </si>
  <si>
    <t>VAR + RZ (SL STOP)</t>
  </si>
  <si>
    <t>SZ + SCALP</t>
  </si>
  <si>
    <t>C @ -10 SZ</t>
  </si>
  <si>
    <t>-16 x 12lots</t>
  </si>
  <si>
    <t>330AM</t>
  </si>
  <si>
    <t>PRICE TRADE TRY FOR SPD EXIT</t>
  </si>
  <si>
    <t>EXIT ALL BEFORE CPI</t>
  </si>
  <si>
    <t>SUDDENLY HAWKISH | NO ONE EXPECTING THESE MOVES</t>
  </si>
  <si>
    <t>THATS WHERE YOU CAN GET KILLED SO TIGHT SL TO REMOVE 50% OF EVERYTHING IN 2TICKS MAX</t>
  </si>
  <si>
    <t>DO. NOT. HOLD. FOR. LONGER.</t>
  </si>
  <si>
    <t>ir 2 entries | lots 3:4</t>
  </si>
  <si>
    <t>339AM</t>
  </si>
  <si>
    <t>CURVE EXITS LEFTOVER | SHIFTING EXPOSURE TO BACK</t>
  </si>
  <si>
    <t>WED RBNZ CUT EXPECTED | EXIT 50% IF SL NOT HIT</t>
  </si>
  <si>
    <t>THU US CPI | THEME CHANGING, NO TRADES EXCEPT INTRADAY MOMENTUM</t>
  </si>
  <si>
    <t xml:space="preserve">SL 1 TICK for all trades </t>
  </si>
  <si>
    <t>so no positional trading from now</t>
  </si>
  <si>
    <t>target also 1 tick</t>
  </si>
  <si>
    <t>RBNZ CUTS 50BP 4.75%</t>
  </si>
  <si>
    <t>NXT TRADE ON CPI</t>
  </si>
  <si>
    <t>scalping trades only with max 2 ticks SL 7 lots</t>
  </si>
  <si>
    <t>if back fly backup (1 tick anti) then 14 lots</t>
  </si>
  <si>
    <t>contracts: ir1, 3ms 3-6, 6ms 2-6, 1y 3-4</t>
  </si>
  <si>
    <t>US CPI MOM (P0.2% F0.1% A0.2%)</t>
  </si>
  <si>
    <t>ALL HAWKISH DATA</t>
  </si>
  <si>
    <t>US CPI YOY (P2.5% F2.3% A2.4%)</t>
  </si>
  <si>
    <t>US CORE CPI MOM (0.3 V 0.2)</t>
  </si>
  <si>
    <t>ISRAEL HAMAS WAR NEWS + oil 2% up</t>
  </si>
  <si>
    <t>INTRADAY MOMENTUM + 3-10 AS HEDGE</t>
  </si>
  <si>
    <t>no momentum trades as well, ig</t>
  </si>
  <si>
    <t>day stop</t>
  </si>
  <si>
    <t>no event trading thanks to TT</t>
  </si>
  <si>
    <t>M26 6m SPD -&gt; D25 C</t>
  </si>
  <si>
    <t>HEDGED COMBO | M26 FLY S @ -2 FAILED SO D25 C</t>
  </si>
  <si>
    <t xml:space="preserve">HAWKISH DATA </t>
  </si>
  <si>
    <t>pre event</t>
  </si>
  <si>
    <t>FOR FLY STRUCTURE</t>
  </si>
  <si>
    <t>aotc</t>
  </si>
  <si>
    <t>only low lot scalping ASE (1,2)  intraday</t>
  </si>
  <si>
    <t>belly(16) backs (32)</t>
  </si>
  <si>
    <t>ir1 (7,15)</t>
  </si>
  <si>
    <t>50,25 doesnt matter|intraday</t>
  </si>
  <si>
    <t>WED UK CPI</t>
  </si>
  <si>
    <t>THU AUD JOB DATA, US RETAIL SALES</t>
  </si>
  <si>
    <t>HAWKSIH BIAS + PRICING WISE TOP | AGAINST TECHNICAL AS THIS IS NEAR SZ</t>
  </si>
  <si>
    <t>10am+</t>
  </si>
  <si>
    <t xml:space="preserve">S25 1Y </t>
  </si>
  <si>
    <t>120pm</t>
  </si>
  <si>
    <t>AUD EMP CHANGE (64.1K V 25K)</t>
  </si>
  <si>
    <t xml:space="preserve">MOMENTUM DIRECTIONAL MOVES IN OUTRIGHTS AND FRONT SPDS | ALL WENT DOWN + 3-10 WENT DOWN </t>
  </si>
  <si>
    <t>AUD UE (4.1 V 4.2)</t>
  </si>
  <si>
    <t xml:space="preserve">RZ </t>
  </si>
  <si>
    <t>PRICE WISE TOP + CUTS BIAS HERE</t>
  </si>
  <si>
    <t xml:space="preserve">COULD NOT HOLD AS HAD TO BE SELECTIVE </t>
  </si>
  <si>
    <t xml:space="preserve">LOW ACCOUNT </t>
  </si>
  <si>
    <t>SZ + SCALPING EVENT</t>
  </si>
  <si>
    <t>NEXT ENTRY @ -18</t>
  </si>
  <si>
    <t>NEXT ENTRY @ -36</t>
  </si>
  <si>
    <t>EXIT ALL BY NEXT WED</t>
  </si>
  <si>
    <t>ONLY EXITS AND INTRADAY NEXT WEEK</t>
  </si>
  <si>
    <t>November24 live EPILOGUE 1</t>
  </si>
  <si>
    <t>NOV.24</t>
  </si>
  <si>
    <t>Total PnL</t>
  </si>
  <si>
    <t>AVG WINS -1 TICK</t>
  </si>
  <si>
    <t>AVG WINS * 2</t>
  </si>
  <si>
    <t>IMPLIED EXPOSURE (worst case)</t>
  </si>
  <si>
    <t>allowed max risk / trade</t>
  </si>
  <si>
    <t>PRESENT PROCESS</t>
  </si>
  <si>
    <t>CAP DATE</t>
  </si>
  <si>
    <t>MAX 2 WEEKS THEN EMPTY GRID | MUST TAKE TIMEOUT | 0 TRADES AND THEN DEFENSIVE THE WHOLE NEXT WEEK</t>
  </si>
  <si>
    <t>MKT STATE TOTAL RISK/ENTRY ALLOWED</t>
  </si>
  <si>
    <t>TIMEOUT DECIDER</t>
  </si>
  <si>
    <t>CAP TARGET   (ADD 3K TO CI2410)</t>
  </si>
  <si>
    <t>Either cap by target or cap by new mkt state | EXIT ALL OR EMPTY GRID B4 THIS DATE</t>
  </si>
  <si>
    <t>MAX TOTAL RISK / 2 weeks</t>
  </si>
  <si>
    <t>THE DEVIL</t>
  </si>
  <si>
    <t>PRESENT PNL/ lot</t>
  </si>
  <si>
    <t>Available Balance (b4 risky bets) / lot | IR</t>
  </si>
  <si>
    <t>CURRENT</t>
  </si>
  <si>
    <t xml:space="preserve">AVG </t>
  </si>
  <si>
    <t>AVG WINS/LOT</t>
  </si>
  <si>
    <t>AVG LOSS/LOT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</si>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</sst>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0.000"/>
    <numFmt numFmtId="166" formatCode="d&quot;-&quot;mmm&quot;-&quot;yyyy"/>
    <numFmt numFmtId="167" formatCode="d\ mmm\ yy"/>
  </numFmts>
  <fonts count="73">
    <font>
      <sz val="10"/>
      <color rgb="FF000000"/>
      <name val="Arial"/>
      <scheme val="minor"/>
    </font>
    <font>
      <b/>
      <sz val="18"/>
      <color rgb="FFFFFFFF"/>
      <name val="Roboto"/>
    </font>
    <font>
      <sz val="10"/>
      <name val="Arial"/>
      <family val="2"/>
    </font>
    <font>
      <b/>
      <sz val="18"/>
      <color theme="0"/>
      <name val="Roboto"/>
    </font>
    <font>
      <sz val="10"/>
      <color theme="1"/>
      <name val="Arial"/>
      <family val="2"/>
      <scheme val="minor"/>
    </font>
    <font>
      <b/>
      <sz val="10"/>
      <color rgb="FFEFEFEF"/>
      <name val="Roboto"/>
    </font>
    <font>
      <b/>
      <sz val="10"/>
      <color rgb="FFFFFFFF"/>
      <name val="Roboto"/>
    </font>
    <font>
      <b/>
      <sz val="10"/>
      <color theme="0"/>
      <name val="Roboto"/>
    </font>
    <font>
      <b/>
      <sz val="10"/>
      <color rgb="FFF5F5F5"/>
      <name val="Roboto"/>
    </font>
    <font>
      <sz val="10"/>
      <color theme="1"/>
      <name val="Roboto"/>
    </font>
    <font>
      <b/>
      <sz val="10"/>
      <color rgb="FF434343"/>
      <name val="Roboto"/>
    </font>
    <font>
      <b/>
      <sz val="10"/>
      <color theme="1"/>
      <name val="Roboto"/>
    </font>
    <font>
      <sz val="10"/>
      <color rgb="FFEFEFEF"/>
      <name val="Roboto"/>
    </font>
    <font>
      <sz val="10"/>
      <color rgb="FFF3F3F3"/>
      <name val="Roboto"/>
    </font>
    <font>
      <sz val="10"/>
      <color rgb="FFB7B7B7"/>
      <name val="Roboto"/>
    </font>
    <font>
      <b/>
      <sz val="11"/>
      <color rgb="FFEFEFEF"/>
      <name val="Roboto"/>
    </font>
    <font>
      <b/>
      <sz val="10"/>
      <color rgb="FF666666"/>
      <name val="Roboto"/>
    </font>
    <font>
      <b/>
      <sz val="10"/>
      <color rgb="FFF3F3F3"/>
      <name val="Roboto"/>
    </font>
    <font>
      <sz val="11"/>
      <color rgb="FFEFEFEF"/>
      <name val="Roboto"/>
    </font>
    <font>
      <b/>
      <sz val="10"/>
      <color rgb="FF999999"/>
      <name val="Roboto"/>
    </font>
    <font>
      <sz val="10"/>
      <color rgb="FF666666"/>
      <name val="Roboto"/>
    </font>
    <font>
      <b/>
      <sz val="10"/>
      <color theme="1"/>
      <name val="Arial"/>
      <family val="2"/>
      <scheme val="minor"/>
    </font>
    <font>
      <sz val="10"/>
      <color rgb="FFD9D9D9"/>
      <name val="Roboto"/>
    </font>
    <font>
      <b/>
      <sz val="10"/>
      <color theme="0"/>
      <name val="Calibri"/>
      <family val="2"/>
    </font>
    <font>
      <sz val="10"/>
      <color theme="0"/>
      <name val="Calibri"/>
      <family val="2"/>
    </font>
    <font>
      <sz val="10"/>
      <color rgb="FF434343"/>
      <name val="Calibri"/>
      <family val="2"/>
    </font>
    <font>
      <sz val="11"/>
      <color rgb="FF000000"/>
      <name val="Calibri"/>
      <family val="2"/>
    </font>
    <font>
      <b/>
      <sz val="10"/>
      <color rgb="FF434343"/>
      <name val="Calibri"/>
      <family val="2"/>
    </font>
    <font>
      <b/>
      <sz val="10"/>
      <color theme="1"/>
      <name val="Calibri"/>
      <family val="2"/>
    </font>
    <font>
      <sz val="10"/>
      <color rgb="FF000000"/>
      <name val="Calibri"/>
      <family val="2"/>
    </font>
    <font>
      <b/>
      <sz val="10"/>
      <color rgb="FFFFFFFF"/>
      <name val="Calibri"/>
      <family val="2"/>
    </font>
    <font>
      <b/>
      <sz val="10"/>
      <color rgb="FFF5F5F5"/>
      <name val="Calibri"/>
      <family val="2"/>
    </font>
    <font>
      <sz val="8"/>
      <name val="Arial"/>
      <family val="2"/>
      <scheme val="minor"/>
    </font>
    <font>
      <u/>
      <sz val="10"/>
      <color theme="10"/>
      <name val="Arial"/>
      <family val="2"/>
      <scheme val="minor"/>
    </font>
    <font>
      <u/>
      <sz val="10"/>
      <color rgb="FFEFEFEF"/>
      <name val="Roboto"/>
    </font>
    <font>
      <sz val="10"/>
      <color rgb="FFA6A6A6"/>
      <name val="Roboto"/>
    </font>
    <font>
      <b/>
      <sz val="10"/>
      <color rgb="FF000000"/>
      <name val="Calibri"/>
      <family val="2"/>
    </font>
    <font>
      <sz val="10"/>
      <color rgb="FF595959"/>
      <name val="Roboto"/>
    </font>
    <font>
      <b/>
      <sz val="10"/>
      <color rgb="FFE7E6E6"/>
      <name val="Calibri"/>
      <family val="2"/>
    </font>
    <font>
      <sz val="10"/>
      <color rgb="FF808080"/>
      <name val="Roboto"/>
    </font>
    <font>
      <b/>
      <sz val="10"/>
      <color rgb="FF000000"/>
      <name val="Arial"/>
      <family val="2"/>
      <scheme val="minor"/>
    </font>
    <font>
      <sz val="10"/>
      <color rgb="FF404040"/>
      <name val="Roboto"/>
    </font>
    <font>
      <b/>
      <sz val="9"/>
      <color theme="0"/>
      <name val="Calibri"/>
      <family val="2"/>
    </font>
    <font>
      <b/>
      <sz val="10"/>
      <color rgb="FFC00000"/>
      <name val="Arial"/>
      <scheme val="minor"/>
    </font>
    <font>
      <b/>
      <sz val="12"/>
      <color rgb="FFC00000"/>
      <name val="Arial"/>
      <scheme val="minor"/>
    </font>
    <font>
      <b/>
      <sz val="12"/>
      <color theme="1"/>
      <name val="Arial"/>
      <scheme val="minor"/>
    </font>
    <font>
      <sz val="10"/>
      <color theme="0" tint="-0.34998626667073579"/>
      <name val="Roboto"/>
    </font>
    <font>
      <sz val="11"/>
      <color theme="0" tint="-0.34998626667073579"/>
      <name val="Inconsolata"/>
    </font>
    <font>
      <b/>
      <sz val="10"/>
      <color theme="10"/>
      <name val="Arial"/>
      <family val="2"/>
      <scheme val="minor"/>
    </font>
    <font>
      <sz val="12"/>
      <color rgb="FFBDC1C6"/>
      <name val="Google Sans"/>
      <charset val="1"/>
    </font>
    <font>
      <sz val="10"/>
      <color theme="1" tint="0.249977111117893"/>
      <name val="Roboto"/>
    </font>
    <font>
      <b/>
      <sz val="10"/>
      <color theme="1" tint="0.249977111117893"/>
      <name val="Roboto"/>
    </font>
    <font>
      <b/>
      <u/>
      <sz val="10"/>
      <color rgb="FF000000"/>
      <name val="Arial"/>
      <scheme val="minor"/>
    </font>
    <font>
      <b/>
      <sz val="10"/>
      <color rgb="FF554840"/>
      <name val="Calibri"/>
    </font>
    <font>
      <sz val="10"/>
      <color rgb="FF000000"/>
      <name val="Arial"/>
    </font>
    <font>
      <sz val="10"/>
      <color theme="0" tint="-0.249977111117893"/>
      <name val="Roboto"/>
    </font>
    <font>
      <b/>
      <sz val="10"/>
      <color rgb="FF000000"/>
      <name val="Arial"/>
      <scheme val="minor"/>
    </font>
    <font>
      <b/>
      <sz val="10"/>
      <color theme="1"/>
      <name val="Arial"/>
      <scheme val="minor"/>
    </font>
    <font>
      <b/>
      <sz val="8"/>
      <color rgb="FFC00000"/>
      <name val="Arial"/>
      <scheme val="minor"/>
    </font>
    <font>
      <b/>
      <sz val="10"/>
      <color theme="0"/>
      <name val="Arial"/>
      <scheme val="minor"/>
    </font>
    <font>
      <sz val="10"/>
      <color theme="1"/>
      <name val="Arial"/>
      <scheme val="minor"/>
    </font>
    <font>
      <b/>
      <sz val="12"/>
      <color rgb="FFC65911"/>
      <name val="Arial"/>
      <scheme val="minor"/>
    </font>
    <font>
      <b/>
      <sz val="12"/>
      <color theme="8" tint="0.39997558519241921"/>
      <name val="Arial"/>
      <scheme val="minor"/>
    </font>
    <font>
      <b/>
      <sz val="12"/>
      <color theme="0" tint="-4.9989318521683403E-2"/>
      <name val="Arial"/>
      <scheme val="minor"/>
    </font>
    <font>
      <u/>
      <sz val="10"/>
      <color rgb="FF000000"/>
      <name val="Arial"/>
      <scheme val="minor"/>
    </font>
    <font>
      <b/>
      <sz val="11"/>
      <color theme="1" tint="0.34998626667073579"/>
      <name val="Roboto"/>
    </font>
    <font>
      <sz val="10"/>
      <color rgb="FF000000"/>
      <name val="Calibri"/>
    </font>
    <font>
      <b/>
      <sz val="10"/>
      <color rgb="FF000000"/>
      <name val="Calibri"/>
    </font>
    <font>
      <sz val="11"/>
      <color rgb="FF000000"/>
      <name val="Aptos Narrow"/>
      <charset val="1"/>
    </font>
    <font>
      <b/>
      <sz val="11"/>
      <color rgb="FF242424"/>
      <name val="Aptos Narrow"/>
      <charset val="1"/>
    </font>
    <font>
      <sz val="11"/>
      <color rgb="FF242424"/>
      <name val="Aptos Narrow"/>
      <charset val="1"/>
    </font>
    <font>
      <b/>
      <sz val="10"/>
      <color theme="0" tint="-4.9989318521683403E-2"/>
      <name val="Roboto"/>
    </font>
    <font>
      <b/>
      <sz val="10"/>
      <color rgb="FFC00000"/>
      <name val="Calibri"/>
      <family val="2"/>
    </font>
  </fonts>
  <fills count="47">
    <fill>
      <patternFill patternType="none"/>
    </fill>
    <fill>
      <patternFill patternType="gray125"/>
    </fill>
    <fill>
      <patternFill patternType="solid">
        <fgColor rgb="FF040404"/>
        <bgColor rgb="FF040404"/>
      </patternFill>
    </fill>
    <fill>
      <patternFill patternType="solid">
        <fgColor rgb="FF333333"/>
        <bgColor rgb="FF333333"/>
      </patternFill>
    </fill>
    <fill>
      <patternFill patternType="solid">
        <fgColor rgb="FF364158"/>
        <bgColor rgb="FF364158"/>
      </patternFill>
    </fill>
    <fill>
      <patternFill patternType="solid">
        <fgColor rgb="FF243B6A"/>
        <bgColor rgb="FF243B6A"/>
      </patternFill>
    </fill>
    <fill>
      <patternFill patternType="solid">
        <fgColor rgb="FFFFFFFF"/>
        <bgColor rgb="FFFFFFFF"/>
      </patternFill>
    </fill>
    <fill>
      <patternFill patternType="solid">
        <fgColor rgb="FFF3F3F3"/>
        <bgColor rgb="FFF3F3F3"/>
      </patternFill>
    </fill>
    <fill>
      <patternFill patternType="solid">
        <fgColor rgb="FFAEAAAA"/>
        <bgColor indexed="64"/>
      </patternFill>
    </fill>
    <fill>
      <patternFill patternType="solid">
        <fgColor rgb="FFFF0000"/>
        <bgColor indexed="64"/>
      </patternFill>
    </fill>
    <fill>
      <patternFill patternType="solid">
        <fgColor rgb="FF000000"/>
        <bgColor indexed="64"/>
      </patternFill>
    </fill>
    <fill>
      <patternFill patternType="solid">
        <fgColor rgb="FFC00000"/>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1"/>
        <bgColor indexed="64"/>
      </patternFill>
    </fill>
    <fill>
      <patternFill patternType="solid">
        <fgColor theme="0" tint="-0.34998626667073579"/>
        <bgColor indexed="64"/>
      </patternFill>
    </fill>
    <fill>
      <patternFill patternType="solid">
        <fgColor theme="1"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749992370372631"/>
        <bgColor indexed="64"/>
      </patternFill>
    </fill>
    <fill>
      <patternFill patternType="solid">
        <fgColor rgb="FF660033"/>
        <bgColor rgb="FF333333"/>
      </patternFill>
    </fill>
    <fill>
      <patternFill patternType="solid">
        <fgColor theme="3" tint="0.249977111117893"/>
        <bgColor rgb="FF333333"/>
      </patternFill>
    </fill>
    <fill>
      <patternFill patternType="solid">
        <fgColor rgb="FF7030A0"/>
        <bgColor indexed="64"/>
      </patternFill>
    </fill>
    <fill>
      <patternFill patternType="solid">
        <fgColor theme="1" tint="0.34998626667073579"/>
        <bgColor indexed="64"/>
      </patternFill>
    </fill>
    <fill>
      <patternFill patternType="solid">
        <fgColor theme="5" tint="9.9978637043366805E-2"/>
        <bgColor indexed="64"/>
      </patternFill>
    </fill>
    <fill>
      <patternFill patternType="solid">
        <fgColor rgb="FF660033"/>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5" tint="0.499984740745262"/>
        <bgColor indexed="64"/>
      </patternFill>
    </fill>
    <fill>
      <patternFill patternType="solid">
        <fgColor rgb="FFA37C7D"/>
        <bgColor indexed="64"/>
      </patternFill>
    </fill>
    <fill>
      <patternFill patternType="solid">
        <fgColor theme="6" tint="0.59999389629810485"/>
        <bgColor indexed="64"/>
      </patternFill>
    </fill>
    <fill>
      <patternFill patternType="solid">
        <fgColor rgb="FFF1BDFC"/>
        <bgColor indexed="64"/>
      </patternFill>
    </fill>
    <fill>
      <patternFill patternType="solid">
        <fgColor theme="6" tint="0.79998168889431442"/>
        <bgColor indexed="64"/>
      </patternFill>
    </fill>
    <fill>
      <patternFill patternType="solid">
        <fgColor theme="4"/>
        <bgColor indexed="64"/>
      </patternFill>
    </fill>
    <fill>
      <patternFill patternType="solid">
        <fgColor rgb="FFF0FC83"/>
        <bgColor indexed="64"/>
      </patternFill>
    </fill>
    <fill>
      <patternFill patternType="solid">
        <fgColor theme="6" tint="-0.249977111117893"/>
        <bgColor indexed="64"/>
      </patternFill>
    </fill>
    <fill>
      <patternFill patternType="solid">
        <fgColor rgb="FF30084F"/>
        <bgColor indexed="64"/>
      </patternFill>
    </fill>
    <fill>
      <patternFill patternType="solid">
        <fgColor rgb="FF46156B"/>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89999084444715716"/>
        <bgColor indexed="64"/>
      </patternFill>
    </fill>
    <fill>
      <patternFill patternType="solid">
        <fgColor theme="8"/>
        <bgColor indexed="64"/>
      </patternFill>
    </fill>
    <fill>
      <patternFill patternType="solid">
        <fgColor theme="4" tint="0.79998168889431442"/>
        <bgColor indexed="64"/>
      </patternFill>
    </fill>
    <fill>
      <patternFill patternType="solid">
        <fgColor theme="5"/>
        <bgColor indexed="64"/>
      </patternFill>
    </fill>
  </fills>
  <borders count="20">
    <border>
      <left/>
      <right/>
      <top/>
      <bottom/>
      <diagonal/>
    </border>
    <border>
      <left style="thin">
        <color rgb="FF666666"/>
      </left>
      <right style="thin">
        <color rgb="FF666666"/>
      </right>
      <top style="thin">
        <color rgb="FF666666"/>
      </top>
      <bottom style="thin">
        <color rgb="FF666666"/>
      </bottom>
      <diagonal/>
    </border>
    <border>
      <left/>
      <right/>
      <top style="thin">
        <color rgb="FF666666"/>
      </top>
      <bottom/>
      <diagonal/>
    </border>
    <border>
      <left style="thin">
        <color rgb="FF666666"/>
      </left>
      <right/>
      <top style="thin">
        <color rgb="FF66666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rgb="FF666666"/>
      </left>
      <right style="thin">
        <color rgb="FF666666"/>
      </right>
      <top style="thin">
        <color rgb="FF666666"/>
      </top>
      <bottom/>
      <diagonal/>
    </border>
    <border>
      <left/>
      <right style="thin">
        <color rgb="FF666666"/>
      </right>
      <top style="thin">
        <color rgb="FF666666"/>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right/>
      <top/>
      <bottom style="thin">
        <color rgb="FF000000"/>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0" tint="-0.24994659260841701"/>
      </left>
      <right style="thin">
        <color theme="0" tint="-0.24994659260841701"/>
      </right>
      <top style="thin">
        <color theme="0" tint="-0.24994659260841701"/>
      </top>
      <bottom style="medium">
        <color rgb="FF000000"/>
      </bottom>
      <diagonal/>
    </border>
    <border>
      <left style="thin">
        <color rgb="FF666666"/>
      </left>
      <right/>
      <top/>
      <bottom/>
      <diagonal/>
    </border>
    <border>
      <left/>
      <right style="thin">
        <color rgb="FF666666"/>
      </right>
      <top/>
      <bottom/>
      <diagonal/>
    </border>
  </borders>
  <cellStyleXfs count="2">
    <xf numFmtId="0" fontId="0" fillId="0" borderId="0"/>
    <xf numFmtId="0" fontId="33" fillId="0" borderId="0" applyNumberFormat="0" applyFill="0" applyBorder="0" applyAlignment="0" applyProtection="0"/>
  </cellStyleXfs>
  <cellXfs count="255">
    <xf numFmtId="0" fontId="0" fillId="0" borderId="0" xfId="0"/>
    <xf numFmtId="0" fontId="8" fillId="5" borderId="1" xfId="0" applyFont="1" applyFill="1" applyBorder="1"/>
    <xf numFmtId="0" fontId="10" fillId="0" borderId="0" xfId="0" applyFont="1"/>
    <xf numFmtId="0" fontId="4" fillId="0" borderId="0" xfId="0" applyFont="1"/>
    <xf numFmtId="0" fontId="11" fillId="0" borderId="0" xfId="0" applyFont="1"/>
    <xf numFmtId="0" fontId="12" fillId="0" borderId="0" xfId="0" applyFont="1"/>
    <xf numFmtId="0" fontId="5" fillId="0" borderId="0" xfId="0" applyFont="1"/>
    <xf numFmtId="0" fontId="12" fillId="0" borderId="0" xfId="0" applyFont="1" applyAlignment="1">
      <alignment horizontal="center"/>
    </xf>
    <xf numFmtId="165" fontId="5" fillId="0" borderId="0" xfId="0" applyNumberFormat="1" applyFont="1"/>
    <xf numFmtId="165" fontId="12" fillId="0" borderId="0" xfId="0" applyNumberFormat="1" applyFont="1"/>
    <xf numFmtId="2" fontId="12" fillId="0" borderId="0" xfId="0" applyNumberFormat="1" applyFont="1"/>
    <xf numFmtId="0" fontId="12" fillId="0" borderId="0" xfId="0" applyFont="1" applyAlignment="1">
      <alignment horizontal="left"/>
    </xf>
    <xf numFmtId="0" fontId="8" fillId="0" borderId="0" xfId="0" applyFont="1"/>
    <xf numFmtId="164" fontId="13" fillId="0" borderId="0" xfId="0" applyNumberFormat="1" applyFont="1"/>
    <xf numFmtId="2" fontId="5" fillId="0" borderId="0" xfId="0" applyNumberFormat="1" applyFont="1"/>
    <xf numFmtId="0" fontId="5" fillId="0" borderId="0" xfId="0" applyFont="1" applyAlignment="1">
      <alignment horizontal="center"/>
    </xf>
    <xf numFmtId="0" fontId="14" fillId="0" borderId="0" xfId="0" applyFont="1"/>
    <xf numFmtId="0" fontId="13" fillId="0" borderId="0" xfId="0" applyFont="1"/>
    <xf numFmtId="0" fontId="15" fillId="0" borderId="0" xfId="0" applyFont="1"/>
    <xf numFmtId="0" fontId="16" fillId="0" borderId="0" xfId="0" applyFont="1"/>
    <xf numFmtId="164" fontId="10" fillId="0" borderId="0" xfId="0" applyNumberFormat="1" applyFont="1" applyAlignment="1">
      <alignment horizontal="center"/>
    </xf>
    <xf numFmtId="164" fontId="17" fillId="0" borderId="0" xfId="0" applyNumberFormat="1" applyFont="1"/>
    <xf numFmtId="0" fontId="18" fillId="0" borderId="0" xfId="0" applyFont="1"/>
    <xf numFmtId="0" fontId="17" fillId="0" borderId="0" xfId="0" applyFont="1"/>
    <xf numFmtId="0" fontId="15" fillId="0" borderId="0" xfId="0" applyFont="1" applyAlignment="1">
      <alignment horizontal="center"/>
    </xf>
    <xf numFmtId="165" fontId="9" fillId="0" borderId="0" xfId="0" applyNumberFormat="1" applyFont="1"/>
    <xf numFmtId="167" fontId="19" fillId="0" borderId="0" xfId="0" applyNumberFormat="1" applyFont="1" applyAlignment="1">
      <alignment horizontal="left"/>
    </xf>
    <xf numFmtId="164" fontId="11" fillId="0" borderId="0" xfId="0" applyNumberFormat="1" applyFont="1"/>
    <xf numFmtId="164" fontId="21" fillId="0" borderId="0" xfId="0" applyNumberFormat="1" applyFont="1"/>
    <xf numFmtId="165" fontId="22" fillId="0" borderId="0" xfId="0" applyNumberFormat="1" applyFont="1"/>
    <xf numFmtId="0" fontId="22" fillId="0" borderId="0" xfId="0" applyFont="1"/>
    <xf numFmtId="2" fontId="20" fillId="0" borderId="0" xfId="0" applyNumberFormat="1" applyFont="1"/>
    <xf numFmtId="165" fontId="13" fillId="0" borderId="0" xfId="0" applyNumberFormat="1" applyFont="1"/>
    <xf numFmtId="2" fontId="13" fillId="0" borderId="0" xfId="0" applyNumberFormat="1" applyFont="1"/>
    <xf numFmtId="0" fontId="7" fillId="3" borderId="0" xfId="0" applyFont="1" applyFill="1"/>
    <xf numFmtId="0" fontId="7" fillId="3" borderId="0" xfId="0" applyFont="1" applyFill="1" applyAlignment="1">
      <alignment horizontal="center"/>
    </xf>
    <xf numFmtId="165" fontId="7" fillId="3" borderId="0" xfId="0" applyNumberFormat="1" applyFont="1" applyFill="1"/>
    <xf numFmtId="0" fontId="1" fillId="2" borderId="6" xfId="0" applyFont="1" applyFill="1" applyBorder="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165" fontId="6" fillId="3" borderId="0" xfId="0" applyNumberFormat="1" applyFont="1" applyFill="1"/>
    <xf numFmtId="0" fontId="8" fillId="4" borderId="0" xfId="0" applyFont="1" applyFill="1"/>
    <xf numFmtId="0" fontId="8" fillId="5" borderId="0" xfId="0" applyFont="1" applyFill="1"/>
    <xf numFmtId="2" fontId="7" fillId="3" borderId="0" xfId="0" applyNumberFormat="1" applyFont="1" applyFill="1" applyAlignment="1">
      <alignment horizontal="left"/>
    </xf>
    <xf numFmtId="166" fontId="25" fillId="7" borderId="8" xfId="0" applyNumberFormat="1" applyFont="1" applyFill="1" applyBorder="1"/>
    <xf numFmtId="0" fontId="25" fillId="7" borderId="4" xfId="0" applyFont="1" applyFill="1" applyBorder="1"/>
    <xf numFmtId="0" fontId="25" fillId="7" borderId="4" xfId="0" applyFont="1" applyFill="1" applyBorder="1" applyAlignment="1">
      <alignment horizontal="fill"/>
    </xf>
    <xf numFmtId="0" fontId="25" fillId="7" borderId="4" xfId="0" applyFont="1" applyFill="1" applyBorder="1" applyAlignment="1">
      <alignment horizontal="center"/>
    </xf>
    <xf numFmtId="0" fontId="25" fillId="0" borderId="4" xfId="0" applyFont="1" applyBorder="1"/>
    <xf numFmtId="0" fontId="25" fillId="0" borderId="4" xfId="0" applyFont="1" applyBorder="1" applyAlignment="1">
      <alignment horizontal="center"/>
    </xf>
    <xf numFmtId="0" fontId="26" fillId="6" borderId="4" xfId="0" applyFont="1" applyFill="1" applyBorder="1"/>
    <xf numFmtId="0" fontId="27" fillId="0" borderId="4" xfId="0" applyFont="1" applyBorder="1"/>
    <xf numFmtId="165" fontId="27" fillId="0" borderId="4" xfId="0" applyNumberFormat="1" applyFont="1" applyBorder="1"/>
    <xf numFmtId="164" fontId="25" fillId="0" borderId="4" xfId="0" applyNumberFormat="1" applyFont="1" applyBorder="1" applyAlignment="1">
      <alignment horizontal="center"/>
    </xf>
    <xf numFmtId="165" fontId="25" fillId="0" borderId="4" xfId="0" applyNumberFormat="1" applyFont="1" applyBorder="1"/>
    <xf numFmtId="2" fontId="28" fillId="0" borderId="4" xfId="0" applyNumberFormat="1" applyFont="1" applyBorder="1" applyAlignment="1">
      <alignment horizontal="center"/>
    </xf>
    <xf numFmtId="0" fontId="28" fillId="0" borderId="4" xfId="0" applyFont="1" applyBorder="1" applyAlignment="1">
      <alignment horizontal="center"/>
    </xf>
    <xf numFmtId="18" fontId="25" fillId="7" borderId="4" xfId="0" applyNumberFormat="1" applyFont="1" applyFill="1" applyBorder="1"/>
    <xf numFmtId="166" fontId="25" fillId="7" borderId="5" xfId="0" applyNumberFormat="1" applyFont="1" applyFill="1" applyBorder="1"/>
    <xf numFmtId="0" fontId="25" fillId="2" borderId="0" xfId="0" applyFont="1" applyFill="1"/>
    <xf numFmtId="0" fontId="25" fillId="2" borderId="0" xfId="0" applyFont="1" applyFill="1" applyAlignment="1">
      <alignment horizontal="fill" wrapText="1"/>
    </xf>
    <xf numFmtId="0" fontId="25" fillId="2" borderId="0" xfId="0" applyFont="1" applyFill="1" applyAlignment="1">
      <alignment horizontal="fill"/>
    </xf>
    <xf numFmtId="0" fontId="25" fillId="2" borderId="0" xfId="0" applyFont="1" applyFill="1" applyAlignment="1">
      <alignment horizontal="center"/>
    </xf>
    <xf numFmtId="0" fontId="27" fillId="2" borderId="0" xfId="0" applyFont="1" applyFill="1"/>
    <xf numFmtId="0" fontId="28" fillId="2" borderId="0" xfId="0" applyFont="1" applyFill="1" applyAlignment="1">
      <alignment horizontal="center"/>
    </xf>
    <xf numFmtId="0" fontId="27" fillId="7" borderId="4" xfId="0" applyFont="1" applyFill="1" applyBorder="1" applyAlignment="1">
      <alignment horizontal="fill" wrapText="1"/>
    </xf>
    <xf numFmtId="0" fontId="27" fillId="0" borderId="4" xfId="0" applyFont="1" applyBorder="1" applyAlignment="1">
      <alignment horizontal="center"/>
    </xf>
    <xf numFmtId="0" fontId="31" fillId="2" borderId="0" xfId="0" applyFont="1" applyFill="1"/>
    <xf numFmtId="0" fontId="25" fillId="6" borderId="4" xfId="0" applyFont="1" applyFill="1" applyBorder="1" applyAlignment="1">
      <alignment horizontal="center"/>
    </xf>
    <xf numFmtId="10" fontId="12" fillId="0" borderId="4" xfId="0" applyNumberFormat="1" applyFont="1" applyBorder="1"/>
    <xf numFmtId="0" fontId="25" fillId="8" borderId="4" xfId="0" applyFont="1" applyFill="1" applyBorder="1" applyAlignment="1">
      <alignment horizontal="center"/>
    </xf>
    <xf numFmtId="0" fontId="27" fillId="7" borderId="4" xfId="0" applyFont="1" applyFill="1" applyBorder="1"/>
    <xf numFmtId="0" fontId="25" fillId="9" borderId="4" xfId="0" applyFont="1" applyFill="1" applyBorder="1" applyAlignment="1">
      <alignment horizontal="center"/>
    </xf>
    <xf numFmtId="16" fontId="25" fillId="0" borderId="4" xfId="0" applyNumberFormat="1" applyFont="1" applyBorder="1"/>
    <xf numFmtId="164" fontId="0" fillId="0" borderId="0" xfId="0" applyNumberFormat="1"/>
    <xf numFmtId="0" fontId="34" fillId="0" borderId="0" xfId="0" applyFont="1"/>
    <xf numFmtId="0" fontId="35" fillId="0" borderId="0" xfId="0" applyFont="1" applyAlignment="1">
      <alignment horizontal="center"/>
    </xf>
    <xf numFmtId="164" fontId="12" fillId="0" borderId="0" xfId="0" applyNumberFormat="1" applyFont="1"/>
    <xf numFmtId="0" fontId="37" fillId="0" borderId="0" xfId="0" applyFont="1"/>
    <xf numFmtId="0" fontId="25" fillId="0" borderId="4" xfId="0" applyFont="1" applyBorder="1" applyAlignment="1">
      <alignment vertical="top"/>
    </xf>
    <xf numFmtId="2" fontId="38" fillId="0" borderId="4" xfId="0" applyNumberFormat="1" applyFont="1" applyBorder="1" applyAlignment="1">
      <alignment horizontal="left"/>
    </xf>
    <xf numFmtId="164" fontId="39" fillId="0" borderId="0" xfId="0" applyNumberFormat="1" applyFont="1"/>
    <xf numFmtId="164" fontId="37" fillId="0" borderId="0" xfId="0" applyNumberFormat="1" applyFont="1"/>
    <xf numFmtId="0" fontId="25" fillId="0" borderId="4" xfId="0" applyFont="1" applyBorder="1" applyAlignment="1">
      <alignment horizontal="center" vertical="center"/>
    </xf>
    <xf numFmtId="0" fontId="25" fillId="2" borderId="0" xfId="0" applyFont="1" applyFill="1" applyAlignment="1">
      <alignment horizontal="center" vertical="center"/>
    </xf>
    <xf numFmtId="0" fontId="40" fillId="0" borderId="0" xfId="0" applyFont="1"/>
    <xf numFmtId="0" fontId="25" fillId="0" borderId="0" xfId="0" applyFont="1"/>
    <xf numFmtId="0" fontId="25" fillId="0" borderId="0" xfId="0" applyFont="1" applyAlignment="1">
      <alignment horizontal="center" vertical="center"/>
    </xf>
    <xf numFmtId="164" fontId="15" fillId="0" borderId="0" xfId="0" applyNumberFormat="1" applyFont="1"/>
    <xf numFmtId="0" fontId="41" fillId="0" borderId="0" xfId="0" applyFont="1"/>
    <xf numFmtId="10" fontId="41" fillId="0" borderId="0" xfId="0" applyNumberFormat="1" applyFont="1"/>
    <xf numFmtId="0" fontId="7" fillId="3" borderId="12" xfId="0" applyFont="1" applyFill="1" applyBorder="1"/>
    <xf numFmtId="0" fontId="7" fillId="3" borderId="11" xfId="0" applyFont="1" applyFill="1" applyBorder="1"/>
    <xf numFmtId="2" fontId="25" fillId="0" borderId="4" xfId="0" applyNumberFormat="1" applyFont="1" applyBorder="1" applyAlignment="1">
      <alignment vertical="top"/>
    </xf>
    <xf numFmtId="164" fontId="25" fillId="0" borderId="4" xfId="0" applyNumberFormat="1" applyFont="1" applyBorder="1" applyAlignment="1">
      <alignment vertical="top"/>
    </xf>
    <xf numFmtId="0" fontId="25" fillId="0" borderId="4" xfId="0" applyFont="1" applyBorder="1" applyAlignment="1">
      <alignment horizontal="left" vertical="top" wrapText="1"/>
    </xf>
    <xf numFmtId="0" fontId="27" fillId="0" borderId="4" xfId="0" applyFont="1" applyBorder="1" applyAlignment="1">
      <alignment horizontal="left" vertical="top" wrapText="1"/>
    </xf>
    <xf numFmtId="0" fontId="25" fillId="2" borderId="0" xfId="0" applyFont="1" applyFill="1" applyAlignment="1">
      <alignment horizontal="left" vertical="top" wrapText="1"/>
    </xf>
    <xf numFmtId="0" fontId="30" fillId="10" borderId="10" xfId="0" applyFont="1" applyFill="1" applyBorder="1" applyAlignment="1">
      <alignment horizontal="left" vertical="top" wrapText="1"/>
    </xf>
    <xf numFmtId="0" fontId="25" fillId="0" borderId="9" xfId="0" applyFont="1" applyBorder="1" applyAlignment="1">
      <alignment horizontal="left" vertical="top" wrapText="1"/>
    </xf>
    <xf numFmtId="0" fontId="27" fillId="0" borderId="4" xfId="0" applyFont="1" applyBorder="1" applyAlignment="1">
      <alignment vertical="top" wrapText="1"/>
    </xf>
    <xf numFmtId="0" fontId="27" fillId="0" borderId="4" xfId="0" applyFont="1" applyBorder="1" applyAlignment="1">
      <alignment horizontal="center" vertical="top" wrapText="1"/>
    </xf>
    <xf numFmtId="0" fontId="25" fillId="0" borderId="4" xfId="0" applyFont="1" applyBorder="1" applyAlignment="1">
      <alignment vertical="top" wrapText="1"/>
    </xf>
    <xf numFmtId="0" fontId="25" fillId="17" borderId="4" xfId="0" applyFont="1" applyFill="1" applyBorder="1" applyAlignment="1">
      <alignment horizontal="center"/>
    </xf>
    <xf numFmtId="0" fontId="25" fillId="18" borderId="4" xfId="0" applyFont="1" applyFill="1" applyBorder="1" applyAlignment="1">
      <alignment horizontal="center"/>
    </xf>
    <xf numFmtId="0" fontId="25" fillId="19" borderId="4" xfId="0" applyFont="1" applyFill="1" applyBorder="1" applyAlignment="1">
      <alignment horizontal="center"/>
    </xf>
    <xf numFmtId="0" fontId="25" fillId="20" borderId="4" xfId="0" applyFont="1" applyFill="1" applyBorder="1" applyAlignment="1">
      <alignment horizontal="center"/>
    </xf>
    <xf numFmtId="164" fontId="37" fillId="12" borderId="0" xfId="0" applyNumberFormat="1" applyFont="1" applyFill="1"/>
    <xf numFmtId="0" fontId="25" fillId="21" borderId="4" xfId="0" applyFont="1" applyFill="1" applyBorder="1" applyAlignment="1">
      <alignment horizontal="center"/>
    </xf>
    <xf numFmtId="0" fontId="25" fillId="22" borderId="4" xfId="0" applyFont="1" applyFill="1" applyBorder="1" applyAlignment="1">
      <alignment horizontal="center"/>
    </xf>
    <xf numFmtId="16" fontId="31" fillId="2" borderId="0" xfId="0" applyNumberFormat="1" applyFont="1" applyFill="1"/>
    <xf numFmtId="0" fontId="25" fillId="17" borderId="4" xfId="0" applyFont="1" applyFill="1" applyBorder="1" applyAlignment="1">
      <alignment horizontal="left" vertical="top" wrapText="1"/>
    </xf>
    <xf numFmtId="164" fontId="25" fillId="12" borderId="4" xfId="0" applyNumberFormat="1" applyFont="1" applyFill="1" applyBorder="1" applyAlignment="1">
      <alignment horizontal="center"/>
    </xf>
    <xf numFmtId="0" fontId="25" fillId="12" borderId="4" xfId="0" applyFont="1" applyFill="1" applyBorder="1" applyAlignment="1">
      <alignment horizontal="center"/>
    </xf>
    <xf numFmtId="0" fontId="7" fillId="23" borderId="12" xfId="0" applyFont="1" applyFill="1" applyBorder="1"/>
    <xf numFmtId="0" fontId="7" fillId="24" borderId="12" xfId="0" applyFont="1" applyFill="1" applyBorder="1"/>
    <xf numFmtId="0" fontId="42" fillId="13" borderId="0" xfId="0" applyFont="1" applyFill="1"/>
    <xf numFmtId="0" fontId="23" fillId="25" borderId="4" xfId="0" applyFont="1" applyFill="1" applyBorder="1" applyAlignment="1">
      <alignment horizontal="left" vertical="top" wrapText="1"/>
    </xf>
    <xf numFmtId="0" fontId="23" fillId="25" borderId="10" xfId="0" applyFont="1" applyFill="1" applyBorder="1" applyAlignment="1">
      <alignment horizontal="left" vertical="top" wrapText="1"/>
    </xf>
    <xf numFmtId="0" fontId="30" fillId="26" borderId="10" xfId="0" applyFont="1" applyFill="1" applyBorder="1" applyAlignment="1">
      <alignment horizontal="left" vertical="top" wrapText="1"/>
    </xf>
    <xf numFmtId="0" fontId="43" fillId="16" borderId="15" xfId="0" applyFont="1" applyFill="1" applyBorder="1" applyAlignment="1">
      <alignment horizontal="center" vertical="center"/>
    </xf>
    <xf numFmtId="0" fontId="43" fillId="14" borderId="14" xfId="0" applyFont="1" applyFill="1" applyBorder="1" applyAlignment="1">
      <alignment horizontal="center" vertical="center"/>
    </xf>
    <xf numFmtId="0" fontId="44" fillId="14" borderId="14" xfId="0" applyFont="1" applyFill="1" applyBorder="1" applyAlignment="1">
      <alignment horizontal="left" vertical="top" wrapText="1"/>
    </xf>
    <xf numFmtId="0" fontId="44" fillId="14" borderId="14" xfId="0" applyFont="1" applyFill="1" applyBorder="1"/>
    <xf numFmtId="0" fontId="45" fillId="27" borderId="14" xfId="0" applyFont="1" applyFill="1" applyBorder="1" applyAlignment="1">
      <alignment horizontal="center" vertical="center"/>
    </xf>
    <xf numFmtId="0" fontId="45" fillId="28" borderId="14" xfId="0" applyFont="1" applyFill="1" applyBorder="1" applyAlignment="1">
      <alignment horizontal="center" vertical="center"/>
    </xf>
    <xf numFmtId="164" fontId="46" fillId="0" borderId="4" xfId="0" applyNumberFormat="1" applyFont="1" applyBorder="1"/>
    <xf numFmtId="164" fontId="47" fillId="6" borderId="4" xfId="0" applyNumberFormat="1" applyFont="1" applyFill="1" applyBorder="1"/>
    <xf numFmtId="164" fontId="46" fillId="0" borderId="0" xfId="0" applyNumberFormat="1" applyFont="1"/>
    <xf numFmtId="164" fontId="48" fillId="2" borderId="7" xfId="1" applyNumberFormat="1" applyFont="1" applyFill="1" applyBorder="1" applyAlignment="1">
      <alignment horizontal="right" vertical="center"/>
    </xf>
    <xf numFmtId="2" fontId="50" fillId="0" borderId="0" xfId="0" applyNumberFormat="1" applyFont="1" applyAlignment="1">
      <alignment horizontal="right"/>
    </xf>
    <xf numFmtId="164" fontId="51" fillId="0" borderId="0" xfId="0" applyNumberFormat="1" applyFont="1"/>
    <xf numFmtId="0" fontId="26" fillId="0" borderId="0" xfId="0" applyFont="1"/>
    <xf numFmtId="0" fontId="30" fillId="25" borderId="10" xfId="0" applyFont="1" applyFill="1" applyBorder="1" applyAlignment="1">
      <alignment horizontal="left" vertical="top" wrapText="1"/>
    </xf>
    <xf numFmtId="16" fontId="55" fillId="0" borderId="0" xfId="0" applyNumberFormat="1" applyFont="1"/>
    <xf numFmtId="0" fontId="57" fillId="28" borderId="14" xfId="0" applyFont="1" applyFill="1" applyBorder="1" applyAlignment="1">
      <alignment horizontal="center" vertical="center"/>
    </xf>
    <xf numFmtId="0" fontId="58" fillId="16" borderId="15" xfId="0" applyFont="1" applyFill="1" applyBorder="1" applyAlignment="1">
      <alignment horizontal="center" vertical="center"/>
    </xf>
    <xf numFmtId="0" fontId="59" fillId="14" borderId="14" xfId="0" applyFont="1" applyFill="1" applyBorder="1"/>
    <xf numFmtId="0" fontId="44" fillId="16" borderId="15" xfId="0" applyFont="1" applyFill="1" applyBorder="1" applyAlignment="1">
      <alignment horizontal="center" vertical="center"/>
    </xf>
    <xf numFmtId="0" fontId="43" fillId="14" borderId="14" xfId="0" applyFont="1" applyFill="1" applyBorder="1"/>
    <xf numFmtId="0" fontId="57" fillId="27" borderId="14" xfId="0" applyFont="1" applyFill="1" applyBorder="1" applyAlignment="1">
      <alignment horizontal="center" vertical="center"/>
    </xf>
    <xf numFmtId="0" fontId="60" fillId="29" borderId="14" xfId="0" applyFont="1" applyFill="1" applyBorder="1"/>
    <xf numFmtId="1" fontId="61" fillId="16" borderId="14" xfId="0" applyNumberFormat="1" applyFont="1" applyFill="1" applyBorder="1" applyAlignment="1">
      <alignment horizontal="center" vertical="center"/>
    </xf>
    <xf numFmtId="0" fontId="60" fillId="0" borderId="14" xfId="0" applyFont="1" applyBorder="1"/>
    <xf numFmtId="1" fontId="62" fillId="16" borderId="14" xfId="0" applyNumberFormat="1" applyFont="1" applyFill="1" applyBorder="1" applyAlignment="1">
      <alignment horizontal="center" vertical="center"/>
    </xf>
    <xf numFmtId="164" fontId="60" fillId="0" borderId="14" xfId="0" applyNumberFormat="1" applyFont="1" applyBorder="1"/>
    <xf numFmtId="1" fontId="63" fillId="16" borderId="14" xfId="0" applyNumberFormat="1" applyFont="1" applyFill="1" applyBorder="1" applyAlignment="1">
      <alignment horizontal="center" vertical="center"/>
    </xf>
    <xf numFmtId="164" fontId="60" fillId="0" borderId="16" xfId="0" applyNumberFormat="1" applyFont="1" applyBorder="1"/>
    <xf numFmtId="0" fontId="9" fillId="0" borderId="13" xfId="0" applyFont="1" applyBorder="1" applyAlignment="1">
      <alignment horizontal="left" vertical="top" wrapText="1"/>
    </xf>
    <xf numFmtId="0" fontId="27" fillId="0" borderId="9" xfId="0" applyFont="1" applyBorder="1" applyAlignment="1">
      <alignment horizontal="left" vertical="top" wrapText="1"/>
    </xf>
    <xf numFmtId="0" fontId="36" fillId="0" borderId="10" xfId="0" applyFont="1" applyBorder="1" applyAlignment="1">
      <alignment horizontal="left" vertical="top" wrapText="1"/>
    </xf>
    <xf numFmtId="0" fontId="36" fillId="0" borderId="4" xfId="0" applyFont="1" applyBorder="1" applyAlignment="1">
      <alignment horizontal="left" vertical="top" wrapText="1"/>
    </xf>
    <xf numFmtId="0" fontId="29" fillId="0" borderId="10" xfId="0" applyFont="1" applyBorder="1" applyAlignment="1">
      <alignment horizontal="left" vertical="top" wrapText="1"/>
    </xf>
    <xf numFmtId="0" fontId="65" fillId="0" borderId="0" xfId="0" applyFont="1" applyAlignment="1">
      <alignment vertical="center"/>
    </xf>
    <xf numFmtId="0" fontId="25" fillId="15" borderId="4" xfId="0" applyFont="1" applyFill="1" applyBorder="1" applyAlignment="1">
      <alignment horizontal="center"/>
    </xf>
    <xf numFmtId="9" fontId="29" fillId="0" borderId="10" xfId="0" applyNumberFormat="1" applyFont="1" applyBorder="1" applyAlignment="1">
      <alignment horizontal="left" vertical="top" wrapText="1"/>
    </xf>
    <xf numFmtId="9" fontId="36" fillId="0" borderId="10" xfId="0" applyNumberFormat="1" applyFont="1" applyBorder="1" applyAlignment="1">
      <alignment horizontal="left" vertical="top" wrapText="1"/>
    </xf>
    <xf numFmtId="0" fontId="8" fillId="5" borderId="0" xfId="0" applyFont="1" applyFill="1" applyAlignment="1">
      <alignment horizontal="left" vertical="top" wrapText="1"/>
    </xf>
    <xf numFmtId="0" fontId="66" fillId="0" borderId="10" xfId="0" applyFont="1" applyBorder="1" applyAlignment="1">
      <alignment horizontal="left" vertical="top" wrapText="1"/>
    </xf>
    <xf numFmtId="0" fontId="25" fillId="30" borderId="4" xfId="0" applyFont="1" applyFill="1" applyBorder="1" applyAlignment="1">
      <alignment horizontal="center"/>
    </xf>
    <xf numFmtId="0" fontId="25" fillId="0" borderId="4" xfId="0" applyFont="1" applyBorder="1" applyAlignment="1">
      <alignment horizontal="center" wrapText="1"/>
    </xf>
    <xf numFmtId="0" fontId="25" fillId="31" borderId="4" xfId="0" applyFont="1" applyFill="1" applyBorder="1" applyAlignment="1">
      <alignment horizontal="center"/>
    </xf>
    <xf numFmtId="0" fontId="25" fillId="32" borderId="4" xfId="0" applyFont="1" applyFill="1" applyBorder="1" applyAlignment="1">
      <alignment horizontal="center"/>
    </xf>
    <xf numFmtId="0" fontId="29" fillId="0" borderId="4" xfId="0" applyFont="1" applyBorder="1" applyAlignment="1">
      <alignment horizontal="left" vertical="top" wrapText="1"/>
    </xf>
    <xf numFmtId="0" fontId="36" fillId="11" borderId="4" xfId="0" applyFont="1" applyFill="1" applyBorder="1" applyAlignment="1">
      <alignment horizontal="left" vertical="top" wrapText="1"/>
    </xf>
    <xf numFmtId="0" fontId="29" fillId="0" borderId="12" xfId="0" applyFont="1" applyBorder="1" applyAlignment="1">
      <alignment horizontal="left" vertical="top" wrapText="1"/>
    </xf>
    <xf numFmtId="0" fontId="29" fillId="12" borderId="17" xfId="0" applyFont="1" applyFill="1" applyBorder="1" applyAlignment="1">
      <alignment horizontal="left" vertical="top" wrapText="1"/>
    </xf>
    <xf numFmtId="0" fontId="67" fillId="12" borderId="17" xfId="0" applyFont="1" applyFill="1" applyBorder="1" applyAlignment="1">
      <alignment horizontal="left" vertical="top" wrapText="1"/>
    </xf>
    <xf numFmtId="0" fontId="68" fillId="0" borderId="0" xfId="0" applyFont="1"/>
    <xf numFmtId="0" fontId="25" fillId="33" borderId="4" xfId="0" applyFont="1" applyFill="1" applyBorder="1" applyAlignment="1">
      <alignment horizontal="center"/>
    </xf>
    <xf numFmtId="0" fontId="25" fillId="34" borderId="4" xfId="0" applyFont="1" applyFill="1" applyBorder="1" applyAlignment="1">
      <alignment horizontal="center"/>
    </xf>
    <xf numFmtId="0" fontId="25" fillId="35" borderId="4" xfId="0" applyFont="1" applyFill="1" applyBorder="1" applyAlignment="1">
      <alignment horizontal="center"/>
    </xf>
    <xf numFmtId="0" fontId="25" fillId="36" borderId="4" xfId="0" applyFont="1" applyFill="1" applyBorder="1" applyAlignment="1">
      <alignment horizontal="center"/>
    </xf>
    <xf numFmtId="0" fontId="25" fillId="37" borderId="4" xfId="0" applyFont="1" applyFill="1" applyBorder="1" applyAlignment="1">
      <alignment horizontal="center"/>
    </xf>
    <xf numFmtId="0" fontId="69" fillId="0" borderId="0" xfId="0" applyFont="1"/>
    <xf numFmtId="0" fontId="36" fillId="21" borderId="10" xfId="0" applyFont="1" applyFill="1" applyBorder="1" applyAlignment="1">
      <alignment horizontal="left" vertical="top" wrapText="1"/>
    </xf>
    <xf numFmtId="0" fontId="36" fillId="11" borderId="10" xfId="0" applyFont="1" applyFill="1" applyBorder="1" applyAlignment="1">
      <alignment horizontal="left" vertical="top" wrapText="1"/>
    </xf>
    <xf numFmtId="0" fontId="25" fillId="38" borderId="4" xfId="0" applyFont="1" applyFill="1" applyBorder="1" applyAlignment="1">
      <alignment horizontal="center"/>
    </xf>
    <xf numFmtId="0" fontId="70" fillId="0" borderId="0" xfId="0" applyFont="1"/>
    <xf numFmtId="0" fontId="29" fillId="15" borderId="10" xfId="0" applyFont="1" applyFill="1" applyBorder="1" applyAlignment="1">
      <alignment horizontal="left" vertical="top" wrapText="1"/>
    </xf>
    <xf numFmtId="0" fontId="23" fillId="39" borderId="10" xfId="0" applyFont="1" applyFill="1" applyBorder="1" applyAlignment="1">
      <alignment horizontal="left" vertical="top" wrapText="1"/>
    </xf>
    <xf numFmtId="0" fontId="23" fillId="40" borderId="10" xfId="0" applyFont="1" applyFill="1" applyBorder="1" applyAlignment="1">
      <alignment horizontal="left" vertical="top" wrapText="1"/>
    </xf>
    <xf numFmtId="0" fontId="11" fillId="0" borderId="0" xfId="0" applyFont="1" applyAlignment="1">
      <alignment horizontal="left" vertical="top" wrapText="1"/>
    </xf>
    <xf numFmtId="0" fontId="25" fillId="41" borderId="4" xfId="0" applyFont="1" applyFill="1" applyBorder="1" applyAlignment="1">
      <alignment horizontal="center"/>
    </xf>
    <xf numFmtId="0" fontId="7" fillId="19" borderId="0" xfId="0" applyFont="1" applyFill="1" applyAlignment="1">
      <alignment horizontal="left"/>
    </xf>
    <xf numFmtId="0" fontId="27" fillId="33" borderId="4" xfId="0" applyFont="1" applyFill="1" applyBorder="1" applyAlignment="1">
      <alignment horizontal="left" vertical="top" wrapText="1"/>
    </xf>
    <xf numFmtId="0" fontId="36" fillId="33" borderId="10" xfId="0" applyFont="1" applyFill="1" applyBorder="1" applyAlignment="1">
      <alignment horizontal="left" vertical="top" wrapText="1"/>
    </xf>
    <xf numFmtId="49" fontId="29" fillId="0" borderId="10" xfId="0" applyNumberFormat="1" applyFont="1" applyBorder="1" applyAlignment="1">
      <alignment horizontal="left" vertical="top" wrapText="1"/>
    </xf>
    <xf numFmtId="16" fontId="56" fillId="0" borderId="0" xfId="0" applyNumberFormat="1" applyFont="1"/>
    <xf numFmtId="167" fontId="71" fillId="13" borderId="0" xfId="0" applyNumberFormat="1" applyFont="1" applyFill="1" applyAlignment="1">
      <alignment horizontal="left"/>
    </xf>
    <xf numFmtId="0" fontId="12" fillId="13" borderId="0" xfId="0" applyFont="1" applyFill="1" applyAlignment="1">
      <alignment horizontal="center"/>
    </xf>
    <xf numFmtId="0" fontId="12" fillId="13" borderId="0" xfId="0" applyFont="1" applyFill="1"/>
    <xf numFmtId="0" fontId="36" fillId="42" borderId="10" xfId="0" applyFont="1" applyFill="1" applyBorder="1" applyAlignment="1">
      <alignment horizontal="left" vertical="top" wrapText="1"/>
    </xf>
    <xf numFmtId="0" fontId="36" fillId="30" borderId="10" xfId="0" applyFont="1" applyFill="1" applyBorder="1" applyAlignment="1">
      <alignment horizontal="left" vertical="top" wrapText="1"/>
    </xf>
    <xf numFmtId="0" fontId="23" fillId="13" borderId="10" xfId="0" applyFont="1" applyFill="1" applyBorder="1" applyAlignment="1">
      <alignment horizontal="left" vertical="top" wrapText="1"/>
    </xf>
    <xf numFmtId="0" fontId="23" fillId="13" borderId="4" xfId="0" applyFont="1" applyFill="1" applyBorder="1" applyAlignment="1">
      <alignment horizontal="left" vertical="top" wrapText="1"/>
    </xf>
    <xf numFmtId="0" fontId="72" fillId="14" borderId="10" xfId="0" applyFont="1" applyFill="1" applyBorder="1" applyAlignment="1">
      <alignment horizontal="left" vertical="top" wrapText="1"/>
    </xf>
    <xf numFmtId="0" fontId="29" fillId="43" borderId="10" xfId="0" applyFont="1" applyFill="1" applyBorder="1" applyAlignment="1">
      <alignment horizontal="left" vertical="top" wrapText="1"/>
    </xf>
    <xf numFmtId="166" fontId="25" fillId="43" borderId="8" xfId="0" applyNumberFormat="1" applyFont="1" applyFill="1" applyBorder="1"/>
    <xf numFmtId="166" fontId="25" fillId="43" borderId="5" xfId="0" applyNumberFormat="1" applyFont="1" applyFill="1" applyBorder="1"/>
    <xf numFmtId="0" fontId="25" fillId="43" borderId="4" xfId="0" applyFont="1" applyFill="1" applyBorder="1"/>
    <xf numFmtId="0" fontId="27" fillId="43" borderId="4" xfId="0" applyFont="1" applyFill="1" applyBorder="1" applyAlignment="1">
      <alignment horizontal="fill" wrapText="1"/>
    </xf>
    <xf numFmtId="0" fontId="25" fillId="43" borderId="4" xfId="0" applyFont="1" applyFill="1" applyBorder="1" applyAlignment="1">
      <alignment horizontal="fill"/>
    </xf>
    <xf numFmtId="0" fontId="25" fillId="43" borderId="4" xfId="0" applyFont="1" applyFill="1" applyBorder="1" applyAlignment="1">
      <alignment horizontal="center"/>
    </xf>
    <xf numFmtId="0" fontId="27" fillId="43" borderId="4" xfId="0" applyFont="1" applyFill="1" applyBorder="1"/>
    <xf numFmtId="0" fontId="25" fillId="43" borderId="4" xfId="0" applyFont="1" applyFill="1" applyBorder="1" applyAlignment="1">
      <alignment horizontal="center" vertical="center"/>
    </xf>
    <xf numFmtId="164" fontId="25" fillId="43" borderId="4" xfId="0" applyNumberFormat="1" applyFont="1" applyFill="1" applyBorder="1" applyAlignment="1">
      <alignment horizontal="center"/>
    </xf>
    <xf numFmtId="165" fontId="25" fillId="43" borderId="4" xfId="0" applyNumberFormat="1" applyFont="1" applyFill="1" applyBorder="1"/>
    <xf numFmtId="2" fontId="28" fillId="43" borderId="4" xfId="0" applyNumberFormat="1" applyFont="1" applyFill="1" applyBorder="1" applyAlignment="1">
      <alignment horizontal="center"/>
    </xf>
    <xf numFmtId="0" fontId="28" fillId="43" borderId="4" xfId="0" applyFont="1" applyFill="1" applyBorder="1" applyAlignment="1">
      <alignment horizontal="center"/>
    </xf>
    <xf numFmtId="0" fontId="36" fillId="43" borderId="10" xfId="0" applyFont="1" applyFill="1" applyBorder="1" applyAlignment="1">
      <alignment horizontal="left" vertical="top" wrapText="1"/>
    </xf>
    <xf numFmtId="0" fontId="36" fillId="43" borderId="4" xfId="0" applyFont="1" applyFill="1" applyBorder="1" applyAlignment="1">
      <alignment horizontal="left" vertical="top" wrapText="1"/>
    </xf>
    <xf numFmtId="2" fontId="25" fillId="43" borderId="4" xfId="0" applyNumberFormat="1" applyFont="1" applyFill="1" applyBorder="1" applyAlignment="1">
      <alignment vertical="top"/>
    </xf>
    <xf numFmtId="164" fontId="25" fillId="43" borderId="4" xfId="0" applyNumberFormat="1" applyFont="1" applyFill="1" applyBorder="1" applyAlignment="1">
      <alignment vertical="top"/>
    </xf>
    <xf numFmtId="0" fontId="25" fillId="43" borderId="4" xfId="0" applyFont="1" applyFill="1" applyBorder="1" applyAlignment="1">
      <alignment vertical="top"/>
    </xf>
    <xf numFmtId="0" fontId="25" fillId="43" borderId="0" xfId="0" applyFont="1" applyFill="1"/>
    <xf numFmtId="0" fontId="8" fillId="44" borderId="0" xfId="0" applyFont="1" applyFill="1"/>
    <xf numFmtId="0" fontId="27" fillId="0" borderId="4" xfId="0" applyFont="1" applyBorder="1" applyAlignment="1">
      <alignment horizontal="left"/>
    </xf>
    <xf numFmtId="0" fontId="27" fillId="2" borderId="0" xfId="0" applyFont="1" applyFill="1" applyAlignment="1">
      <alignment horizontal="left"/>
    </xf>
    <xf numFmtId="0" fontId="27" fillId="7" borderId="4" xfId="0" applyFont="1" applyFill="1" applyBorder="1" applyAlignment="1">
      <alignment horizontal="left"/>
    </xf>
    <xf numFmtId="0" fontId="27" fillId="43" borderId="4" xfId="0" applyFont="1" applyFill="1" applyBorder="1" applyAlignment="1">
      <alignment horizontal="left"/>
    </xf>
    <xf numFmtId="0" fontId="36" fillId="9" borderId="10" xfId="0" applyFont="1" applyFill="1" applyBorder="1" applyAlignment="1">
      <alignment horizontal="left" vertical="top" wrapText="1"/>
    </xf>
    <xf numFmtId="16" fontId="25" fillId="35" borderId="4" xfId="0" applyNumberFormat="1" applyFont="1" applyFill="1" applyBorder="1" applyAlignment="1">
      <alignment horizontal="center"/>
    </xf>
    <xf numFmtId="0" fontId="36" fillId="22" borderId="10" xfId="0" applyFont="1" applyFill="1" applyBorder="1" applyAlignment="1">
      <alignment horizontal="left" vertical="top" wrapText="1"/>
    </xf>
    <xf numFmtId="0" fontId="23" fillId="14" borderId="10" xfId="0" applyFont="1" applyFill="1" applyBorder="1" applyAlignment="1">
      <alignment horizontal="left" vertical="top" wrapText="1"/>
    </xf>
    <xf numFmtId="0" fontId="25" fillId="43" borderId="4" xfId="0" applyFont="1" applyFill="1" applyBorder="1" applyAlignment="1">
      <alignment horizontal="left" vertical="center"/>
    </xf>
    <xf numFmtId="0" fontId="25" fillId="43" borderId="0" xfId="0" applyFont="1" applyFill="1" applyAlignment="1">
      <alignment horizontal="left" vertical="center"/>
    </xf>
    <xf numFmtId="0" fontId="25" fillId="43" borderId="4" xfId="0" applyFont="1" applyFill="1" applyBorder="1" applyAlignment="1">
      <alignment horizontal="left" vertical="center" wrapText="1"/>
    </xf>
    <xf numFmtId="0" fontId="25" fillId="2" borderId="0" xfId="0" applyFont="1" applyFill="1" applyAlignment="1">
      <alignment horizontal="left" vertical="center"/>
    </xf>
    <xf numFmtId="0" fontId="25" fillId="45" borderId="4" xfId="0" applyFont="1" applyFill="1" applyBorder="1" applyAlignment="1">
      <alignment horizontal="center"/>
    </xf>
    <xf numFmtId="165" fontId="27" fillId="0" borderId="4" xfId="0" applyNumberFormat="1" applyFont="1" applyBorder="1" applyAlignment="1">
      <alignment horizontal="right"/>
    </xf>
    <xf numFmtId="165" fontId="27" fillId="2" borderId="0" xfId="0" applyNumberFormat="1" applyFont="1" applyFill="1" applyAlignment="1">
      <alignment horizontal="right"/>
    </xf>
    <xf numFmtId="0" fontId="25" fillId="7" borderId="4" xfId="0" applyFont="1" applyFill="1" applyBorder="1" applyAlignment="1">
      <alignment horizontal="right"/>
    </xf>
    <xf numFmtId="165" fontId="27" fillId="43" borderId="4" xfId="0" applyNumberFormat="1" applyFont="1" applyFill="1" applyBorder="1" applyAlignment="1">
      <alignment horizontal="right"/>
    </xf>
    <xf numFmtId="0" fontId="24" fillId="46" borderId="10" xfId="0" applyFont="1" applyFill="1" applyBorder="1" applyAlignment="1">
      <alignment horizontal="left" vertical="top" wrapText="1"/>
    </xf>
    <xf numFmtId="0" fontId="23" fillId="46" borderId="10" xfId="0" applyFont="1" applyFill="1" applyBorder="1" applyAlignment="1">
      <alignment horizontal="left" vertical="top" wrapText="1"/>
    </xf>
    <xf numFmtId="0" fontId="25" fillId="0" borderId="4" xfId="0" applyFont="1" applyBorder="1" applyAlignment="1">
      <alignment horizontal="left" vertical="center"/>
    </xf>
    <xf numFmtId="0" fontId="27" fillId="0" borderId="4" xfId="0" applyFont="1" applyBorder="1" applyAlignment="1">
      <alignment horizontal="left" wrapText="1"/>
    </xf>
    <xf numFmtId="0" fontId="1" fillId="2" borderId="18" xfId="0" applyFont="1" applyFill="1" applyBorder="1" applyAlignment="1">
      <alignment horizontal="center"/>
    </xf>
    <xf numFmtId="0" fontId="1" fillId="2" borderId="0" xfId="0" applyFont="1" applyFill="1" applyAlignment="1">
      <alignment horizontal="center"/>
    </xf>
    <xf numFmtId="164" fontId="1" fillId="2" borderId="3" xfId="0" applyNumberFormat="1" applyFont="1" applyFill="1" applyBorder="1" applyAlignment="1">
      <alignment horizontal="center"/>
    </xf>
    <xf numFmtId="164" fontId="1" fillId="2" borderId="2" xfId="0" applyNumberFormat="1" applyFont="1" applyFill="1" applyBorder="1" applyAlignment="1">
      <alignment horizontal="center"/>
    </xf>
    <xf numFmtId="0" fontId="1" fillId="2" borderId="3" xfId="0" applyFont="1" applyFill="1" applyBorder="1" applyAlignment="1">
      <alignment horizontal="center"/>
    </xf>
    <xf numFmtId="0" fontId="3" fillId="2" borderId="3" xfId="0" applyFont="1" applyFill="1" applyBorder="1" applyAlignment="1">
      <alignment horizontal="center"/>
    </xf>
    <xf numFmtId="0" fontId="1" fillId="2" borderId="19" xfId="0" applyFont="1" applyFill="1" applyBorder="1" applyAlignment="1">
      <alignment horizontal="center"/>
    </xf>
    <xf numFmtId="165" fontId="3" fillId="2" borderId="3" xfId="0" applyNumberFormat="1" applyFont="1" applyFill="1" applyBorder="1" applyAlignment="1">
      <alignment horizontal="center"/>
    </xf>
    <xf numFmtId="165" fontId="3" fillId="2" borderId="2" xfId="0" applyNumberFormat="1" applyFont="1" applyFill="1" applyBorder="1" applyAlignment="1">
      <alignment horizontal="center"/>
    </xf>
    <xf numFmtId="165" fontId="3" fillId="2" borderId="7" xfId="0" applyNumberFormat="1" applyFont="1" applyFill="1" applyBorder="1" applyAlignment="1">
      <alignment horizontal="center"/>
    </xf>
    <xf numFmtId="0" fontId="3" fillId="2" borderId="18" xfId="0" applyFont="1" applyFill="1" applyBorder="1" applyAlignment="1">
      <alignment horizontal="center"/>
    </xf>
    <xf numFmtId="0" fontId="3" fillId="2" borderId="0" xfId="0" applyFont="1" applyFill="1" applyAlignment="1">
      <alignment horizontal="center"/>
    </xf>
    <xf numFmtId="0" fontId="3" fillId="2" borderId="19" xfId="0" applyFont="1" applyFill="1" applyBorder="1" applyAlignment="1">
      <alignment horizontal="center"/>
    </xf>
    <xf numFmtId="166" fontId="25" fillId="7" borderId="4" xfId="0" applyNumberFormat="1" applyFont="1" applyFill="1" applyBorder="1"/>
    <xf numFmtId="0" fontId="2" fillId="0" borderId="2" xfId="0" applyFont="1" applyBorder="1" applyAlignment="1"/>
    <xf numFmtId="0" fontId="2" fillId="0" borderId="7" xfId="0" applyFont="1" applyBorder="1" applyAlignment="1"/>
  </cellXfs>
  <cellStyles count="2">
    <cellStyle name="Hyperlink" xfId="1" builtinId="8"/>
    <cellStyle name="Normal" xfId="0" builtinId="0"/>
  </cellStyles>
  <dxfs count="3851">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dxf>
    <dxf>
      <font>
        <b val="0"/>
        <i val="0"/>
        <strike val="0"/>
        <condense val="0"/>
        <extend val="0"/>
        <outline val="0"/>
        <shadow val="0"/>
        <u val="none"/>
        <vertAlign val="baseline"/>
        <sz val="10"/>
        <color rgb="FF434343"/>
        <name val="Calibri"/>
        <family val="2"/>
        <scheme val="none"/>
      </font>
      <numFmt numFmtId="0" formatCode="General"/>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0" formatCode="General"/>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4" formatCode="&quot;$&quot;#,##0.00"/>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left" vertical="top"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theme="1"/>
        <name val="Calibri"/>
        <family val="2"/>
        <scheme val="none"/>
      </font>
      <numFmt numFmtId="2" formatCode="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4" formatCode="&quot;$&quot;#,##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5" formatCode="0.00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center"/>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alignment horizontal="left"/>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indexed="64"/>
          <bgColor theme="0" tint="-0.14999847407452621"/>
        </patternFill>
      </fill>
      <alignment horizontal="center"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4" formatCode="&quot;$&quot;#,##0.00"/>
      <fill>
        <patternFill patternType="solid">
          <fgColor indexed="64"/>
          <bgColor theme="0" tint="-0.14999847407452621"/>
        </patternFill>
      </fill>
      <alignment horizontal="center"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indexed="64"/>
          <bgColor theme="5" tint="0.89999084444715716"/>
        </patternFill>
      </fill>
      <alignment horizontal="left" vertical="center"/>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none">
          <fgColor indexed="64"/>
          <bgColor theme="0" tint="-0.249977111117893"/>
        </patternFill>
      </fill>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none">
          <fgColor indexed="64"/>
          <bgColor theme="0" tint="-0.249977111117893"/>
        </patternFill>
      </fill>
      <alignment horizontal="center" vertical="center"/>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numFmt numFmtId="165" formatCode="0.000"/>
      <alignment horizontal="right"/>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fil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fill"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6" formatCode="d&quot;-&quot;mmm&quot;-&quot;yyyy"/>
      <fill>
        <patternFill patternType="solid">
          <fgColor rgb="FFF3F3F3"/>
          <bgColor rgb="FFF3F3F3"/>
        </patternFill>
      </fill>
      <border diagonalUp="0" diagonalDown="0">
        <left/>
        <right style="thin">
          <color theme="0" tint="-0.24994659260841701"/>
        </right>
        <top style="thin">
          <color theme="0" tint="-0.24994659260841701"/>
        </top>
        <bottom/>
        <vertical/>
        <horizontal/>
      </border>
    </dxf>
    <dxf>
      <font>
        <b val="0"/>
        <i val="0"/>
        <strike val="0"/>
        <condense val="0"/>
        <extend val="0"/>
        <outline val="0"/>
        <shadow val="0"/>
        <u val="none"/>
        <vertAlign val="baseline"/>
        <sz val="10"/>
        <color rgb="FF434343"/>
        <name val="Calibri"/>
        <family val="2"/>
        <scheme val="none"/>
      </font>
      <numFmt numFmtId="166" formatCode="d&quot;-&quot;mmm&quot;-&quot;yyyy"/>
      <fill>
        <patternFill patternType="solid">
          <fgColor rgb="FFF3F3F3"/>
          <bgColor rgb="FFF3F3F3"/>
        </patternFill>
      </fill>
      <border diagonalUp="0" diagonalDown="0" outline="0">
        <left/>
        <right style="thin">
          <color theme="0" tint="-0.24994659260841701"/>
        </right>
        <top style="thin">
          <color theme="0" tint="-0.24994659260841701"/>
        </top>
        <bottom style="thin">
          <color theme="0" tint="-0.24994659260841701"/>
        </bottom>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dxf>
    <dxf>
      <font>
        <b/>
        <i val="0"/>
        <strike val="0"/>
        <condense val="0"/>
        <extend val="0"/>
        <outline val="0"/>
        <shadow val="0"/>
        <u val="none"/>
        <vertAlign val="baseline"/>
        <sz val="10"/>
        <color theme="0"/>
        <name val="Roboto"/>
        <scheme val="none"/>
      </font>
      <fill>
        <patternFill patternType="solid">
          <fgColor rgb="FF333333"/>
          <bgColor rgb="FF333333"/>
        </patternFill>
      </fill>
      <border diagonalUp="0" diagonalDown="0" outline="0">
        <left style="thin">
          <color theme="0" tint="-0.24994659260841701"/>
        </left>
        <right style="thin">
          <color theme="0" tint="-0.24994659260841701"/>
        </right>
        <top/>
        <bottom/>
      </border>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theme="1"/>
      </font>
      <fill>
        <patternFill patternType="solid">
          <bgColor theme="0"/>
        </patternFill>
      </fill>
    </dxf>
    <dxf>
      <font>
        <b/>
        <i val="0"/>
        <color theme="1"/>
      </font>
      <fill>
        <patternFill patternType="solid">
          <bgColor rgb="FFC0C5B2"/>
        </patternFill>
      </fill>
    </dxf>
    <dxf>
      <font>
        <b/>
        <i val="0"/>
        <color theme="1"/>
      </font>
      <fill>
        <patternFill patternType="solid">
          <bgColor rgb="FFE2D0AA"/>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theme="1"/>
      </font>
      <fill>
        <patternFill patternType="solid">
          <bgColor theme="0"/>
        </patternFill>
      </fill>
    </dxf>
    <dxf>
      <font>
        <b/>
        <i val="0"/>
        <color theme="1"/>
      </font>
      <fill>
        <patternFill patternType="solid">
          <bgColor rgb="FFC0C5B2"/>
        </patternFill>
      </fill>
    </dxf>
    <dxf>
      <font>
        <b/>
        <i val="0"/>
        <color theme="1"/>
      </font>
      <fill>
        <patternFill patternType="solid">
          <bgColor rgb="FFE2D0AA"/>
        </patternFill>
      </fill>
    </dxf>
    <dxf>
      <font>
        <b/>
        <i val="0"/>
        <color theme="0"/>
      </font>
      <fill>
        <patternFill patternType="solid">
          <bgColor rgb="FF0070C0"/>
        </patternFill>
      </fill>
    </dxf>
    <dxf>
      <font>
        <b/>
        <i val="0"/>
        <color theme="0"/>
      </font>
      <fill>
        <patternFill patternType="solid">
          <bgColor theme="6" tint="-0.249977111117893"/>
        </patternFill>
      </fill>
    </dxf>
    <dxf>
      <font>
        <b/>
        <i val="0"/>
        <color theme="1" tint="4.9989318521683403E-2"/>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rgb="FF554840"/>
      </font>
      <fill>
        <patternFill patternType="solid">
          <bgColor rgb="FFF3F3F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rgb="FF554840"/>
      </font>
      <fill>
        <patternFill patternType="solid">
          <bgColor rgb="FFF3F3F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theme="1"/>
      </font>
      <fill>
        <patternFill patternType="solid">
          <bgColor theme="0"/>
        </patternFill>
      </fill>
    </dxf>
    <dxf>
      <font>
        <b/>
        <i val="0"/>
        <color theme="1"/>
      </font>
      <fill>
        <patternFill patternType="solid">
          <bgColor rgb="FFC0C5B2"/>
        </patternFill>
      </fill>
    </dxf>
    <dxf>
      <font>
        <b/>
        <i val="0"/>
        <color theme="1"/>
      </font>
      <fill>
        <patternFill patternType="solid">
          <bgColor rgb="FFE2D0AA"/>
        </patternFill>
      </fill>
    </dxf>
    <dxf>
      <font>
        <color rgb="FFD9D9D9"/>
      </font>
      <fill>
        <patternFill patternType="solid">
          <fgColor rgb="FFD9D9D9"/>
          <bgColor rgb="FFD9D9D9"/>
        </patternFill>
      </fill>
    </dxf>
    <dxf>
      <font>
        <b/>
        <i val="0"/>
        <color rgb="FF554840"/>
      </font>
      <fill>
        <patternFill patternType="solid">
          <bgColor rgb="FFF3F3F3"/>
        </patternFill>
      </fill>
    </dxf>
    <dxf>
      <font>
        <b/>
        <i val="0"/>
        <color theme="0"/>
      </font>
      <fill>
        <patternFill patternType="solid">
          <bgColor rgb="FF0070C0"/>
        </patternFill>
      </fill>
    </dxf>
    <dxf>
      <font>
        <b/>
        <i val="0"/>
        <color theme="0"/>
      </font>
      <fill>
        <patternFill patternType="solid">
          <bgColor theme="6" tint="-0.249977111117893"/>
        </patternFill>
      </fill>
    </dxf>
    <dxf>
      <font>
        <b/>
        <i val="0"/>
        <color theme="1" tint="4.9989318521683403E-2"/>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000000"/>
      </font>
      <fill>
        <patternFill patternType="solid">
          <fgColor rgb="FF999999"/>
          <bgColor rgb="FF999999"/>
        </patternFill>
      </fill>
    </dxf>
    <dxf>
      <font>
        <b/>
        <color rgb="FF000000"/>
      </font>
      <fill>
        <patternFill patternType="solid">
          <fgColor rgb="FFA27547"/>
          <bgColor rgb="FFA27547"/>
        </patternFill>
      </fill>
    </dxf>
    <dxf>
      <font>
        <b/>
        <color rgb="FF5B0F00"/>
      </font>
      <fill>
        <patternFill patternType="none"/>
      </fill>
    </dxf>
    <dxf>
      <font>
        <b/>
        <color rgb="FF0C343D"/>
      </font>
      <fill>
        <patternFill patternType="none"/>
      </fill>
    </dxf>
    <dxf>
      <font>
        <b/>
        <i val="0"/>
        <color rgb="FF554840"/>
      </font>
      <fill>
        <patternFill patternType="solid">
          <bgColor rgb="FFD9D9D9"/>
        </patternFill>
      </fill>
    </dxf>
    <dxf>
      <font>
        <color rgb="FFCCCCCC"/>
      </font>
      <fill>
        <patternFill patternType="solid">
          <fgColor rgb="FF5B0F00"/>
          <bgColor rgb="FF5B0F00"/>
        </patternFill>
      </fill>
    </dxf>
    <dxf>
      <font>
        <b/>
        <i val="0"/>
        <color theme="1"/>
      </font>
      <fill>
        <patternFill patternType="solid">
          <bgColor theme="5" tint="0.89999084444715716"/>
        </patternFill>
      </fill>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theme="1"/>
      </font>
      <fill>
        <patternFill patternType="solid">
          <bgColor theme="0"/>
        </patternFill>
      </fill>
    </dxf>
    <dxf>
      <font>
        <b/>
        <i val="0"/>
        <color theme="1"/>
      </font>
      <fill>
        <patternFill patternType="solid">
          <bgColor rgb="FFC0C5B2"/>
        </patternFill>
      </fill>
    </dxf>
    <dxf>
      <font>
        <b/>
        <i val="0"/>
        <color theme="1"/>
      </font>
      <fill>
        <patternFill patternType="solid">
          <bgColor rgb="FFE2D0AA"/>
        </patternFill>
      </fill>
    </dxf>
    <dxf>
      <font>
        <b/>
        <i val="0"/>
        <color theme="0"/>
      </font>
      <fill>
        <patternFill patternType="solid">
          <bgColor rgb="FF0070C0"/>
        </patternFill>
      </fill>
    </dxf>
    <dxf>
      <font>
        <b/>
        <i val="0"/>
        <color theme="0"/>
      </font>
      <fill>
        <patternFill patternType="solid">
          <bgColor theme="6" tint="-0.249977111117893"/>
        </patternFill>
      </fill>
    </dxf>
    <dxf>
      <font>
        <b/>
        <i val="0"/>
        <color theme="1" tint="4.9989318521683403E-2"/>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000000"/>
      </font>
      <fill>
        <patternFill patternType="solid">
          <fgColor rgb="FF999999"/>
          <bgColor rgb="FF999999"/>
        </patternFill>
      </fill>
    </dxf>
    <dxf>
      <font>
        <b/>
        <color rgb="FF000000"/>
      </font>
      <fill>
        <patternFill patternType="solid">
          <fgColor rgb="FFA27547"/>
          <bgColor rgb="FFA27547"/>
        </patternFill>
      </fill>
    </dxf>
    <dxf>
      <font>
        <color rgb="FFD9D9D9"/>
      </font>
      <fill>
        <patternFill patternType="solid">
          <fgColor rgb="FFD9D9D9"/>
          <bgColor rgb="FFD9D9D9"/>
        </patternFill>
      </fill>
    </dxf>
    <dxf>
      <font>
        <b/>
        <i val="0"/>
        <color rgb="FF554840"/>
      </font>
      <fill>
        <patternFill patternType="solid">
          <bgColor rgb="FFF3F3F3"/>
        </patternFill>
      </fill>
    </dxf>
    <dxf>
      <font>
        <color rgb="FFF5F5F5"/>
      </font>
      <fill>
        <patternFill patternType="solid">
          <fgColor rgb="FF5B0F00"/>
          <bgColor rgb="FF5B0F0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554840"/>
      </font>
      <fill>
        <patternFill patternType="solid">
          <bgColor rgb="FFF3F3F3"/>
        </patternFill>
      </fill>
    </dxf>
    <dxf>
      <font>
        <b/>
        <i val="0"/>
        <color rgb="FF554840"/>
      </font>
      <fill>
        <patternFill patternType="solid">
          <bgColor rgb="FFF3F3F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000000"/>
      </font>
      <fill>
        <patternFill patternType="solid">
          <bgColor rgb="FFC0C5B2"/>
        </patternFill>
      </fill>
    </dxf>
    <dxf>
      <font>
        <b/>
        <i val="0"/>
        <color rgb="FF554840"/>
      </font>
      <fill>
        <patternFill patternType="solid">
          <bgColor rgb="FFE2D0AA"/>
        </patternFill>
      </fill>
    </dxf>
    <dxf>
      <font>
        <b/>
        <i val="0"/>
        <color rgb="FF554840"/>
      </font>
      <fill>
        <patternFill patternType="solid">
          <bgColor rgb="FFFFFFFF"/>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554840"/>
      </font>
      <fill>
        <patternFill patternType="solid">
          <bgColor rgb="FFF3F3F3"/>
        </patternFill>
      </fill>
    </dxf>
    <dxf>
      <font>
        <b/>
        <i val="0"/>
        <color rgb="FF554840"/>
      </font>
      <fill>
        <patternFill patternType="solid">
          <bgColor rgb="FFF3F3F3"/>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000000"/>
      </font>
      <fill>
        <patternFill patternType="solid">
          <bgColor rgb="FFC0C5B2"/>
        </patternFill>
      </fill>
    </dxf>
    <dxf>
      <font>
        <b/>
        <i val="0"/>
        <color rgb="FF554840"/>
      </font>
      <fill>
        <patternFill patternType="solid">
          <bgColor rgb="FFE2D0AA"/>
        </patternFill>
      </fill>
    </dxf>
    <dxf>
      <font>
        <b/>
        <i val="0"/>
        <color rgb="FF554840"/>
      </font>
      <fill>
        <patternFill patternType="solid">
          <bgColor rgb="FFFFFFFF"/>
        </patternFill>
      </fill>
    </dxf>
    <dxf>
      <font>
        <b/>
        <i val="0"/>
        <color rgb="FF554840"/>
      </font>
      <fill>
        <patternFill patternType="solid">
          <bgColor rgb="FFF3F3F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F3F3F3"/>
      </font>
      <fill>
        <patternFill patternType="solid">
          <fgColor rgb="FF0C343D"/>
          <bgColor rgb="FF0C343D"/>
        </patternFill>
      </fill>
    </dxf>
    <dxf>
      <font>
        <color rgb="FF191919"/>
      </font>
      <fill>
        <patternFill patternType="solid">
          <fgColor rgb="FF5B0F00"/>
          <bgColor rgb="FF5B0F00"/>
        </patternFill>
      </fill>
    </dxf>
    <dxf>
      <font>
        <b/>
        <color rgb="FFF3F3F3"/>
      </font>
      <fill>
        <patternFill patternType="solid">
          <fgColor rgb="FF5B0F00"/>
          <bgColor rgb="FF5B0F00"/>
        </patternFill>
      </fill>
    </dxf>
    <dxf>
      <font>
        <color rgb="FFF3F3F3"/>
      </font>
      <fill>
        <patternFill patternType="solid">
          <fgColor rgb="FF274E13"/>
          <bgColor rgb="FF274E13"/>
        </patternFill>
      </fill>
    </dxf>
    <dxf>
      <font>
        <b/>
        <color rgb="FF5B0F00"/>
      </font>
      <fill>
        <patternFill patternType="none"/>
      </fill>
    </dxf>
    <dxf>
      <font>
        <b/>
        <color rgb="FF0C343D"/>
      </font>
      <fill>
        <patternFill patternType="none"/>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color theme="0"/>
      </font>
      <fill>
        <patternFill patternType="solid">
          <bgColor rgb="FF11542F"/>
        </patternFill>
      </fill>
    </dxf>
    <dxf>
      <font>
        <color theme="0"/>
      </font>
      <fill>
        <patternFill patternType="solid">
          <bgColor rgb="FF660033"/>
        </patternFill>
      </fill>
    </dxf>
    <dxf>
      <font>
        <b/>
        <i val="0"/>
        <color theme="1"/>
      </font>
      <fill>
        <patternFill patternType="solid">
          <bgColor rgb="FF660033"/>
        </patternFill>
      </fill>
    </dxf>
    <dxf>
      <font>
        <b/>
        <i val="0"/>
        <color rgb="FF554840"/>
      </font>
      <fill>
        <patternFill patternType="solid">
          <bgColor theme="0" tint="-0.14999847407452621"/>
        </patternFill>
      </fill>
      <border>
        <left style="thin">
          <color rgb="FFBFBFBF"/>
        </left>
        <right style="thin">
          <color rgb="FFBFBFBF"/>
        </right>
        <top style="thin">
          <color rgb="FFBFBFBF"/>
        </top>
        <bottom style="thin">
          <color rgb="FFBFBFBF"/>
        </bottom>
      </border>
    </dxf>
    <dxf>
      <font>
        <b/>
        <i val="0"/>
        <color rgb="FF554840"/>
      </font>
      <fill>
        <patternFill patternType="solid">
          <bgColor rgb="FFD9D9D9"/>
        </patternFill>
      </fill>
    </dxf>
    <dxf>
      <font>
        <color rgb="FFCCCCCC"/>
      </font>
      <fill>
        <patternFill patternType="solid">
          <fgColor rgb="FF5B0F00"/>
          <bgColor rgb="FF5B0F00"/>
        </patternFill>
      </fill>
    </dxf>
    <dxf>
      <font>
        <b/>
        <i val="0"/>
        <color theme="1"/>
      </font>
      <fill>
        <patternFill patternType="solid">
          <bgColor theme="5" tint="0.89999084444715716"/>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DF5653"/>
        </patternFill>
      </fill>
    </dxf>
    <dxf>
      <font>
        <b/>
        <i val="0"/>
        <color rgb="FFF5F5F5"/>
      </font>
      <fill>
        <patternFill patternType="solid">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F5F5F5"/>
      </font>
      <fill>
        <patternFill patternType="solid">
          <bgColor rgb="FF5981F5"/>
        </patternFill>
      </fill>
    </dxf>
    <dxf>
      <font>
        <b/>
        <i val="0"/>
        <color rgb="FFF5F5F5"/>
      </font>
      <fill>
        <patternFill patternType="solid">
          <bgColor rgb="FFDF5653"/>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theme="0"/>
        </patternFill>
      </fill>
    </dxf>
    <dxf>
      <font>
        <b/>
        <i val="0"/>
        <color theme="1"/>
      </font>
      <fill>
        <patternFill patternType="solid">
          <bgColor rgb="FFC0C5B2"/>
        </patternFill>
      </fill>
    </dxf>
    <dxf>
      <font>
        <b/>
        <i val="0"/>
        <color theme="1"/>
      </font>
      <fill>
        <patternFill patternType="solid">
          <bgColor rgb="FFE2D0AA"/>
        </patternFill>
      </fill>
    </dxf>
    <dxf>
      <font>
        <b/>
        <i val="0"/>
        <color rgb="FFF5F5F5"/>
      </font>
      <fill>
        <patternFill patternType="solid">
          <bgColor rgb="FFDF5653"/>
        </patternFill>
      </fill>
    </dxf>
    <dxf>
      <font>
        <b/>
        <i val="0"/>
        <color theme="0"/>
      </font>
      <fill>
        <patternFill patternType="solid">
          <bgColor rgb="FF0070C0"/>
        </patternFill>
      </fill>
    </dxf>
    <dxf>
      <font>
        <b/>
        <i val="0"/>
        <color theme="0"/>
      </font>
      <fill>
        <patternFill patternType="solid">
          <bgColor theme="6" tint="-0.24997711111789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i val="0"/>
        <color rgb="FFF5F5F5"/>
      </font>
      <fill>
        <patternFill patternType="solid">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rgb="FFF5F5F5"/>
      </font>
      <fill>
        <patternFill patternType="solid">
          <bgColor rgb="FF5981F5"/>
        </patternFill>
      </fill>
    </dxf>
    <dxf>
      <font>
        <b/>
        <i val="0"/>
        <color rgb="FFF5F5F5"/>
      </font>
      <fill>
        <patternFill patternType="solid">
          <bgColor rgb="FFDF5653"/>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tint="4.9989318521683403E-2"/>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i val="0"/>
        <color theme="1"/>
      </font>
      <fill>
        <patternFill patternType="solid">
          <bgColor rgb="FF00B050"/>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000000"/>
      </font>
      <fill>
        <patternFill patternType="solid">
          <fgColor rgb="FF999999"/>
          <bgColor rgb="FF999999"/>
        </patternFill>
      </fill>
    </dxf>
    <dxf>
      <font>
        <b/>
        <color rgb="FF000000"/>
      </font>
      <fill>
        <patternFill patternType="solid">
          <fgColor rgb="FFA27547"/>
          <bgColor rgb="FFA27547"/>
        </patternFill>
      </fill>
    </dxf>
    <dxf>
      <font>
        <color rgb="FF554840"/>
      </font>
      <fill>
        <patternFill patternType="solid">
          <fgColor rgb="FFF3F3F3"/>
          <bgColor rgb="FFF3F3F3"/>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font>
      <fill>
        <patternFill patternType="solid">
          <fgColor rgb="FFD9EAD3"/>
          <bgColor rgb="FFD9EAD3"/>
        </patternFill>
      </fill>
    </dxf>
    <dxf>
      <font>
        <b/>
        <color rgb="FF980000"/>
      </font>
      <fill>
        <patternFill patternType="solid">
          <fgColor rgb="FFF4CCCC"/>
          <bgColor rgb="FFF4CCCC"/>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D9D9D9"/>
      </font>
      <fill>
        <patternFill patternType="solid">
          <fgColor rgb="FFD9D9D9"/>
          <bgColor rgb="FFD9D9D9"/>
        </patternFill>
      </fill>
    </dxf>
    <dxf>
      <font>
        <color rgb="FF554840"/>
      </font>
      <fill>
        <patternFill patternType="solid">
          <fgColor rgb="FFF3F3F3"/>
          <bgColor rgb="FFF3F3F3"/>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rgb="FF554840"/>
      </font>
      <fill>
        <patternFill patternType="solid">
          <bgColor rgb="FFF3F3F3"/>
        </patternFill>
      </fill>
    </dxf>
  </dxfs>
  <tableStyles count="0" defaultTableStyle="TableStyleMedium2" defaultPivotStyle="PivotStyleLight16"/>
  <colors>
    <mruColors>
      <color rgb="FFFFFFFF"/>
      <color rgb="FFE2D0AA"/>
      <color rgb="FFC0C5B2"/>
      <color rgb="FFD9D9D9"/>
      <color rgb="FF690202"/>
      <color rgb="FF826F03"/>
      <color rgb="FF46156B"/>
      <color rgb="FF30084F"/>
      <color rgb="FFF0FC83"/>
      <color rgb="FFF1BD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44C005-DFE4-4DD4-90DC-84C3177902F0}" name="Journal_Live" displayName="Journal_Live" ref="A2:BZ1234" totalsRowShown="0" headerRowDxfId="81" dataDxfId="80" tableBorderDxfId="79" totalsRowBorderDxfId="78">
  <autoFilter ref="A2:BZ1234" xr:uid="{00000000-0009-0000-0000-000000000000}"/>
  <tableColumns count="78">
    <tableColumn id="1" xr3:uid="{573BDAA4-1943-4773-8BD8-CAEB6AD06B05}" name="MONTH" dataDxfId="77"/>
    <tableColumn id="56" xr3:uid="{FBF13D99-387C-439D-AE58-628A33BFB3FE}" name="DATE2" dataDxfId="76"/>
    <tableColumn id="2" xr3:uid="{F02CE009-915D-418E-B8F0-9E88CE5B8941}" name="entry time" dataDxfId="75"/>
    <tableColumn id="3" xr3:uid="{0C4D08BF-D248-4F4A-B40B-FA80F0F8F82D}" name="DAY" dataDxfId="74"/>
    <tableColumn id="4" xr3:uid="{8E6CAF46-38D6-4DE1-866D-A8FE21D53C6E}" name="MAJOR EVENT" dataDxfId="73"/>
    <tableColumn id="5" xr3:uid="{1473CA32-71B0-499C-8D4B-4FB70FEE5637}" name="ACTION" dataDxfId="72"/>
    <tableColumn id="6" xr3:uid="{AB84FA13-05BB-4BDE-B4A0-098C471D297F}" name="CONTRACT " dataDxfId="71"/>
    <tableColumn id="7" xr3:uid="{F66F1806-C2FE-445D-9EB2-0BFF31FE58CD}" name="A" dataDxfId="70"/>
    <tableColumn id="8" xr3:uid="{56C56A55-C7BE-4786-AA1C-437BC3DF96C2}" name="E" dataDxfId="69"/>
    <tableColumn id="9" xr3:uid="{3C396FDC-7ED2-49A5-BC09-942B08AC97A0}" name="B" dataDxfId="68"/>
    <tableColumn id="10" xr3:uid="{492E7CBC-B384-4E13-8953-ACAB994C83A7}" name="D/H" dataDxfId="67"/>
    <tableColumn id="11" xr3:uid="{8BAF6A2B-2A43-4CDD-B029-7A9FFDDCC023}" name="REACTIVE | response to price action" dataDxfId="66"/>
    <tableColumn id="12" xr3:uid="{1936CD64-A845-48C6-AFE6-6CF0488293BA}" name="PROACTIVE  | expectations after consideration" dataDxfId="65"/>
    <tableColumn id="13" xr3:uid="{16C22FC5-16B6-4552-8F43-E730CEDA5DCB}" name="SIGNALS  | technical indicators/models" dataDxfId="64"/>
    <tableColumn id="14" xr3:uid="{18D95C9C-1AB4-40F6-83DB-0AFC3D4BD36B}" name="CODE" dataDxfId="63"/>
    <tableColumn id="15" xr3:uid="{3B198F79-DD5D-4C6C-BAB6-1941C0184216}" name="CODE2" dataDxfId="62"/>
    <tableColumn id="16" xr3:uid="{4D6C2A60-E52B-408D-9992-413E4A1D95C4}" name="O,S,F" dataDxfId="61"/>
    <tableColumn id="17" xr3:uid="{2EB94367-68FE-4400-AB26-4F2B0D27316E}" name="E QTY" dataDxfId="60"/>
    <tableColumn id="18" xr3:uid="{BB36A032-0240-4963-B7C0-0D33F83DFDE0}" name="X QTY" dataDxfId="59"/>
    <tableColumn id="19" xr3:uid="{4FDF2F6E-0AD7-42C8-A028-760103C1E169}" name="MAX SHOT" dataDxfId="58"/>
    <tableColumn id="20" xr3:uid="{EF1207B1-498E-4A95-889D-49A59944636B}" name="B/S" dataDxfId="57"/>
    <tableColumn id="76" xr3:uid="{5822FCF1-5F6B-493D-BD41-124857CBAF85}" name="P,I" dataDxfId="56"/>
    <tableColumn id="77" xr3:uid="{94ABF427-A01E-4909-99DE-9851BD8172D3}" name="UD,D,B,A,UA" dataDxfId="55"/>
    <tableColumn id="79" xr3:uid="{905790C2-506B-4BE5-B879-8C40DF2F0559}" name="MS,F" dataDxfId="54"/>
    <tableColumn id="21" xr3:uid="{242391C8-E818-4AF7-A9F1-2709D9770DC0}" name="TICK SIZE" dataDxfId="53"/>
    <tableColumn id="22" xr3:uid="{CD159E34-CFB7-4738-8BCD-2D485467997C}" name="MIN TICK VALUE ADJUSTED" dataDxfId="52"/>
    <tableColumn id="23" xr3:uid="{084C1C3B-F364-436C-AAD4-AE8DE0A4E71A}" name="TECHNICAL" dataDxfId="51"/>
    <tableColumn id="24" xr3:uid="{D3C6560D-EB4B-423D-ADB0-638E79682F42}" name="FUNDAMENTAL" dataDxfId="50"/>
    <tableColumn id="25" xr3:uid="{B69D257F-37C6-429D-A174-913AEF66D399}" name="CURVES" dataDxfId="49"/>
    <tableColumn id="26" xr3:uid="{E792761F-1F93-43FF-A877-9B7D0BEA1D7D}" name="ENTRY" dataDxfId="48"/>
    <tableColumn id="27" xr3:uid="{14564756-4D8B-4F4F-9C6C-E73E099E3738}" name="ENTRY LOGIC" dataDxfId="47"/>
    <tableColumn id="28" xr3:uid="{4C03E083-864E-4A5F-84C5-CEDD7CDE7B42}" name="STOPLOSS" dataDxfId="46"/>
    <tableColumn id="29" xr3:uid="{048C1B26-4104-4E09-A3C7-0B8B1A4D5A8B}" name="STOPLOSS LOGIC" dataDxfId="45"/>
    <tableColumn id="30" xr3:uid="{1F393B37-3FF7-4F5B-BAFE-3136798B4F5C}" name="PLANNED EXIT" dataDxfId="44"/>
    <tableColumn id="31" xr3:uid="{F2A21D3F-CA7A-4DB7-9CCC-2E31EE8027DD}" name="PLANNED EXIT LOGIC" dataDxfId="43"/>
    <tableColumn id="32" xr3:uid="{1047EB71-7A3F-45A8-8D80-FABF32A1F8BE}" name="BACKUP PLAN" dataDxfId="42"/>
    <tableColumn id="33" xr3:uid="{AABD4648-B109-4DF0-A4C2-929EBBC9798E}" name="WORST CASE REWARD/RISK" dataDxfId="41"/>
    <tableColumn id="34" xr3:uid="{5AD1318B-E85E-4768-A274-0B42BABB2CF3}" name="WORST CASE LOSS/LOT" dataDxfId="40"/>
    <tableColumn id="35" xr3:uid="{4E910393-90EE-4B3D-966A-A6DA8109DAAE}" name="WORST CASE LOSS" dataDxfId="39"/>
    <tableColumn id="36" xr3:uid="{F9837CA8-0D2B-4AC6-B0D7-54636FFF8595}" name="PLANNED DURATION" dataDxfId="38"/>
    <tableColumn id="37" xr3:uid="{230A1C5C-9856-4021-B8FE-6FABC3F63BF0}" name="DURATION LOGIC" dataDxfId="37"/>
    <tableColumn id="38" xr3:uid="{0E541C66-F84B-4DAB-BD40-077EABCA8360}" name="DURATION " dataDxfId="36"/>
    <tableColumn id="39" xr3:uid="{0659CDF2-A5CA-42AC-A706-FDF2FA6DF30D}" name="(M/H/D/W) | W - &gt; DAYS" dataDxfId="35">
      <calculatedColumnFormula>UPPER(RIGHT(Journal_Live[[#This Row],[DURATION ]]))</calculatedColumnFormula>
    </tableColumn>
    <tableColumn id="40" xr3:uid="{8BCF1703-A104-4C02-AAFC-AC95FD5E0FA9}" name="exit date/time" dataDxfId="34"/>
    <tableColumn id="41" xr3:uid="{7DD3197A-1C41-49DC-BFD1-0D035517CE9B}" name="EXIT" dataDxfId="33"/>
    <tableColumn id="42" xr3:uid="{80793E94-FD90-4730-9729-99594EBA5309}" name="PNL (PRICE)" dataDxfId="32"/>
    <tableColumn id="43" xr3:uid="{DE70FBFC-A980-4ED2-91D4-1ED482A08855}" name="TOTAL PROFIT" dataDxfId="31"/>
    <tableColumn id="44" xr3:uid="{10A825F7-2CBF-46CD-912A-A6D87A9CA12A}" name="PNL ($) SINGLE ORDER" dataDxfId="30"/>
    <tableColumn id="45" xr3:uid="{C5F3B5EF-6186-4AD5-83B8-AEF950779AA2}" name="W/L" dataDxfId="29"/>
    <tableColumn id="46" xr3:uid="{AD039B48-9431-4A11-B748-93132E3E12F3}" name="REMARKS 1" dataDxfId="28"/>
    <tableColumn id="47" xr3:uid="{8444F280-DFD2-4618-9DF6-00C65614A92C}" name="REMARKS 2" dataDxfId="27"/>
    <tableColumn id="48" xr3:uid="{E7682F10-3E37-4263-A289-BC871CFC3CE0}" name="REMARKS 3" dataDxfId="26"/>
    <tableColumn id="49" xr3:uid="{BD1DDC79-9A0C-40B1-A60D-B3CC530E5593}" name="PERSPECTIVE 1" dataDxfId="25"/>
    <tableColumn id="50" xr3:uid="{7A5FB48C-FC48-449E-AD20-CB7E87254914}" name="PERSPECTIVE 2" dataDxfId="24"/>
    <tableColumn id="51" xr3:uid="{872572DD-5E17-4703-9DEF-95232C04B3E4}" name="PERSPECTIVE 3" dataDxfId="23"/>
    <tableColumn id="52" xr3:uid="{83875B8D-60BF-465D-8982-9E25DAE2CA50}" name="REMARKS 4" dataDxfId="22"/>
    <tableColumn id="53" xr3:uid="{EB61C050-CDD2-4555-A3BC-699E3CBAC022}" name="REMARKS 5" dataDxfId="21"/>
    <tableColumn id="54" xr3:uid="{9F1BEB01-1C4A-4317-817D-8F9BEAC25DDC}" name="REMARKS 6" dataDxfId="20"/>
    <tableColumn id="55" xr3:uid="{D188873E-69AB-49B2-B37F-6A879F69B425}" name="ROLLING PnL2" dataDxfId="19"/>
    <tableColumn id="57" xr3:uid="{67AD5420-AC9D-43F6-A341-F49500022CB3}" name="ROLLING PnL" dataDxfId="18">
      <calculatedColumnFormula>SUM($AU3:AU$4)</calculatedColumnFormula>
    </tableColumn>
    <tableColumn id="58" xr3:uid="{E5D7A726-0BAE-454F-9931-8BD018B88E18}" name="rolling sum of FLY TRADES" dataDxfId="17"/>
    <tableColumn id="59" xr3:uid="{A8943E52-AB72-4020-926E-87FAEF266FF7}" name="ROLLING SUM OF SPDS" dataDxfId="16">
      <calculatedColumnFormula>SUMIFS($AU4:AU$441,$Q4:Q$441,"F")</calculatedColumnFormula>
    </tableColumn>
    <tableColumn id="60" xr3:uid="{8860A188-DBAE-4196-9C4B-B8E9D2A3A80F}" name="ROLLING SUM W" dataDxfId="15">
      <calculatedColumnFormula>SUMIFS($AU4:AU$441,$P4:P$441,"W")</calculatedColumnFormula>
    </tableColumn>
    <tableColumn id="61" xr3:uid="{12E3A0C2-FCDB-4CCE-ADC8-AFC94F9C5E21}" name="ROLLING SUM R" dataDxfId="14">
      <calculatedColumnFormula>SUMIFS($AU4:AU$441,$P4:P$441,"W")</calculatedColumnFormula>
    </tableColumn>
    <tableColumn id="62" xr3:uid="{7CE4B308-584C-45DD-96AB-06CE1C86D5EA}" name="M RS" dataDxfId="13">
      <calculatedColumnFormula>SUMIFS($AU4:AU$134,$AQ4:AQ$134,"M")</calculatedColumnFormula>
    </tableColumn>
    <tableColumn id="63" xr3:uid="{299BCA6F-A89E-4CA0-98F2-7B7D3B3C2745}" name="H RS" dataDxfId="12">
      <calculatedColumnFormula>SUMIFS($AU4:AU$134,$AQ4:AQ$134,"M")</calculatedColumnFormula>
    </tableColumn>
    <tableColumn id="64" xr3:uid="{E271A4D4-4FC7-431C-8720-0A8BD14803F8}" name="D RS" dataDxfId="11">
      <calculatedColumnFormula>SUMIFS($AU4:AU$134,$AQ4:AQ$134,"H")</calculatedColumnFormula>
    </tableColumn>
    <tableColumn id="65" xr3:uid="{FB3DABEF-BF16-4412-AD14-274BB8CD7391}" name="W RS" dataDxfId="10">
      <calculatedColumnFormula>SUMIFS($AU6:AU$134,$AQ6:AQ$134,"D")</calculatedColumnFormula>
    </tableColumn>
    <tableColumn id="66" xr3:uid="{5B3A1D2C-5A57-410D-88F0-526F174FAFEA}" name="Outright RS" dataDxfId="9">
      <calculatedColumnFormula>SUMIFS(#REF!,#REF!,"O")</calculatedColumnFormula>
    </tableColumn>
    <tableColumn id="67" xr3:uid="{FEEF7B15-5668-418F-A943-223F093F7502}" name="T RS" dataDxfId="8">
      <calculatedColumnFormula>SUMIFS($AU4:AU$134,$AA4:AA$134,"*")</calculatedColumnFormula>
    </tableColumn>
    <tableColumn id="68" xr3:uid="{42C6E40C-9EC6-4E04-A140-5D35811A8D03}" name="F RS" dataDxfId="7">
      <calculatedColumnFormula>SUMIFS($AU4:AU$134,$AA4:AA$134,"*")</calculatedColumnFormula>
    </tableColumn>
    <tableColumn id="69" xr3:uid="{9F09405B-2EEB-46A0-86A0-4CED2444B001}" name="C RS" dataDxfId="6">
      <calculatedColumnFormula>SUMIFS($AU4:AU$134,$AB4:AB$134,"*")</calculatedColumnFormula>
    </tableColumn>
    <tableColumn id="70" xr3:uid="{1A3C77F2-8D5D-4AD7-AB1D-42930F0B6D3C}" name="TF RS" dataDxfId="5">
      <calculatedColumnFormula>SUMIFS($AU4:AU$134,$AA4:AA$134,"*",$AB4:AB$134,"*")</calculatedColumnFormula>
    </tableColumn>
    <tableColumn id="71" xr3:uid="{FB6412F1-3D65-49C3-A2CF-3F5EDFD54D27}" name="TC RS" dataDxfId="4">
      <calculatedColumnFormula>SUMIFS($AU4:AU$134,$AA4:AA$134,"*",$AB4:AB$134,"*")</calculatedColumnFormula>
    </tableColumn>
    <tableColumn id="72" xr3:uid="{CEC479ED-A9AD-4BB1-910C-FD1DA6C43383}" name="FC RS" dataDxfId="3">
      <calculatedColumnFormula>SUMIFS($AU4:AU$134,$AA4:AA$134,"*",$AC4:AC$134,"*")</calculatedColumnFormula>
    </tableColumn>
    <tableColumn id="73" xr3:uid="{B88B4AF3-20D8-49C4-91EC-258EE9A52AB7}" name="RS F PNL/LOT" dataDxfId="2">
      <calculatedColumnFormula>SUMIFS($AU4:AU$441,$Q4:Q$441,"F")</calculatedColumnFormula>
    </tableColumn>
    <tableColumn id="74" xr3:uid="{59B2031C-A933-4BED-A24A-7A3ABE94EA2C}" name="RS S PNL/LOT" dataDxfId="1">
      <calculatedColumnFormula>SUMIFS($AU4:AU$441,$Q4:Q$441,"S")</calculatedColumnFormula>
    </tableColumn>
    <tableColumn id="75" xr3:uid="{B0F3A55E-CB1E-41C9-B5C3-DCC4F017895B}" name="RS O PNL/LOT" dataDxfId="0">
      <calculatedColumnFormula>SUMIFS($AU4:AU$441,$Q4:Q$441,"O")</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A2360"/>
  <sheetViews>
    <sheetView tabSelected="1" zoomScale="70" zoomScaleNormal="70" workbookViewId="0">
      <pane xSplit="7" ySplit="2" topLeftCell="AN1157" activePane="bottomRight" state="frozen"/>
      <selection pane="bottomRight" activeCell="AX1193" sqref="AX1193:AY1193"/>
      <selection pane="bottomLeft" activeCell="A3" sqref="A3"/>
      <selection pane="topRight" activeCell="G1" sqref="G1"/>
    </sheetView>
  </sheetViews>
  <sheetFormatPr defaultColWidth="12.5703125" defaultRowHeight="15.75" customHeight="1"/>
  <cols>
    <col min="1" max="1" width="14.85546875" bestFit="1" customWidth="1"/>
    <col min="2" max="2" width="12.7109375" customWidth="1"/>
    <col min="3" max="3" width="12" customWidth="1"/>
    <col min="4" max="4" width="11.5703125" customWidth="1"/>
    <col min="5" max="5" width="15.85546875" customWidth="1"/>
    <col min="6" max="6" width="15.7109375" customWidth="1"/>
    <col min="7" max="7" width="20.5703125" customWidth="1"/>
    <col min="8" max="8" width="4.42578125" customWidth="1"/>
    <col min="9" max="9" width="4.140625" customWidth="1"/>
    <col min="10" max="10" width="4.42578125" customWidth="1"/>
    <col min="11" max="11" width="6.42578125" customWidth="1"/>
    <col min="12" max="13" width="4.140625" customWidth="1"/>
    <col min="14" max="14" width="4" customWidth="1"/>
    <col min="15" max="15" width="5.85546875" customWidth="1"/>
    <col min="16" max="16" width="6" customWidth="1"/>
    <col min="17" max="17" width="7.42578125" customWidth="1"/>
    <col min="18" max="19" width="8.5703125" customWidth="1"/>
    <col min="20" max="20" width="8.7109375" customWidth="1"/>
    <col min="21" max="21" width="6.28515625" customWidth="1"/>
    <col min="22" max="22" width="6.140625" customWidth="1"/>
    <col min="23" max="23" width="7.42578125" customWidth="1"/>
    <col min="24" max="24" width="10.28515625" customWidth="1"/>
    <col min="25" max="26" width="8.5703125" customWidth="1"/>
    <col min="27" max="27" width="27.5703125" customWidth="1"/>
    <col min="28" max="28" width="29" customWidth="1"/>
    <col min="29" max="29" width="27.28515625" customWidth="1"/>
    <col min="30" max="30" width="9.140625" customWidth="1"/>
    <col min="31" max="31" width="14.7109375" customWidth="1"/>
    <col min="32" max="32" width="11.28515625" customWidth="1"/>
    <col min="33" max="33" width="15" customWidth="1"/>
    <col min="34" max="34" width="16.28515625" customWidth="1"/>
    <col min="35" max="35" width="17.28515625" customWidth="1"/>
    <col min="36" max="36" width="21.140625" customWidth="1"/>
    <col min="37" max="37" width="20" customWidth="1"/>
    <col min="38" max="38" width="19.140625" customWidth="1"/>
    <col min="39" max="39" width="18.140625" customWidth="1"/>
    <col min="40" max="40" width="14.85546875" customWidth="1"/>
    <col min="41" max="41" width="19.140625" customWidth="1"/>
    <col min="42" max="42" width="8.7109375" customWidth="1"/>
    <col min="43" max="43" width="7" customWidth="1"/>
    <col min="44" max="44" width="15.5703125" customWidth="1"/>
    <col min="45" max="45" width="15.140625" customWidth="1"/>
    <col min="46" max="46" width="11.7109375" customWidth="1"/>
    <col min="47" max="47" width="17.5703125" customWidth="1"/>
    <col min="48" max="48" width="10.5703125" customWidth="1"/>
    <col min="49" max="49" width="7.28515625" customWidth="1"/>
    <col min="50" max="50" width="30" customWidth="1"/>
    <col min="51" max="51" width="25.28515625" customWidth="1"/>
    <col min="52" max="52" width="26.140625" customWidth="1"/>
    <col min="53" max="53" width="21.85546875" customWidth="1"/>
    <col min="54" max="54" width="31.42578125" customWidth="1"/>
    <col min="55" max="55" width="27.42578125" customWidth="1"/>
    <col min="56" max="56" width="34.42578125" customWidth="1"/>
    <col min="57" max="57" width="35.7109375" customWidth="1"/>
    <col min="58" max="58" width="36.5703125" customWidth="1"/>
  </cols>
  <sheetData>
    <row r="1" spans="1:78" ht="23.25">
      <c r="A1" s="241" t="s">
        <v>0</v>
      </c>
      <c r="B1" s="242"/>
      <c r="C1" s="242"/>
      <c r="D1" s="242"/>
      <c r="E1" s="242"/>
      <c r="F1" s="242"/>
      <c r="G1" s="130" t="s">
        <v>1</v>
      </c>
      <c r="H1" s="243" t="s">
        <v>2</v>
      </c>
      <c r="I1" s="253"/>
      <c r="J1" s="254"/>
      <c r="K1" s="37" t="s">
        <v>3</v>
      </c>
      <c r="L1" s="244" t="s">
        <v>4</v>
      </c>
      <c r="M1" s="253"/>
      <c r="N1" s="254"/>
      <c r="O1" s="239" t="s">
        <v>5</v>
      </c>
      <c r="P1" s="240"/>
      <c r="Q1" s="240"/>
      <c r="R1" s="240"/>
      <c r="S1" s="240"/>
      <c r="T1" s="240"/>
      <c r="U1" s="240"/>
      <c r="V1" s="240"/>
      <c r="W1" s="240"/>
      <c r="X1" s="240"/>
      <c r="Y1" s="240"/>
      <c r="Z1" s="245"/>
      <c r="AA1" s="239" t="s">
        <v>6</v>
      </c>
      <c r="AB1" s="240"/>
      <c r="AC1" s="245"/>
      <c r="AD1" s="246" t="s">
        <v>7</v>
      </c>
      <c r="AE1" s="247"/>
      <c r="AF1" s="247"/>
      <c r="AG1" s="247"/>
      <c r="AH1" s="247"/>
      <c r="AI1" s="247"/>
      <c r="AJ1" s="247"/>
      <c r="AK1" s="247"/>
      <c r="AL1" s="247"/>
      <c r="AM1" s="247"/>
      <c r="AN1" s="247"/>
      <c r="AO1" s="248"/>
      <c r="AP1" s="249" t="s">
        <v>8</v>
      </c>
      <c r="AQ1" s="250"/>
      <c r="AR1" s="250"/>
      <c r="AS1" s="250"/>
      <c r="AT1" s="250"/>
      <c r="AU1" s="250"/>
      <c r="AV1" s="250"/>
      <c r="AW1" s="251"/>
      <c r="AX1" s="249" t="s">
        <v>9</v>
      </c>
      <c r="AY1" s="250"/>
      <c r="AZ1" s="251"/>
      <c r="BA1" s="239" t="s">
        <v>10</v>
      </c>
      <c r="BB1" s="240"/>
      <c r="BC1" s="245"/>
      <c r="BD1" s="239" t="s">
        <v>11</v>
      </c>
      <c r="BE1" s="240"/>
      <c r="BF1" s="245"/>
      <c r="BG1" s="239" t="s">
        <v>12</v>
      </c>
      <c r="BH1" s="240"/>
      <c r="BI1" s="240"/>
      <c r="BJ1" s="240"/>
      <c r="BK1" s="240"/>
      <c r="BL1" s="240"/>
      <c r="BM1" s="240"/>
      <c r="BN1" s="240"/>
      <c r="BO1" s="240"/>
      <c r="BP1" s="240"/>
      <c r="BQ1" s="240"/>
      <c r="BR1" s="240"/>
      <c r="BS1" s="240"/>
      <c r="BT1" s="240"/>
      <c r="BU1" s="240"/>
      <c r="BV1" s="240"/>
      <c r="BW1" s="240"/>
      <c r="BX1" s="240"/>
      <c r="BY1" s="240"/>
      <c r="BZ1" s="240"/>
    </row>
    <row r="2" spans="1:78" ht="12.75">
      <c r="A2" s="38" t="s">
        <v>13</v>
      </c>
      <c r="B2" s="38" t="s">
        <v>14</v>
      </c>
      <c r="C2" s="38" t="s">
        <v>15</v>
      </c>
      <c r="D2" s="34" t="s">
        <v>16</v>
      </c>
      <c r="E2" s="34" t="s">
        <v>17</v>
      </c>
      <c r="F2" s="34" t="s">
        <v>18</v>
      </c>
      <c r="G2" s="35" t="s">
        <v>19</v>
      </c>
      <c r="H2" s="38" t="s">
        <v>20</v>
      </c>
      <c r="I2" s="38" t="s">
        <v>21</v>
      </c>
      <c r="J2" s="38" t="s">
        <v>22</v>
      </c>
      <c r="K2" s="39" t="s">
        <v>3</v>
      </c>
      <c r="L2" s="34" t="s">
        <v>23</v>
      </c>
      <c r="M2" s="34" t="s">
        <v>24</v>
      </c>
      <c r="N2" s="34" t="s">
        <v>25</v>
      </c>
      <c r="O2" s="40" t="s">
        <v>26</v>
      </c>
      <c r="P2" s="40" t="s">
        <v>27</v>
      </c>
      <c r="Q2" s="185" t="s">
        <v>28</v>
      </c>
      <c r="R2" s="40" t="s">
        <v>29</v>
      </c>
      <c r="S2" s="40" t="s">
        <v>30</v>
      </c>
      <c r="T2" s="40" t="s">
        <v>31</v>
      </c>
      <c r="U2" s="185" t="s">
        <v>32</v>
      </c>
      <c r="V2" s="185" t="s">
        <v>33</v>
      </c>
      <c r="W2" s="185" t="s">
        <v>34</v>
      </c>
      <c r="X2" s="185" t="s">
        <v>35</v>
      </c>
      <c r="Y2" s="40" t="s">
        <v>36</v>
      </c>
      <c r="Z2" s="40" t="s">
        <v>37</v>
      </c>
      <c r="AA2" s="34" t="s">
        <v>38</v>
      </c>
      <c r="AB2" s="34" t="s">
        <v>39</v>
      </c>
      <c r="AC2" s="34" t="s">
        <v>40</v>
      </c>
      <c r="AD2" s="41" t="s">
        <v>41</v>
      </c>
      <c r="AE2" s="34" t="s">
        <v>42</v>
      </c>
      <c r="AF2" s="42" t="s">
        <v>43</v>
      </c>
      <c r="AG2" s="34" t="s">
        <v>44</v>
      </c>
      <c r="AH2" s="34" t="s">
        <v>45</v>
      </c>
      <c r="AI2" s="34" t="s">
        <v>46</v>
      </c>
      <c r="AJ2" s="42" t="s">
        <v>47</v>
      </c>
      <c r="AK2" s="43" t="s">
        <v>48</v>
      </c>
      <c r="AL2" s="217" t="s">
        <v>49</v>
      </c>
      <c r="AM2" s="217" t="s">
        <v>50</v>
      </c>
      <c r="AN2" s="34" t="s">
        <v>51</v>
      </c>
      <c r="AO2" s="34" t="s">
        <v>52</v>
      </c>
      <c r="AP2" s="34" t="s">
        <v>53</v>
      </c>
      <c r="AQ2" s="34" t="s">
        <v>54</v>
      </c>
      <c r="AR2" s="38" t="s">
        <v>55</v>
      </c>
      <c r="AS2" s="36" t="s">
        <v>56</v>
      </c>
      <c r="AT2" s="34" t="s">
        <v>57</v>
      </c>
      <c r="AU2" s="34" t="s">
        <v>58</v>
      </c>
      <c r="AV2" s="44" t="s">
        <v>59</v>
      </c>
      <c r="AW2" s="35" t="s">
        <v>60</v>
      </c>
      <c r="AX2" s="34" t="s">
        <v>61</v>
      </c>
      <c r="AY2" s="34" t="s">
        <v>62</v>
      </c>
      <c r="AZ2" s="34" t="s">
        <v>63</v>
      </c>
      <c r="BA2" s="34" t="s">
        <v>64</v>
      </c>
      <c r="BB2" s="34" t="s">
        <v>65</v>
      </c>
      <c r="BC2" s="34" t="s">
        <v>66</v>
      </c>
      <c r="BD2" s="34" t="s">
        <v>67</v>
      </c>
      <c r="BE2" s="34" t="s">
        <v>68</v>
      </c>
      <c r="BF2" s="34" t="s">
        <v>69</v>
      </c>
      <c r="BG2" s="92" t="s">
        <v>70</v>
      </c>
      <c r="BH2" s="93" t="s">
        <v>71</v>
      </c>
      <c r="BI2" s="93" t="s">
        <v>72</v>
      </c>
      <c r="BJ2" s="93" t="s">
        <v>73</v>
      </c>
      <c r="BK2" s="116" t="s">
        <v>74</v>
      </c>
      <c r="BL2" s="115" t="s">
        <v>75</v>
      </c>
      <c r="BM2" s="92" t="s">
        <v>76</v>
      </c>
      <c r="BN2" s="92" t="s">
        <v>77</v>
      </c>
      <c r="BO2" s="92" t="s">
        <v>78</v>
      </c>
      <c r="BP2" s="92" t="s">
        <v>79</v>
      </c>
      <c r="BQ2" s="92" t="s">
        <v>80</v>
      </c>
      <c r="BR2" s="92" t="s">
        <v>81</v>
      </c>
      <c r="BS2" s="92" t="s">
        <v>82</v>
      </c>
      <c r="BT2" s="92" t="s">
        <v>83</v>
      </c>
      <c r="BU2" s="92" t="s">
        <v>84</v>
      </c>
      <c r="BV2" s="92" t="s">
        <v>85</v>
      </c>
      <c r="BW2" s="92" t="s">
        <v>86</v>
      </c>
      <c r="BX2" s="92" t="s">
        <v>87</v>
      </c>
      <c r="BY2" s="92" t="s">
        <v>88</v>
      </c>
      <c r="BZ2" s="92" t="s">
        <v>89</v>
      </c>
    </row>
    <row r="3" spans="1:78" ht="18" customHeight="1">
      <c r="A3" s="45"/>
      <c r="B3" s="59"/>
      <c r="C3" s="46"/>
      <c r="D3" s="46"/>
      <c r="E3" s="66"/>
      <c r="F3" s="47"/>
      <c r="G3" s="48"/>
      <c r="H3" s="48"/>
      <c r="I3" s="48"/>
      <c r="J3" s="48"/>
      <c r="K3" s="48"/>
      <c r="L3" s="48"/>
      <c r="M3" s="48"/>
      <c r="N3" s="48"/>
      <c r="O3" s="48"/>
      <c r="P3" s="48"/>
      <c r="Q3" s="48"/>
      <c r="R3" s="48"/>
      <c r="S3" s="48"/>
      <c r="T3" s="48"/>
      <c r="U3" s="48"/>
      <c r="V3" s="48"/>
      <c r="W3" s="48"/>
      <c r="X3" s="48"/>
      <c r="Y3" s="48"/>
      <c r="Z3" s="48"/>
      <c r="AA3" s="48"/>
      <c r="AB3" s="48"/>
      <c r="AC3" s="48"/>
      <c r="AD3" s="233"/>
      <c r="AE3" s="48"/>
      <c r="AF3" s="50"/>
      <c r="AG3" s="50"/>
      <c r="AH3" s="48"/>
      <c r="AI3" s="48"/>
      <c r="AJ3" s="226"/>
      <c r="AK3" s="48"/>
      <c r="AL3" s="114"/>
      <c r="AM3" s="114"/>
      <c r="AN3" s="220"/>
      <c r="AO3" s="48"/>
      <c r="AP3" s="48"/>
      <c r="AQ3" s="48" t="str">
        <f>UPPER(RIGHT(Journal_Live[[#This Row],[DURATION ]]))</f>
        <v/>
      </c>
      <c r="AR3" s="48"/>
      <c r="AS3" s="48"/>
      <c r="AT3" s="48"/>
      <c r="AU3" s="48"/>
      <c r="AV3" s="48"/>
      <c r="AW3" s="48"/>
      <c r="AX3" s="96" t="s">
        <v>90</v>
      </c>
      <c r="AY3" s="96" t="s">
        <v>91</v>
      </c>
      <c r="AZ3" s="96" t="s">
        <v>92</v>
      </c>
      <c r="BA3" s="96" t="s">
        <v>93</v>
      </c>
      <c r="BB3" s="96" t="s">
        <v>94</v>
      </c>
      <c r="BC3" s="48" t="s">
        <v>95</v>
      </c>
      <c r="BD3" s="48"/>
      <c r="BE3" s="48"/>
      <c r="BF3" s="48"/>
      <c r="BG3" s="94">
        <f>SUM($AV3:AV$4)</f>
        <v>35.200000000000031</v>
      </c>
      <c r="BH3" s="95">
        <f>SUM($AU3:AU$4)</f>
        <v>176.00000000000017</v>
      </c>
      <c r="BI3" s="80">
        <f>SUMIFS($AU$3:AU4,$Q$3:Q4,"F")</f>
        <v>0</v>
      </c>
      <c r="BJ3" s="80">
        <f>SUMIFS($AU$3:AU4,$Q$3:Q4,"S")</f>
        <v>176.00000000000017</v>
      </c>
      <c r="BK3" s="87">
        <f>SUMIFS($AU$3:AU4,$P$3:P4,"W")</f>
        <v>176.00000000000017</v>
      </c>
      <c r="BL3" s="87">
        <f>SUMIFS($AU$3:AU4,$P$3:P4,"R")</f>
        <v>0</v>
      </c>
      <c r="BM3" s="87">
        <f>SUMIFS($AU$3:AU4,$AQ$3:AQ4,"M")</f>
        <v>0</v>
      </c>
      <c r="BN3" s="87">
        <f>SUMIFS($AU$3:AU4,$AQ$3:AQ4,"H")</f>
        <v>176.00000000000017</v>
      </c>
      <c r="BO3" s="87">
        <f>SUMIFS($AU$3:AU4,$AQ$3:AQ4,"D")</f>
        <v>0</v>
      </c>
      <c r="BP3" s="87">
        <f>SUMIFS($AU$3:AU6,$AQ$3:AQ6,"W")</f>
        <v>0</v>
      </c>
      <c r="BQ3" s="87">
        <f>SUMIFS($AU$3:AU4,$Q$3:Q4,"O")</f>
        <v>0</v>
      </c>
      <c r="BR3" s="87">
        <f>SUMIFS($AU$3:AU4,$AA$3:AA4,"*")</f>
        <v>176.00000000000017</v>
      </c>
      <c r="BS3" s="87">
        <f>SUMIFS($AU$3:AU4,$AB$3:AB4,"*")</f>
        <v>0</v>
      </c>
      <c r="BT3" s="87">
        <f>SUMIFS($AU$3:AU4,$AC$3:AC4,"*")</f>
        <v>0</v>
      </c>
      <c r="BU3" s="87">
        <f>SUMIFS($AU$3:AU4,$AA$3:AA4,"*",$AB$3:AB4,"*")</f>
        <v>0</v>
      </c>
      <c r="BV3" s="87">
        <f>SUMIFS($AU$3:AU4,$AA$3:AA4,"*",$AC$3:AC4,"*")</f>
        <v>0</v>
      </c>
      <c r="BW3" s="87">
        <f>SUMIFS($AU$3:AU4,$AB$3:AB4,"*",$AC$3:AC4,"*")</f>
        <v>0</v>
      </c>
      <c r="BX3" s="87">
        <f>SUMIFS($AV$3:AV4,$Q$3:Q4,"F")</f>
        <v>0</v>
      </c>
      <c r="BY3" s="87">
        <f>SUMIFS($AV$3:AV4,$Q$3:Q4,"S")</f>
        <v>35.200000000000031</v>
      </c>
      <c r="BZ3" s="87">
        <f>SUMIFS($AV$3:AV4,$Q$3:Q4,"O")</f>
        <v>0</v>
      </c>
    </row>
    <row r="4" spans="1:78" ht="18" customHeight="1">
      <c r="A4" s="45" t="s">
        <v>96</v>
      </c>
      <c r="B4" s="59">
        <v>45293</v>
      </c>
      <c r="C4" s="46" t="s">
        <v>97</v>
      </c>
      <c r="D4" s="46" t="s">
        <v>98</v>
      </c>
      <c r="E4" s="66"/>
      <c r="F4" s="47"/>
      <c r="G4" s="71" t="s">
        <v>99</v>
      </c>
      <c r="H4" s="49"/>
      <c r="I4" s="49"/>
      <c r="J4" s="49"/>
      <c r="K4" s="50"/>
      <c r="L4" s="49">
        <v>1</v>
      </c>
      <c r="M4" s="49"/>
      <c r="N4" s="49"/>
      <c r="O4" s="50" t="s">
        <v>100</v>
      </c>
      <c r="P4" s="50" t="s">
        <v>101</v>
      </c>
      <c r="Q4" s="50" t="s">
        <v>102</v>
      </c>
      <c r="R4" s="50">
        <v>5</v>
      </c>
      <c r="S4" s="50">
        <v>0</v>
      </c>
      <c r="T4" s="50">
        <v>3</v>
      </c>
      <c r="U4" s="50" t="s">
        <v>22</v>
      </c>
      <c r="V4" s="50"/>
      <c r="W4" s="50"/>
      <c r="X4" s="50"/>
      <c r="Y4" s="51">
        <f>IF(ISBLANK(O4),"",(IF(O4=UPPER("IB"),0.005,0.01)))</f>
        <v>0.01</v>
      </c>
      <c r="Z4" s="52">
        <f>IF(ISBLANK(O4),"",IF(O4="IB",8.63*200,IF(O4="IR",16*100,IF(O4="YT",20*100,IF(O4="YT-XT",24*200,IF(O4="TED",80*100))))))</f>
        <v>1600</v>
      </c>
      <c r="AA4" s="52" t="s">
        <v>103</v>
      </c>
      <c r="AB4" s="52"/>
      <c r="AC4" s="52"/>
      <c r="AD4" s="231">
        <f>((-0.18*3)+(-0.17*2))/5</f>
        <v>-0.17600000000000002</v>
      </c>
      <c r="AE4" s="49"/>
      <c r="AF4" s="84"/>
      <c r="AG4" s="49"/>
      <c r="AH4" s="49"/>
      <c r="AI4" s="49"/>
      <c r="AJ4" s="226"/>
      <c r="AK4" s="49"/>
      <c r="AL4" s="113">
        <f t="shared" ref="AL4" si="0">-0.025*Z4</f>
        <v>-40</v>
      </c>
      <c r="AM4" s="113">
        <f>AL4*(R4-S4)</f>
        <v>-200</v>
      </c>
      <c r="AN4" s="218"/>
      <c r="AO4" s="49"/>
      <c r="AP4" s="49" t="s">
        <v>104</v>
      </c>
      <c r="AQ4" s="84" t="str">
        <f>UPPER(RIGHT(Journal_Live[[#This Row],[DURATION ]]))</f>
        <v>H</v>
      </c>
      <c r="AR4" s="49" t="s">
        <v>105</v>
      </c>
      <c r="AS4" s="55">
        <f>((-0.16*2)+(-0.15*3))/5</f>
        <v>-0.154</v>
      </c>
      <c r="AT4" s="55">
        <f>IF(ISBLANK(AS4),,IF(U4="S",AD4-AS4,AS4-AD4))</f>
        <v>2.200000000000002E-2</v>
      </c>
      <c r="AU4" s="54">
        <f>AV4*R4</f>
        <v>176.00000000000017</v>
      </c>
      <c r="AV4" s="56">
        <f>IF(ISBLANK(AS4),,(AT4*Z4))</f>
        <v>35.200000000000031</v>
      </c>
      <c r="AW4" s="57" t="s">
        <v>101</v>
      </c>
      <c r="AX4" s="96"/>
      <c r="AY4" s="96"/>
      <c r="AZ4" s="96"/>
      <c r="BA4" s="96"/>
      <c r="BB4" s="96"/>
      <c r="BC4" s="96"/>
      <c r="BD4" s="96"/>
      <c r="BE4" s="96"/>
      <c r="BF4" s="100"/>
      <c r="BG4" s="94">
        <f>SUM($AV$4:AV4)</f>
        <v>35.200000000000031</v>
      </c>
      <c r="BH4" s="95">
        <f>SUM($AU$4:AU4)</f>
        <v>176.00000000000017</v>
      </c>
      <c r="BI4" s="80">
        <f>SUMIFS($AU$3:AU5,$Q$3:Q5,"F")</f>
        <v>0</v>
      </c>
      <c r="BJ4" s="80">
        <f>SUMIFS($AU$3:AU5,$Q$3:Q5,"S")</f>
        <v>176.00000000000017</v>
      </c>
      <c r="BK4" s="87">
        <f>SUMIFS($AU$3:AU5,$P$3:P5,"W")</f>
        <v>176.00000000000017</v>
      </c>
      <c r="BL4" s="87">
        <f>SUMIFS($AU$3:AU5,$P$3:P5,"R")</f>
        <v>0</v>
      </c>
      <c r="BM4" s="87">
        <f>SUMIFS($AU$3:AU5,$AQ$3:AQ5,"M")</f>
        <v>0</v>
      </c>
      <c r="BN4" s="87">
        <f>SUMIFS($AU$3:AU5,$AQ$3:AQ5,"H")</f>
        <v>176.00000000000017</v>
      </c>
      <c r="BO4" s="87">
        <f>SUMIFS($AU$3:AU5,$AQ$3:AQ5,"D")</f>
        <v>0</v>
      </c>
      <c r="BP4" s="87">
        <f>SUMIFS($AU$3:AU7,$AQ$3:AQ7,"W")</f>
        <v>0</v>
      </c>
      <c r="BQ4" s="87">
        <f>SUMIFS($AU$3:AU5,$Q$3:Q5,"O")</f>
        <v>0</v>
      </c>
      <c r="BR4" s="87">
        <f>SUMIFS($AU$3:AU5,$AA$3:AA5,"*")</f>
        <v>176.00000000000017</v>
      </c>
      <c r="BS4" s="87">
        <f>SUMIFS($AU$3:AU5,$AB$3:AB5,"*")</f>
        <v>0</v>
      </c>
      <c r="BT4" s="87">
        <f>SUMIFS($AU$3:AU5,$AC$3:AC5,"*")</f>
        <v>0</v>
      </c>
      <c r="BU4" s="87">
        <f>SUMIFS($AU$3:AU5,$AA$3:AA5,"*",$AB$3:AB5,"*")</f>
        <v>0</v>
      </c>
      <c r="BV4" s="87">
        <f>SUMIFS($AU$3:AU5,$AA$3:AA5,"*",$AC$3:AC5,"*")</f>
        <v>0</v>
      </c>
      <c r="BW4" s="87">
        <f>SUMIFS($AU$3:AU5,$AB$3:AB5,"*",$AC$3:AC5,"*")</f>
        <v>0</v>
      </c>
      <c r="BX4" s="87">
        <f>SUMIFS($AV$3:AV5,$Q$3:Q5,"F")</f>
        <v>0</v>
      </c>
      <c r="BY4" s="87">
        <f>SUMIFS($AV$3:AV5,$Q$3:Q5,"S")</f>
        <v>35.200000000000031</v>
      </c>
      <c r="BZ4" s="87">
        <f>SUMIFS($AV$3:AV5,$Q$3:Q5,"O")</f>
        <v>0</v>
      </c>
    </row>
    <row r="5" spans="1:78" ht="18" customHeight="1">
      <c r="A5" s="45" t="s">
        <v>96</v>
      </c>
      <c r="B5" s="59">
        <v>45295</v>
      </c>
      <c r="C5" s="46" t="s">
        <v>106</v>
      </c>
      <c r="D5" s="46" t="s">
        <v>107</v>
      </c>
      <c r="E5" s="66"/>
      <c r="F5" s="47"/>
      <c r="G5" s="48" t="s">
        <v>108</v>
      </c>
      <c r="H5" s="49"/>
      <c r="I5" s="49"/>
      <c r="J5" s="49"/>
      <c r="K5" s="50"/>
      <c r="L5" s="49"/>
      <c r="M5" s="49"/>
      <c r="N5" s="49"/>
      <c r="O5" s="50"/>
      <c r="P5" s="50"/>
      <c r="Q5" s="50"/>
      <c r="R5" s="50"/>
      <c r="S5" s="50"/>
      <c r="T5" s="50"/>
      <c r="U5" s="50"/>
      <c r="V5" s="50"/>
      <c r="W5" s="50"/>
      <c r="X5" s="50"/>
      <c r="Y5" s="51"/>
      <c r="Z5" s="52"/>
      <c r="AA5" s="52"/>
      <c r="AB5" s="52"/>
      <c r="AC5" s="52"/>
      <c r="AD5" s="231"/>
      <c r="AE5" s="49"/>
      <c r="AF5" s="84"/>
      <c r="AG5" s="49"/>
      <c r="AH5" s="49">
        <v>-3</v>
      </c>
      <c r="AI5" s="49"/>
      <c r="AJ5" s="226"/>
      <c r="AK5" s="49"/>
      <c r="AL5" s="113">
        <f>-0.025*Z5</f>
        <v>0</v>
      </c>
      <c r="AM5" s="113">
        <f>AL5*(R5-S5)</f>
        <v>0</v>
      </c>
      <c r="AN5" s="218"/>
      <c r="AO5" s="49"/>
      <c r="AP5" s="49"/>
      <c r="AQ5" s="84" t="str">
        <f>UPPER(RIGHT(Journal_Live[[#This Row],[DURATION ]]))</f>
        <v/>
      </c>
      <c r="AR5" s="49"/>
      <c r="AS5" s="55"/>
      <c r="AT5" s="55"/>
      <c r="AU5" s="54"/>
      <c r="AV5" s="56"/>
      <c r="AW5" s="57"/>
      <c r="AX5" s="96" t="s">
        <v>109</v>
      </c>
      <c r="AY5" s="96"/>
      <c r="AZ5" s="96"/>
      <c r="BA5" s="96"/>
      <c r="BB5" s="96"/>
      <c r="BC5" s="96"/>
      <c r="BD5" s="96"/>
      <c r="BE5" s="96"/>
      <c r="BF5" s="100"/>
      <c r="BG5" s="94">
        <f>SUM($AV$4:AV5)</f>
        <v>35.200000000000031</v>
      </c>
      <c r="BH5" s="95">
        <f>SUM($AU$4:AU5)</f>
        <v>176.00000000000017</v>
      </c>
      <c r="BI5" s="80">
        <f>SUMIFS($AU$3:AU6,$Q$3:Q6,"F")</f>
        <v>0</v>
      </c>
      <c r="BJ5" s="80">
        <f>SUMIFS($AU$3:AU6,$Q$3:Q6,"S")</f>
        <v>176.00000000000017</v>
      </c>
      <c r="BK5" s="87">
        <f>SUMIFS($AU$3:AU6,$P$3:P6,"W")</f>
        <v>176.00000000000017</v>
      </c>
      <c r="BL5" s="87">
        <f>SUMIFS($AU$3:AU6,$P$3:P6,"R")</f>
        <v>0</v>
      </c>
      <c r="BM5" s="87">
        <f>SUMIFS($AU$3:AU6,$AQ$3:AQ6,"M")</f>
        <v>0</v>
      </c>
      <c r="BN5" s="87">
        <f>SUMIFS($AU$3:AU6,$AQ$3:AQ6,"H")</f>
        <v>176.00000000000017</v>
      </c>
      <c r="BO5" s="87">
        <f>SUMIFS($AU$3:AU6,$AQ$3:AQ6,"D")</f>
        <v>0</v>
      </c>
      <c r="BP5" s="87">
        <f>SUMIFS($AU$3:AU8,$AQ$3:AQ8,"W")</f>
        <v>0</v>
      </c>
      <c r="BQ5" s="87">
        <f>SUMIFS($AU$3:AU6,$Q$3:Q6,"O")</f>
        <v>0</v>
      </c>
      <c r="BR5" s="87">
        <f>SUMIFS($AU$3:AU6,$AA$3:AA6,"*")</f>
        <v>176.00000000000017</v>
      </c>
      <c r="BS5" s="87">
        <f>SUMIFS($AU$3:AU6,$AB$3:AB6,"*")</f>
        <v>0</v>
      </c>
      <c r="BT5" s="87">
        <f>SUMIFS($AU$3:AU6,$AC$3:AC6,"*")</f>
        <v>0</v>
      </c>
      <c r="BU5" s="87">
        <f>SUMIFS($AU$3:AU6,$AA$3:AA6,"*",$AB$3:AB6,"*")</f>
        <v>0</v>
      </c>
      <c r="BV5" s="87">
        <f>SUMIFS($AU$3:AU6,$AA$3:AA6,"*",$AC$3:AC6,"*")</f>
        <v>0</v>
      </c>
      <c r="BW5" s="87">
        <f>SUMIFS($AU$3:AU6,$AB$3:AB6,"*",$AC$3:AC6,"*")</f>
        <v>0</v>
      </c>
      <c r="BX5" s="87">
        <f>SUMIFS($AV$3:AV6,$Q$3:Q6,"F")</f>
        <v>0</v>
      </c>
      <c r="BY5" s="87">
        <f>SUMIFS($AV$3:AV6,$Q$3:Q6,"S")</f>
        <v>35.200000000000031</v>
      </c>
      <c r="BZ5" s="87">
        <f>SUMIFS($AV$3:AV6,$Q$3:Q6,"O")</f>
        <v>0</v>
      </c>
    </row>
    <row r="6" spans="1:78" ht="18" customHeight="1">
      <c r="A6" s="45" t="s">
        <v>96</v>
      </c>
      <c r="B6" s="59">
        <v>45295</v>
      </c>
      <c r="C6" s="46" t="s">
        <v>110</v>
      </c>
      <c r="D6" s="46" t="s">
        <v>107</v>
      </c>
      <c r="E6" s="66"/>
      <c r="F6" s="47"/>
      <c r="G6" s="48" t="s">
        <v>111</v>
      </c>
      <c r="H6" s="49"/>
      <c r="I6" s="49"/>
      <c r="J6" s="49"/>
      <c r="K6" s="50"/>
      <c r="L6" s="49"/>
      <c r="M6" s="49"/>
      <c r="N6" s="49"/>
      <c r="O6" s="50"/>
      <c r="P6" s="50"/>
      <c r="Q6" s="50"/>
      <c r="R6" s="50"/>
      <c r="S6" s="50"/>
      <c r="T6" s="50"/>
      <c r="U6" s="50"/>
      <c r="V6" s="50"/>
      <c r="W6" s="50"/>
      <c r="X6" s="50"/>
      <c r="Y6" s="51"/>
      <c r="Z6" s="52"/>
      <c r="AA6" s="52"/>
      <c r="AB6" s="52"/>
      <c r="AC6" s="52"/>
      <c r="AD6" s="231"/>
      <c r="AE6" s="49"/>
      <c r="AF6" s="84"/>
      <c r="AG6" s="49"/>
      <c r="AH6" s="49"/>
      <c r="AI6" s="49"/>
      <c r="AJ6" s="226"/>
      <c r="AK6" s="49"/>
      <c r="AL6" s="113"/>
      <c r="AM6" s="113"/>
      <c r="AN6" s="218"/>
      <c r="AO6" s="49"/>
      <c r="AP6" s="49"/>
      <c r="AQ6" s="84" t="str">
        <f>UPPER(RIGHT(Journal_Live[[#This Row],[DURATION ]]))</f>
        <v/>
      </c>
      <c r="AR6" s="49"/>
      <c r="AS6" s="55"/>
      <c r="AT6" s="55"/>
      <c r="AU6" s="54"/>
      <c r="AV6" s="56"/>
      <c r="AW6" s="57"/>
      <c r="AX6" s="96"/>
      <c r="AY6" s="96"/>
      <c r="AZ6" s="96"/>
      <c r="BA6" s="96"/>
      <c r="BB6" s="96"/>
      <c r="BC6" s="96"/>
      <c r="BD6" s="96"/>
      <c r="BE6" s="96"/>
      <c r="BF6" s="100"/>
      <c r="BG6" s="94">
        <f>SUM($AV$4:AV6)</f>
        <v>35.200000000000031</v>
      </c>
      <c r="BH6" s="95">
        <f>SUM($AU$4:AU6)</f>
        <v>176.00000000000017</v>
      </c>
      <c r="BI6" s="80">
        <f>SUMIFS($AU$3:AU7,$Q$3:Q7,"F")</f>
        <v>0</v>
      </c>
      <c r="BJ6" s="80">
        <f>SUMIFS($AU$3:AU7,$Q$3:Q7,"S")</f>
        <v>176.00000000000017</v>
      </c>
      <c r="BK6" s="87">
        <f>SUMIFS($AU$3:AU7,$P$3:P7,"W")</f>
        <v>176.00000000000017</v>
      </c>
      <c r="BL6" s="87">
        <f>SUMIFS($AU$3:AU7,$P$3:P7,"R")</f>
        <v>0</v>
      </c>
      <c r="BM6" s="87">
        <f>SUMIFS($AU$3:AU7,$AQ$3:AQ7,"M")</f>
        <v>0</v>
      </c>
      <c r="BN6" s="87">
        <f>SUMIFS($AU$3:AU7,$AQ$3:AQ7,"H")</f>
        <v>176.00000000000017</v>
      </c>
      <c r="BO6" s="87">
        <f>SUMIFS($AU$3:AU7,$AQ$3:AQ7,"D")</f>
        <v>0</v>
      </c>
      <c r="BP6" s="87">
        <f>SUMIFS($AU$3:AU9,$AQ$3:AQ9,"W")</f>
        <v>256</v>
      </c>
      <c r="BQ6" s="87">
        <f>SUMIFS($AU$3:AU7,$Q$3:Q7,"O")</f>
        <v>0</v>
      </c>
      <c r="BR6" s="87">
        <f>SUMIFS($AU$3:AU7,$AA$3:AA7,"*")</f>
        <v>176.00000000000017</v>
      </c>
      <c r="BS6" s="87">
        <f>SUMIFS($AU$3:AU7,$AB$3:AB7,"*")</f>
        <v>0</v>
      </c>
      <c r="BT6" s="87">
        <f>SUMIFS($AU$3:AU7,$AC$3:AC7,"*")</f>
        <v>0</v>
      </c>
      <c r="BU6" s="87">
        <f>SUMIFS($AU$3:AU7,$AA$3:AA7,"*",$AB$3:AB7,"*")</f>
        <v>0</v>
      </c>
      <c r="BV6" s="87">
        <f>SUMIFS($AU$3:AU7,$AA$3:AA7,"*",$AC$3:AC7,"*")</f>
        <v>0</v>
      </c>
      <c r="BW6" s="87">
        <f>SUMIFS($AU$3:AU7,$AB$3:AB7,"*",$AC$3:AC7,"*")</f>
        <v>0</v>
      </c>
      <c r="BX6" s="87">
        <f>SUMIFS($AV$3:AV7,$Q$3:Q7,"F")</f>
        <v>0</v>
      </c>
      <c r="BY6" s="87">
        <f>SUMIFS($AV$3:AV7,$Q$3:Q7,"S")</f>
        <v>35.200000000000031</v>
      </c>
      <c r="BZ6" s="87">
        <f>SUMIFS($AV$3:AV7,$Q$3:Q7,"O")</f>
        <v>0</v>
      </c>
    </row>
    <row r="7" spans="1:78" ht="18" customHeight="1">
      <c r="A7" s="45" t="s">
        <v>96</v>
      </c>
      <c r="B7" s="59">
        <v>45295</v>
      </c>
      <c r="C7" s="46" t="s">
        <v>112</v>
      </c>
      <c r="D7" s="46" t="s">
        <v>107</v>
      </c>
      <c r="E7" s="66"/>
      <c r="F7" s="47"/>
      <c r="G7" s="48" t="s">
        <v>113</v>
      </c>
      <c r="H7" s="49"/>
      <c r="I7" s="49"/>
      <c r="J7" s="49"/>
      <c r="K7" s="50"/>
      <c r="L7" s="49"/>
      <c r="M7" s="49"/>
      <c r="N7" s="49"/>
      <c r="O7" s="50"/>
      <c r="P7" s="50"/>
      <c r="Q7" s="50"/>
      <c r="R7" s="50"/>
      <c r="S7" s="50"/>
      <c r="T7" s="50"/>
      <c r="U7" s="50"/>
      <c r="V7" s="50"/>
      <c r="W7" s="50"/>
      <c r="X7" s="50"/>
      <c r="Y7" s="51"/>
      <c r="Z7" s="52"/>
      <c r="AA7" s="52"/>
      <c r="AB7" s="52"/>
      <c r="AC7" s="52"/>
      <c r="AD7" s="231"/>
      <c r="AE7" s="49"/>
      <c r="AF7" s="84"/>
      <c r="AG7" s="49"/>
      <c r="AH7" s="49"/>
      <c r="AI7" s="49"/>
      <c r="AJ7" s="226"/>
      <c r="AK7" s="49"/>
      <c r="AL7" s="113">
        <f>-0.02*Z7</f>
        <v>0</v>
      </c>
      <c r="AM7" s="113">
        <f>AL7*(R7-S7)</f>
        <v>0</v>
      </c>
      <c r="AN7" s="218"/>
      <c r="AO7" s="49"/>
      <c r="AP7" s="49"/>
      <c r="AQ7" s="84" t="str">
        <f>UPPER(RIGHT(Journal_Live[[#This Row],[DURATION ]]))</f>
        <v/>
      </c>
      <c r="AR7" s="49"/>
      <c r="AS7" s="55"/>
      <c r="AT7" s="55"/>
      <c r="AU7" s="54"/>
      <c r="AV7" s="56"/>
      <c r="AW7" s="57"/>
      <c r="AX7" s="96"/>
      <c r="AY7" s="96"/>
      <c r="AZ7" s="96"/>
      <c r="BA7" s="96"/>
      <c r="BB7" s="96"/>
      <c r="BC7" s="96"/>
      <c r="BD7" s="96"/>
      <c r="BE7" s="96"/>
      <c r="BF7" s="100"/>
      <c r="BG7" s="94">
        <f>SUM($AV$4:AV7)</f>
        <v>35.200000000000031</v>
      </c>
      <c r="BH7" s="95">
        <f>SUM($AU$4:AU7)</f>
        <v>176.00000000000017</v>
      </c>
      <c r="BI7" s="80">
        <f>SUMIFS($AU$3:AU8,$Q$3:Q8,"F")</f>
        <v>0</v>
      </c>
      <c r="BJ7" s="80">
        <f>SUMIFS($AU$3:AU8,$Q$3:Q8,"S")</f>
        <v>-159.99999999999983</v>
      </c>
      <c r="BK7" s="87">
        <f>SUMIFS($AU$3:AU8,$P$3:P8,"W")</f>
        <v>-159.99999999999983</v>
      </c>
      <c r="BL7" s="87">
        <f>SUMIFS($AU$3:AU8,$P$3:P8,"R")</f>
        <v>0</v>
      </c>
      <c r="BM7" s="87">
        <f>SUMIFS($AU$3:AU8,$AQ$3:AQ8,"M")</f>
        <v>0</v>
      </c>
      <c r="BN7" s="87">
        <f>SUMIFS($AU$3:AU8,$AQ$3:AQ8,"H")</f>
        <v>-159.99999999999983</v>
      </c>
      <c r="BO7" s="87">
        <f>SUMIFS($AU$3:AU8,$AQ$3:AQ8,"D")</f>
        <v>0</v>
      </c>
      <c r="BP7" s="87">
        <f>SUMIFS($AU$3:AU10,$AQ$3:AQ10,"W")</f>
        <v>256</v>
      </c>
      <c r="BQ7" s="87">
        <f>SUMIFS($AU$3:AU8,$Q$3:Q8,"O")</f>
        <v>0</v>
      </c>
      <c r="BR7" s="87">
        <f>SUMIFS($AU$3:AU8,$AA$3:AA8,"*")</f>
        <v>176.00000000000017</v>
      </c>
      <c r="BS7" s="87">
        <f>SUMIFS($AU$3:AU8,$AB$3:AB8,"*")</f>
        <v>0</v>
      </c>
      <c r="BT7" s="87">
        <f>SUMIFS($AU$3:AU8,$AC$3:AC8,"*")</f>
        <v>-336</v>
      </c>
      <c r="BU7" s="87">
        <f>SUMIFS($AU$3:AU8,$AA$3:AA8,"*",$AB$3:AB8,"*")</f>
        <v>0</v>
      </c>
      <c r="BV7" s="87">
        <f>SUMIFS($AU$3:AU8,$AA$3:AA8,"*",$AC$3:AC8,"*")</f>
        <v>0</v>
      </c>
      <c r="BW7" s="87">
        <f>SUMIFS($AU$3:AU8,$AB$3:AB8,"*",$AC$3:AC8,"*")</f>
        <v>0</v>
      </c>
      <c r="BX7" s="87">
        <f>SUMIFS($AV$3:AV8,$Q$3:Q8,"F")</f>
        <v>0</v>
      </c>
      <c r="BY7" s="87">
        <f>SUMIFS($AV$3:AV8,$Q$3:Q8,"S")</f>
        <v>23.200000000000031</v>
      </c>
      <c r="BZ7" s="87">
        <f>SUMIFS($AV$3:AV8,$Q$3:Q8,"O")</f>
        <v>0</v>
      </c>
    </row>
    <row r="8" spans="1:78" ht="18" customHeight="1">
      <c r="A8" s="45" t="s">
        <v>96</v>
      </c>
      <c r="B8" s="59">
        <v>45296</v>
      </c>
      <c r="C8" s="46" t="s">
        <v>114</v>
      </c>
      <c r="D8" s="46" t="s">
        <v>115</v>
      </c>
      <c r="E8" s="66"/>
      <c r="F8" s="47"/>
      <c r="G8" s="71" t="s">
        <v>116</v>
      </c>
      <c r="H8" s="49"/>
      <c r="I8" s="49"/>
      <c r="J8" s="49"/>
      <c r="K8" s="50"/>
      <c r="L8" s="49">
        <v>1</v>
      </c>
      <c r="M8" s="49"/>
      <c r="N8" s="49"/>
      <c r="O8" s="50" t="s">
        <v>100</v>
      </c>
      <c r="P8" s="50" t="s">
        <v>101</v>
      </c>
      <c r="Q8" s="50" t="s">
        <v>102</v>
      </c>
      <c r="R8" s="50">
        <v>28</v>
      </c>
      <c r="S8" s="50">
        <v>12</v>
      </c>
      <c r="T8" s="50">
        <v>5</v>
      </c>
      <c r="U8" s="50" t="s">
        <v>102</v>
      </c>
      <c r="V8" s="50"/>
      <c r="W8" s="50"/>
      <c r="X8" s="50"/>
      <c r="Y8" s="51">
        <f>IF(ISBLANK(O8),"",(IF(O8=UPPER("IB"),0.005,0.01)))</f>
        <v>0.01</v>
      </c>
      <c r="Z8" s="52">
        <f>IF(ISBLANK(O8),"",IF(O8="IB",8.63*200,IF(O8="IR",16*100,IF(O8="YT",20*100,IF(O8="YT-XT",24*200,IF(O8="TED",80*100))))))</f>
        <v>1600</v>
      </c>
      <c r="AA8" s="52"/>
      <c r="AB8" s="52"/>
      <c r="AC8" s="52" t="s">
        <v>117</v>
      </c>
      <c r="AD8" s="231">
        <f>((-0.01*5)+(0*23))/28</f>
        <v>-1.7857142857142859E-3</v>
      </c>
      <c r="AE8" s="49"/>
      <c r="AF8" s="84"/>
      <c r="AG8" s="49"/>
      <c r="AH8" s="49" t="s">
        <v>118</v>
      </c>
      <c r="AI8" s="49"/>
      <c r="AJ8" s="226"/>
      <c r="AK8" s="49"/>
      <c r="AL8" s="113">
        <f>-0.03*Z8</f>
        <v>-48</v>
      </c>
      <c r="AM8" s="113">
        <f>AL8*(R8-S8)</f>
        <v>-768</v>
      </c>
      <c r="AN8" s="218"/>
      <c r="AO8" s="49"/>
      <c r="AP8" s="49" t="s">
        <v>119</v>
      </c>
      <c r="AQ8" s="84" t="str">
        <f>UPPER(RIGHT(Journal_Live[[#This Row],[DURATION ]]))</f>
        <v>H</v>
      </c>
      <c r="AR8" s="49" t="s">
        <v>120</v>
      </c>
      <c r="AS8" s="55">
        <f>((0*12)+(0.01*7)+(0.01*9))/28</f>
        <v>5.7142857142857143E-3</v>
      </c>
      <c r="AT8" s="55">
        <f>IF(ISBLANK(AS8),,IF(U8="S",AD8-AS8,AS8-AD8))</f>
        <v>-7.4999999999999997E-3</v>
      </c>
      <c r="AU8" s="54">
        <f>AV8*R8</f>
        <v>-336</v>
      </c>
      <c r="AV8" s="56">
        <f>IF(ISBLANK(AS8),,(AT8*Z8))</f>
        <v>-12</v>
      </c>
      <c r="AW8" s="57" t="s">
        <v>121</v>
      </c>
      <c r="AX8" s="96" t="s">
        <v>122</v>
      </c>
      <c r="AY8" s="96" t="s">
        <v>123</v>
      </c>
      <c r="AZ8" s="96"/>
      <c r="BA8" s="96"/>
      <c r="BB8" s="96"/>
      <c r="BC8" s="96"/>
      <c r="BD8" s="96"/>
      <c r="BE8" s="96"/>
      <c r="BF8" s="100"/>
      <c r="BG8" s="94">
        <f>SUM($AV$4:AV8)</f>
        <v>23.200000000000031</v>
      </c>
      <c r="BH8" s="95">
        <f>SUM($AU$4:AU8)</f>
        <v>-159.99999999999983</v>
      </c>
      <c r="BI8" s="80">
        <f>SUMIFS($AU$3:AU9,$Q$3:Q9,"F")</f>
        <v>256</v>
      </c>
      <c r="BJ8" s="80">
        <f>SUMIFS($AU$3:AU9,$Q$3:Q9,"S")</f>
        <v>-159.99999999999983</v>
      </c>
      <c r="BK8" s="87">
        <f>SUMIFS($AU$3:AU9,$P$3:P9,"W")</f>
        <v>-159.99999999999983</v>
      </c>
      <c r="BL8" s="87">
        <f>SUMIFS($AU$3:AU9,$P$3:P9,"R")</f>
        <v>256</v>
      </c>
      <c r="BM8" s="87">
        <f>SUMIFS($AU$3:AU9,$AQ$3:AQ9,"M")</f>
        <v>0</v>
      </c>
      <c r="BN8" s="87">
        <f>SUMIFS($AU$3:AU9,$AQ$3:AQ9,"H")</f>
        <v>-159.99999999999983</v>
      </c>
      <c r="BO8" s="87">
        <f>SUMIFS($AU$3:AU9,$AQ$3:AQ9,"D")</f>
        <v>0</v>
      </c>
      <c r="BP8" s="87">
        <f>SUMIFS($AU$3:AU11,$AQ$3:AQ11,"W")</f>
        <v>256</v>
      </c>
      <c r="BQ8" s="87">
        <f>SUMIFS($AU$3:AU9,$Q$3:Q9,"O")</f>
        <v>0</v>
      </c>
      <c r="BR8" s="87">
        <f>SUMIFS($AU$3:AU9,$AA$3:AA9,"*")</f>
        <v>432.00000000000017</v>
      </c>
      <c r="BS8" s="87">
        <f>SUMIFS($AU$3:AU9,$AB$3:AB9,"*")</f>
        <v>0</v>
      </c>
      <c r="BT8" s="87">
        <f>SUMIFS($AU$3:AU9,$AC$3:AC9,"*")</f>
        <v>-336</v>
      </c>
      <c r="BU8" s="87">
        <f>SUMIFS($AU$3:AU9,$AA$3:AA9,"*",$AB$3:AB9,"*")</f>
        <v>0</v>
      </c>
      <c r="BV8" s="87">
        <f>SUMIFS($AU$3:AU9,$AA$3:AA9,"*",$AC$3:AC9,"*")</f>
        <v>0</v>
      </c>
      <c r="BW8" s="87">
        <f>SUMIFS($AU$3:AU9,$AB$3:AB9,"*",$AC$3:AC9,"*")</f>
        <v>0</v>
      </c>
      <c r="BX8" s="87">
        <f>SUMIFS($AV$3:AV9,$Q$3:Q9,"F")</f>
        <v>7.3142857142857149</v>
      </c>
      <c r="BY8" s="87">
        <f>SUMIFS($AV$3:AV9,$Q$3:Q9,"S")</f>
        <v>23.200000000000031</v>
      </c>
      <c r="BZ8" s="87">
        <f>SUMIFS($AV$3:AV9,$Q$3:Q9,"O")</f>
        <v>0</v>
      </c>
    </row>
    <row r="9" spans="1:78" ht="18" customHeight="1">
      <c r="A9" s="45" t="s">
        <v>96</v>
      </c>
      <c r="B9" s="59">
        <v>45296</v>
      </c>
      <c r="C9" s="46" t="s">
        <v>124</v>
      </c>
      <c r="D9" s="46" t="s">
        <v>115</v>
      </c>
      <c r="E9" s="66"/>
      <c r="F9" s="47"/>
      <c r="G9" s="71" t="s">
        <v>125</v>
      </c>
      <c r="H9" s="49"/>
      <c r="I9" s="49"/>
      <c r="J9" s="49"/>
      <c r="K9" s="50"/>
      <c r="L9" s="49">
        <v>1</v>
      </c>
      <c r="M9" s="49"/>
      <c r="N9" s="49"/>
      <c r="O9" s="50" t="s">
        <v>100</v>
      </c>
      <c r="P9" s="50" t="s">
        <v>126</v>
      </c>
      <c r="Q9" s="50" t="s">
        <v>127</v>
      </c>
      <c r="R9" s="50">
        <v>35</v>
      </c>
      <c r="S9" s="50">
        <v>31</v>
      </c>
      <c r="T9" s="50">
        <v>14</v>
      </c>
      <c r="U9" s="50" t="s">
        <v>102</v>
      </c>
      <c r="V9" s="50"/>
      <c r="W9" s="50"/>
      <c r="X9" s="50"/>
      <c r="Y9" s="51">
        <f>IF(ISBLANK(O9),"",(IF(O9=UPPER("IB"),0.005,0.01)))</f>
        <v>0.01</v>
      </c>
      <c r="Z9" s="52">
        <f>IF(ISBLANK(O9),"",IF(O9="IB",8.63*200,IF(O9="IR",16*100,IF(O9="YT",20*100,IF(O9="YT-XT",24*200,IF(O9="TED",80*100))))))</f>
        <v>1600</v>
      </c>
      <c r="AA9" s="52" t="s">
        <v>128</v>
      </c>
      <c r="AB9" s="52"/>
      <c r="AC9" s="52"/>
      <c r="AD9" s="231">
        <f>((-0.02*14)+(-0.01*21))/35</f>
        <v>-1.4E-2</v>
      </c>
      <c r="AE9" s="49"/>
      <c r="AF9" s="84"/>
      <c r="AG9" s="49"/>
      <c r="AH9" s="49"/>
      <c r="AI9" s="49"/>
      <c r="AJ9" s="226"/>
      <c r="AK9" s="49"/>
      <c r="AL9" s="113">
        <f>-0.025*Z9</f>
        <v>-40</v>
      </c>
      <c r="AM9" s="113">
        <f>AL9*(R9-S9)</f>
        <v>-160</v>
      </c>
      <c r="AN9" s="218"/>
      <c r="AO9" s="49"/>
      <c r="AP9" s="49" t="s">
        <v>129</v>
      </c>
      <c r="AQ9" s="84" t="s">
        <v>101</v>
      </c>
      <c r="AR9" s="49" t="s">
        <v>130</v>
      </c>
      <c r="AS9" s="55">
        <f>((-0.02*7)+(-0.01*5)+(-0.02*19)+(-0.02*4))/35</f>
        <v>-1.8571428571428572E-2</v>
      </c>
      <c r="AT9" s="55">
        <f>IF(ISBLANK(AS9),,IF(U9="S",AD9-AS9,AS9-AD9))</f>
        <v>4.5714285714285718E-3</v>
      </c>
      <c r="AU9" s="54">
        <f>AV9*R9</f>
        <v>256</v>
      </c>
      <c r="AV9" s="56">
        <f>IF(ISBLANK(AS9),,(AT9*Z9))</f>
        <v>7.3142857142857149</v>
      </c>
      <c r="AW9" s="57" t="s">
        <v>101</v>
      </c>
      <c r="AX9" s="96" t="s">
        <v>131</v>
      </c>
      <c r="AY9" s="96" t="s">
        <v>132</v>
      </c>
      <c r="AZ9" s="96" t="s">
        <v>133</v>
      </c>
      <c r="BA9" s="96"/>
      <c r="BB9" s="96"/>
      <c r="BC9" s="96"/>
      <c r="BD9" s="96"/>
      <c r="BE9" s="96"/>
      <c r="BF9" s="100"/>
      <c r="BG9" s="94">
        <f>SUM($AV$4:AV9)</f>
        <v>30.514285714285748</v>
      </c>
      <c r="BH9" s="95">
        <f>SUM($AU$4:AU9)</f>
        <v>96.000000000000171</v>
      </c>
      <c r="BI9" s="80">
        <f>SUMIFS($AU$3:AU10,$Q$3:Q10,"F")</f>
        <v>256</v>
      </c>
      <c r="BJ9" s="80">
        <f>SUMIFS($AU$3:AU10,$Q$3:Q10,"S")</f>
        <v>-255.99999999999986</v>
      </c>
      <c r="BK9" s="87">
        <f>SUMIFS($AU$3:AU10,$P$3:P10,"W")</f>
        <v>-255.99999999999986</v>
      </c>
      <c r="BL9" s="87">
        <f>SUMIFS($AU$3:AU10,$P$3:P10,"R")</f>
        <v>256</v>
      </c>
      <c r="BM9" s="87">
        <f>SUMIFS($AU$3:AU10,$AQ$3:AQ10,"M")</f>
        <v>0</v>
      </c>
      <c r="BN9" s="87">
        <f>SUMIFS($AU$3:AU10,$AQ$3:AQ10,"H")</f>
        <v>-255.99999999999986</v>
      </c>
      <c r="BO9" s="87">
        <f>SUMIFS($AU$3:AU10,$AQ$3:AQ10,"D")</f>
        <v>0</v>
      </c>
      <c r="BP9" s="87">
        <f>SUMIFS($AU$3:AU12,$AQ$3:AQ12,"W")</f>
        <v>256</v>
      </c>
      <c r="BQ9" s="87">
        <f>SUMIFS($AU$3:AU10,$Q$3:Q10,"O")</f>
        <v>0</v>
      </c>
      <c r="BR9" s="87">
        <f>SUMIFS($AU$3:AU10,$AA$3:AA10,"*")</f>
        <v>336.00000000000011</v>
      </c>
      <c r="BS9" s="87">
        <f>SUMIFS($AU$3:AU10,$AB$3:AB10,"*")</f>
        <v>0</v>
      </c>
      <c r="BT9" s="87">
        <f>SUMIFS($AU$3:AU10,$AC$3:AC10,"*")</f>
        <v>-336</v>
      </c>
      <c r="BU9" s="87">
        <f>SUMIFS($AU$3:AU10,$AA$3:AA10,"*",$AB$3:AB10,"*")</f>
        <v>0</v>
      </c>
      <c r="BV9" s="87">
        <f>SUMIFS($AU$3:AU10,$AA$3:AA10,"*",$AC$3:AC10,"*")</f>
        <v>0</v>
      </c>
      <c r="BW9" s="87">
        <f>SUMIFS($AU$3:AU10,$AB$3:AB10,"*",$AC$3:AC10,"*")</f>
        <v>0</v>
      </c>
      <c r="BX9" s="87">
        <f>SUMIFS($AV$3:AV10,$Q$3:Q10,"F")</f>
        <v>7.3142857142857149</v>
      </c>
      <c r="BY9" s="87">
        <f>SUMIFS($AV$3:AV10,$Q$3:Q10,"S")</f>
        <v>-8.7999999999999758</v>
      </c>
      <c r="BZ9" s="87">
        <f>SUMIFS($AV$3:AV10,$Q$3:Q10,"O")</f>
        <v>0</v>
      </c>
    </row>
    <row r="10" spans="1:78" ht="18" customHeight="1">
      <c r="A10" s="45" t="s">
        <v>96</v>
      </c>
      <c r="B10" s="59">
        <v>45296</v>
      </c>
      <c r="C10" s="46" t="s">
        <v>134</v>
      </c>
      <c r="D10" s="46" t="s">
        <v>115</v>
      </c>
      <c r="E10" s="66"/>
      <c r="F10" s="47"/>
      <c r="G10" s="71" t="s">
        <v>99</v>
      </c>
      <c r="H10" s="49"/>
      <c r="I10" s="49"/>
      <c r="J10" s="49"/>
      <c r="K10" s="50"/>
      <c r="L10" s="49">
        <v>1</v>
      </c>
      <c r="M10" s="49"/>
      <c r="N10" s="49"/>
      <c r="O10" s="50" t="s">
        <v>100</v>
      </c>
      <c r="P10" s="50" t="s">
        <v>101</v>
      </c>
      <c r="Q10" s="50" t="s">
        <v>102</v>
      </c>
      <c r="R10" s="50">
        <v>3</v>
      </c>
      <c r="S10" s="50">
        <v>0</v>
      </c>
      <c r="T10" s="50">
        <v>3</v>
      </c>
      <c r="U10" s="50" t="s">
        <v>102</v>
      </c>
      <c r="V10" s="50"/>
      <c r="W10" s="50"/>
      <c r="X10" s="50"/>
      <c r="Y10" s="51">
        <f>IF(ISBLANK(O10),"",(IF(O10=UPPER("IB"),0.005,0.01)))</f>
        <v>0.01</v>
      </c>
      <c r="Z10" s="52">
        <f>IF(ISBLANK(O10),"",IF(O10="IB",8.63*200,IF(O10="IR",16*100,IF(O10="YT",20*100,IF(O10="YT-XT",24*200,IF(O10="TED",80*100))))))</f>
        <v>1600</v>
      </c>
      <c r="AA10" s="52" t="s">
        <v>135</v>
      </c>
      <c r="AB10" s="52"/>
      <c r="AC10" s="52"/>
      <c r="AD10" s="231">
        <v>-0.08</v>
      </c>
      <c r="AE10" s="49"/>
      <c r="AF10" s="84"/>
      <c r="AG10" s="49"/>
      <c r="AH10" s="49"/>
      <c r="AI10" s="49"/>
      <c r="AJ10" s="226"/>
      <c r="AK10" s="49"/>
      <c r="AL10" s="113"/>
      <c r="AM10" s="113"/>
      <c r="AN10" s="218"/>
      <c r="AO10" s="49"/>
      <c r="AP10" s="49" t="s">
        <v>136</v>
      </c>
      <c r="AQ10" s="84" t="str">
        <f>UPPER(RIGHT(Journal_Live[[#This Row],[DURATION ]]))</f>
        <v>H</v>
      </c>
      <c r="AR10" s="49" t="s">
        <v>137</v>
      </c>
      <c r="AS10" s="55">
        <v>-0.06</v>
      </c>
      <c r="AT10" s="55">
        <f>IF(ISBLANK(AS10),,IF(U10="S",AD10-AS10,AS10-AD10))</f>
        <v>-2.0000000000000004E-2</v>
      </c>
      <c r="AU10" s="54">
        <f>AV10*R10</f>
        <v>-96.000000000000028</v>
      </c>
      <c r="AV10" s="56">
        <f>IF(ISBLANK(AS10),,(AT10*Z10))</f>
        <v>-32.000000000000007</v>
      </c>
      <c r="AW10" s="57" t="s">
        <v>121</v>
      </c>
      <c r="AX10" s="96" t="s">
        <v>138</v>
      </c>
      <c r="AY10" s="96"/>
      <c r="AZ10" s="96"/>
      <c r="BA10" s="96"/>
      <c r="BB10" s="96"/>
      <c r="BC10" s="96"/>
      <c r="BD10" s="96"/>
      <c r="BE10" s="96"/>
      <c r="BF10" s="100"/>
      <c r="BG10" s="94">
        <f>SUM($AV$4:AV10)</f>
        <v>-1.4857142857142591</v>
      </c>
      <c r="BH10" s="95">
        <f>SUM($AU$4:AU10)</f>
        <v>1.4210854715202004E-13</v>
      </c>
      <c r="BI10" s="80">
        <f>SUMIFS($AU$3:AU11,$Q$3:Q11,"F")</f>
        <v>256</v>
      </c>
      <c r="BJ10" s="80">
        <f>SUMIFS($AU$3:AU11,$Q$3:Q11,"S")</f>
        <v>-255.99999999999986</v>
      </c>
      <c r="BK10" s="87">
        <f>SUMIFS($AU$3:AU11,$P$3:P11,"W")</f>
        <v>-255.99999999999986</v>
      </c>
      <c r="BL10" s="87">
        <f>SUMIFS($AU$3:AU11,$P$3:P11,"R")</f>
        <v>256</v>
      </c>
      <c r="BM10" s="87">
        <f>SUMIFS($AU$3:AU11,$AQ$3:AQ11,"M")</f>
        <v>0</v>
      </c>
      <c r="BN10" s="87">
        <f>SUMIFS($AU$3:AU11,$AQ$3:AQ11,"H")</f>
        <v>-255.99999999999986</v>
      </c>
      <c r="BO10" s="87">
        <f>SUMIFS($AU$3:AU11,$AQ$3:AQ11,"D")</f>
        <v>0</v>
      </c>
      <c r="BP10" s="87">
        <f>SUMIFS($AU$3:AU13,$AQ$3:AQ13,"W")</f>
        <v>256</v>
      </c>
      <c r="BQ10" s="87">
        <f>SUMIFS($AU$3:AU11,$Q$3:Q11,"O")</f>
        <v>0</v>
      </c>
      <c r="BR10" s="87">
        <f>SUMIFS($AU$3:AU11,$AA$3:AA11,"*")</f>
        <v>336.00000000000011</v>
      </c>
      <c r="BS10" s="87">
        <f>SUMIFS($AU$3:AU11,$AB$3:AB11,"*")</f>
        <v>0</v>
      </c>
      <c r="BT10" s="87">
        <f>SUMIFS($AU$3:AU11,$AC$3:AC11,"*")</f>
        <v>-336</v>
      </c>
      <c r="BU10" s="87">
        <f>SUMIFS($AU$3:AU11,$AA$3:AA11,"*",$AB$3:AB11,"*")</f>
        <v>0</v>
      </c>
      <c r="BV10" s="87">
        <f>SUMIFS($AU$3:AU11,$AA$3:AA11,"*",$AC$3:AC11,"*")</f>
        <v>0</v>
      </c>
      <c r="BW10" s="87">
        <f>SUMIFS($AU$3:AU11,$AB$3:AB11,"*",$AC$3:AC11,"*")</f>
        <v>0</v>
      </c>
      <c r="BX10" s="87">
        <f>SUMIFS($AV$3:AV11,$Q$3:Q11,"F")</f>
        <v>7.3142857142857149</v>
      </c>
      <c r="BY10" s="87">
        <f>SUMIFS($AV$3:AV11,$Q$3:Q11,"S")</f>
        <v>-8.7999999999999758</v>
      </c>
      <c r="BZ10" s="87">
        <f>SUMIFS($AV$3:AV11,$Q$3:Q11,"O")</f>
        <v>0</v>
      </c>
    </row>
    <row r="11" spans="1:78" ht="18" customHeight="1">
      <c r="A11" s="45" t="s">
        <v>96</v>
      </c>
      <c r="B11" s="59">
        <v>45296</v>
      </c>
      <c r="C11" s="46" t="s">
        <v>139</v>
      </c>
      <c r="D11" s="46" t="s">
        <v>115</v>
      </c>
      <c r="E11" s="66" t="s">
        <v>140</v>
      </c>
      <c r="F11" s="47" t="s">
        <v>141</v>
      </c>
      <c r="G11" s="48"/>
      <c r="H11" s="49">
        <v>1</v>
      </c>
      <c r="I11" s="49"/>
      <c r="J11" s="49"/>
      <c r="K11" s="50" t="s">
        <v>142</v>
      </c>
      <c r="L11" s="49"/>
      <c r="M11" s="49"/>
      <c r="N11" s="49"/>
      <c r="O11" s="50"/>
      <c r="P11" s="50"/>
      <c r="Q11" s="50"/>
      <c r="R11" s="50"/>
      <c r="S11" s="50"/>
      <c r="T11" s="50"/>
      <c r="U11" s="50"/>
      <c r="V11" s="50"/>
      <c r="W11" s="50"/>
      <c r="X11" s="50"/>
      <c r="Y11" s="50"/>
      <c r="Z11" s="50"/>
      <c r="AA11" s="52"/>
      <c r="AB11" s="52"/>
      <c r="AC11" s="52"/>
      <c r="AD11" s="231"/>
      <c r="AE11" s="49"/>
      <c r="AF11" s="84"/>
      <c r="AG11" s="49"/>
      <c r="AH11" s="49"/>
      <c r="AI11" s="49"/>
      <c r="AJ11" s="226"/>
      <c r="AK11" s="49"/>
      <c r="AL11" s="113"/>
      <c r="AM11" s="113"/>
      <c r="AN11" s="218"/>
      <c r="AO11" s="49"/>
      <c r="AP11" s="49"/>
      <c r="AQ11" s="84" t="str">
        <f>UPPER(RIGHT(Journal_Live[[#This Row],[DURATION ]]))</f>
        <v/>
      </c>
      <c r="AR11" s="49"/>
      <c r="AS11" s="55"/>
      <c r="AT11" s="55"/>
      <c r="AU11" s="54"/>
      <c r="AV11" s="56"/>
      <c r="AW11" s="57"/>
      <c r="AX11" s="96" t="s">
        <v>143</v>
      </c>
      <c r="AY11" s="96" t="s">
        <v>144</v>
      </c>
      <c r="AZ11" s="96" t="s">
        <v>145</v>
      </c>
      <c r="BA11" s="96"/>
      <c r="BB11" s="96"/>
      <c r="BC11" s="96"/>
      <c r="BD11" s="96"/>
      <c r="BE11" s="96"/>
      <c r="BF11" s="100"/>
      <c r="BG11" s="94">
        <f>SUM($AV$4:AV11)</f>
        <v>-1.4857142857142591</v>
      </c>
      <c r="BH11" s="95">
        <f>SUM($AU$4:AU11)</f>
        <v>1.4210854715202004E-13</v>
      </c>
      <c r="BI11" s="80">
        <f>SUMIFS($AU$3:AU12,$Q$3:Q12,"F")</f>
        <v>256</v>
      </c>
      <c r="BJ11" s="80">
        <f>SUMIFS($AU$3:AU12,$Q$3:Q12,"S")</f>
        <v>-255.99999999999986</v>
      </c>
      <c r="BK11" s="87">
        <f>SUMIFS($AU$3:AU12,$P$3:P12,"W")</f>
        <v>-255.99999999999986</v>
      </c>
      <c r="BL11" s="87">
        <f>SUMIFS($AU$3:AU12,$P$3:P12,"R")</f>
        <v>256</v>
      </c>
      <c r="BM11" s="87">
        <f>SUMIFS($AU$3:AU12,$AQ$3:AQ12,"M")</f>
        <v>0</v>
      </c>
      <c r="BN11" s="87">
        <f>SUMIFS($AU$3:AU12,$AQ$3:AQ12,"H")</f>
        <v>-255.99999999999986</v>
      </c>
      <c r="BO11" s="87">
        <f>SUMIFS($AU$3:AU12,$AQ$3:AQ12,"D")</f>
        <v>0</v>
      </c>
      <c r="BP11" s="87">
        <f>SUMIFS($AU$3:AU14,$AQ$3:AQ14,"W")</f>
        <v>256</v>
      </c>
      <c r="BQ11" s="87">
        <f>SUMIFS($AU$3:AU12,$Q$3:Q12,"O")</f>
        <v>0</v>
      </c>
      <c r="BR11" s="87">
        <f>SUMIFS($AU$3:AU12,$AA$3:AA12,"*")</f>
        <v>336.00000000000011</v>
      </c>
      <c r="BS11" s="87">
        <f>SUMIFS($AU$3:AU12,$AB$3:AB12,"*")</f>
        <v>0</v>
      </c>
      <c r="BT11" s="87">
        <f>SUMIFS($AU$3:AU12,$AC$3:AC12,"*")</f>
        <v>-336</v>
      </c>
      <c r="BU11" s="87">
        <f>SUMIFS($AU$3:AU12,$AA$3:AA12,"*",$AB$3:AB12,"*")</f>
        <v>0</v>
      </c>
      <c r="BV11" s="87">
        <f>SUMIFS($AU$3:AU12,$AA$3:AA12,"*",$AC$3:AC12,"*")</f>
        <v>0</v>
      </c>
      <c r="BW11" s="87">
        <f>SUMIFS($AU$3:AU12,$AB$3:AB12,"*",$AC$3:AC12,"*")</f>
        <v>0</v>
      </c>
      <c r="BX11" s="87">
        <f>SUMIFS($AV$3:AV12,$Q$3:Q12,"F")</f>
        <v>7.3142857142857149</v>
      </c>
      <c r="BY11" s="87">
        <f>SUMIFS($AV$3:AV12,$Q$3:Q12,"S")</f>
        <v>-8.7999999999999758</v>
      </c>
      <c r="BZ11" s="87">
        <f>SUMIFS($AV$3:AV12,$Q$3:Q12,"O")</f>
        <v>0</v>
      </c>
    </row>
    <row r="12" spans="1:78" ht="18" customHeight="1">
      <c r="A12" s="45" t="s">
        <v>96</v>
      </c>
      <c r="B12" s="59"/>
      <c r="C12" s="46"/>
      <c r="D12" s="46"/>
      <c r="E12" s="66" t="s">
        <v>146</v>
      </c>
      <c r="F12" s="47"/>
      <c r="G12" s="48"/>
      <c r="H12" s="49"/>
      <c r="I12" s="49"/>
      <c r="J12" s="49">
        <v>1</v>
      </c>
      <c r="K12" s="50" t="s">
        <v>142</v>
      </c>
      <c r="L12" s="49"/>
      <c r="M12" s="49"/>
      <c r="N12" s="49"/>
      <c r="O12" s="50"/>
      <c r="P12" s="50"/>
      <c r="Q12" s="50"/>
      <c r="R12" s="50"/>
      <c r="S12" s="50"/>
      <c r="T12" s="50"/>
      <c r="U12" s="50"/>
      <c r="V12" s="50"/>
      <c r="W12" s="50"/>
      <c r="X12" s="50"/>
      <c r="Y12" s="50"/>
      <c r="Z12" s="50"/>
      <c r="AA12" s="52"/>
      <c r="AB12" s="52"/>
      <c r="AC12" s="52"/>
      <c r="AD12" s="231"/>
      <c r="AE12" s="49"/>
      <c r="AF12" s="84"/>
      <c r="AG12" s="49"/>
      <c r="AH12" s="49"/>
      <c r="AI12" s="49"/>
      <c r="AJ12" s="226"/>
      <c r="AK12" s="49"/>
      <c r="AL12" s="113"/>
      <c r="AM12" s="113"/>
      <c r="AN12" s="218"/>
      <c r="AO12" s="49"/>
      <c r="AP12" s="49"/>
      <c r="AQ12" s="84" t="str">
        <f>UPPER(RIGHT(Journal_Live[[#This Row],[DURATION ]]))</f>
        <v/>
      </c>
      <c r="AR12" s="49"/>
      <c r="AS12" s="55"/>
      <c r="AT12" s="55"/>
      <c r="AU12" s="54"/>
      <c r="AV12" s="56"/>
      <c r="AW12" s="57"/>
      <c r="AX12" s="96"/>
      <c r="AY12" s="96"/>
      <c r="AZ12" s="96"/>
      <c r="BA12" s="96"/>
      <c r="BB12" s="96"/>
      <c r="BC12" s="96"/>
      <c r="BD12" s="96"/>
      <c r="BE12" s="96"/>
      <c r="BF12" s="100"/>
      <c r="BG12" s="94">
        <f>SUM($AV$4:AV12)</f>
        <v>-1.4857142857142591</v>
      </c>
      <c r="BH12" s="95">
        <f>SUM($AU$4:AU12)</f>
        <v>1.4210854715202004E-13</v>
      </c>
      <c r="BI12" s="80">
        <f>SUMIFS($AU$3:AU13,$Q$3:Q13,"F")</f>
        <v>256</v>
      </c>
      <c r="BJ12" s="80">
        <f>SUMIFS($AU$3:AU13,$Q$3:Q13,"S")</f>
        <v>16.000000000000028</v>
      </c>
      <c r="BK12" s="87">
        <f>SUMIFS($AU$3:AU13,$P$3:P13,"W")</f>
        <v>16.000000000000028</v>
      </c>
      <c r="BL12" s="87">
        <f>SUMIFS($AU$3:AU13,$P$3:P13,"R")</f>
        <v>256</v>
      </c>
      <c r="BM12" s="87">
        <f>SUMIFS($AU$3:AU13,$AQ$3:AQ13,"M")</f>
        <v>271.99999999999989</v>
      </c>
      <c r="BN12" s="87">
        <f>SUMIFS($AU$3:AU13,$AQ$3:AQ13,"H")</f>
        <v>-255.99999999999986</v>
      </c>
      <c r="BO12" s="87">
        <f>SUMIFS($AU$3:AU13,$AQ$3:AQ13,"D")</f>
        <v>0</v>
      </c>
      <c r="BP12" s="87">
        <f>SUMIFS($AU$3:AU15,$AQ$3:AQ15,"W")</f>
        <v>256</v>
      </c>
      <c r="BQ12" s="87">
        <f>SUMIFS($AU$3:AU13,$Q$3:Q13,"O")</f>
        <v>0</v>
      </c>
      <c r="BR12" s="87">
        <f>SUMIFS($AU$3:AU13,$AA$3:AA13,"*")</f>
        <v>608</v>
      </c>
      <c r="BS12" s="87">
        <f>SUMIFS($AU$3:AU13,$AB$3:AB13,"*")</f>
        <v>0</v>
      </c>
      <c r="BT12" s="87">
        <f>SUMIFS($AU$3:AU13,$AC$3:AC13,"*")</f>
        <v>-336</v>
      </c>
      <c r="BU12" s="87">
        <f>SUMIFS($AU$3:AU13,$AA$3:AA13,"*",$AB$3:AB13,"*")</f>
        <v>0</v>
      </c>
      <c r="BV12" s="87">
        <f>SUMIFS($AU$3:AU13,$AA$3:AA13,"*",$AC$3:AC13,"*")</f>
        <v>0</v>
      </c>
      <c r="BW12" s="87">
        <f>SUMIFS($AU$3:AU13,$AB$3:AB13,"*",$AC$3:AC13,"*")</f>
        <v>0</v>
      </c>
      <c r="BX12" s="87">
        <f>SUMIFS($AV$3:AV13,$Q$3:Q13,"F")</f>
        <v>7.3142857142857149</v>
      </c>
      <c r="BY12" s="87">
        <f>SUMIFS($AV$3:AV13,$Q$3:Q13,"S")</f>
        <v>13.866666666666681</v>
      </c>
      <c r="BZ12" s="87">
        <f>SUMIFS($AV$3:AV13,$Q$3:Q13,"O")</f>
        <v>0</v>
      </c>
    </row>
    <row r="13" spans="1:78" ht="18" customHeight="1">
      <c r="A13" s="45" t="s">
        <v>96</v>
      </c>
      <c r="B13" s="59">
        <v>45296</v>
      </c>
      <c r="C13" s="46" t="s">
        <v>147</v>
      </c>
      <c r="D13" s="46" t="s">
        <v>115</v>
      </c>
      <c r="E13" s="66"/>
      <c r="F13" s="47"/>
      <c r="G13" s="71" t="s">
        <v>99</v>
      </c>
      <c r="H13" s="49"/>
      <c r="I13" s="49"/>
      <c r="J13" s="49"/>
      <c r="K13" s="50"/>
      <c r="L13" s="49">
        <v>1</v>
      </c>
      <c r="M13" s="49"/>
      <c r="N13" s="49"/>
      <c r="O13" s="50" t="s">
        <v>100</v>
      </c>
      <c r="P13" s="50" t="s">
        <v>101</v>
      </c>
      <c r="Q13" s="50" t="s">
        <v>102</v>
      </c>
      <c r="R13" s="50">
        <v>12</v>
      </c>
      <c r="S13" s="50">
        <v>0</v>
      </c>
      <c r="T13" s="50">
        <v>12</v>
      </c>
      <c r="U13" s="50" t="s">
        <v>102</v>
      </c>
      <c r="V13" s="50"/>
      <c r="W13" s="50"/>
      <c r="X13" s="50"/>
      <c r="Y13" s="51">
        <f>IF(ISBLANK(O13),"",(IF(O13=UPPER("IB"),0.005,0.01)))</f>
        <v>0.01</v>
      </c>
      <c r="Z13" s="52">
        <f>IF(ISBLANK(O13),"",IF(O13="IB",8.63*200,IF(O13="IR",16*100,IF(O13="YT",20*100,IF(O13="YT-XT",24*200,IF(O13="TED",80*100))))))</f>
        <v>1600</v>
      </c>
      <c r="AA13" s="52" t="s">
        <v>148</v>
      </c>
      <c r="AB13" s="52"/>
      <c r="AC13" s="52"/>
      <c r="AD13" s="231">
        <v>-0.05</v>
      </c>
      <c r="AE13" s="49"/>
      <c r="AF13" s="84"/>
      <c r="AG13" s="49"/>
      <c r="AH13" s="49"/>
      <c r="AI13" s="49"/>
      <c r="AJ13" s="226"/>
      <c r="AK13" s="49"/>
      <c r="AL13" s="113"/>
      <c r="AM13" s="113"/>
      <c r="AN13" s="218"/>
      <c r="AO13" s="49"/>
      <c r="AP13" s="49" t="s">
        <v>149</v>
      </c>
      <c r="AQ13" s="84" t="str">
        <f>UPPER(RIGHT(Journal_Live[[#This Row],[DURATION ]]))</f>
        <v>M</v>
      </c>
      <c r="AR13" s="49" t="s">
        <v>150</v>
      </c>
      <c r="AS13" s="55">
        <f>((-0.06*7)+(-0.07*5))/12</f>
        <v>-6.4166666666666664E-2</v>
      </c>
      <c r="AT13" s="55">
        <f>IF(ISBLANK(AS13),,IF(U13="S",AD13-AS13,AS13-AD13))</f>
        <v>1.4166666666666661E-2</v>
      </c>
      <c r="AU13" s="54">
        <f>AV13*R13</f>
        <v>271.99999999999989</v>
      </c>
      <c r="AV13" s="56">
        <f>IF(ISBLANK(AS13),,(AT13*Z13))</f>
        <v>22.666666666666657</v>
      </c>
      <c r="AW13" s="57" t="s">
        <v>101</v>
      </c>
      <c r="AX13" s="96" t="s">
        <v>151</v>
      </c>
      <c r="AY13" s="96"/>
      <c r="AZ13" s="96"/>
      <c r="BA13" s="96"/>
      <c r="BB13" s="96"/>
      <c r="BC13" s="96"/>
      <c r="BD13" s="96"/>
      <c r="BE13" s="96"/>
      <c r="BF13" s="100"/>
      <c r="BG13" s="94">
        <f>SUM($AV$4:AV13)</f>
        <v>21.180952380952398</v>
      </c>
      <c r="BH13" s="95">
        <f>SUM($AU$4:AU13)</f>
        <v>272</v>
      </c>
      <c r="BI13" s="80">
        <f>SUMIFS($AU$3:AU14,$Q$3:Q14,"F")</f>
        <v>256</v>
      </c>
      <c r="BJ13" s="80">
        <f>SUMIFS($AU$3:AU14,$Q$3:Q14,"S")</f>
        <v>16.000000000000028</v>
      </c>
      <c r="BK13" s="87">
        <f>SUMIFS($AU$3:AU14,$P$3:P14,"W")</f>
        <v>16.000000000000028</v>
      </c>
      <c r="BL13" s="87">
        <f>SUMIFS($AU$3:AU14,$P$3:P14,"R")</f>
        <v>256</v>
      </c>
      <c r="BM13" s="87">
        <f>SUMIFS($AU$3:AU14,$AQ$3:AQ14,"M")</f>
        <v>271.99999999999989</v>
      </c>
      <c r="BN13" s="87">
        <f>SUMIFS($AU$3:AU14,$AQ$3:AQ14,"H")</f>
        <v>-255.99999999999986</v>
      </c>
      <c r="BO13" s="87">
        <f>SUMIFS($AU$3:AU14,$AQ$3:AQ14,"D")</f>
        <v>0</v>
      </c>
      <c r="BP13" s="87">
        <f>SUMIFS($AU$3:AU16,$AQ$3:AQ16,"W")</f>
        <v>256</v>
      </c>
      <c r="BQ13" s="87">
        <f>SUMIFS($AU$3:AU14,$Q$3:Q14,"O")</f>
        <v>0</v>
      </c>
      <c r="BR13" s="87">
        <f>SUMIFS($AU$3:AU14,$AA$3:AA14,"*")</f>
        <v>608</v>
      </c>
      <c r="BS13" s="87">
        <f>SUMIFS($AU$3:AU14,$AB$3:AB14,"*")</f>
        <v>0</v>
      </c>
      <c r="BT13" s="87">
        <f>SUMIFS($AU$3:AU14,$AC$3:AC14,"*")</f>
        <v>-336</v>
      </c>
      <c r="BU13" s="87">
        <f>SUMIFS($AU$3:AU14,$AA$3:AA14,"*",$AB$3:AB14,"*")</f>
        <v>0</v>
      </c>
      <c r="BV13" s="87">
        <f>SUMIFS($AU$3:AU14,$AA$3:AA14,"*",$AC$3:AC14,"*")</f>
        <v>0</v>
      </c>
      <c r="BW13" s="87">
        <f>SUMIFS($AU$3:AU14,$AB$3:AB14,"*",$AC$3:AC14,"*")</f>
        <v>0</v>
      </c>
      <c r="BX13" s="87">
        <f>SUMIFS($AV$3:AV14,$Q$3:Q14,"F")</f>
        <v>7.3142857142857149</v>
      </c>
      <c r="BY13" s="87">
        <f>SUMIFS($AV$3:AV14,$Q$3:Q14,"S")</f>
        <v>13.866666666666681</v>
      </c>
      <c r="BZ13" s="87">
        <f>SUMIFS($AV$3:AV14,$Q$3:Q14,"O")</f>
        <v>0</v>
      </c>
    </row>
    <row r="14" spans="1:78" ht="18" customHeight="1">
      <c r="A14" s="45" t="s">
        <v>96</v>
      </c>
      <c r="B14" s="59">
        <v>45296</v>
      </c>
      <c r="C14" s="46" t="s">
        <v>152</v>
      </c>
      <c r="D14" s="46" t="s">
        <v>115</v>
      </c>
      <c r="E14" s="66" t="s">
        <v>153</v>
      </c>
      <c r="F14" s="47" t="s">
        <v>154</v>
      </c>
      <c r="G14" s="48"/>
      <c r="H14" s="49"/>
      <c r="I14" s="49"/>
      <c r="J14" s="49">
        <v>1</v>
      </c>
      <c r="K14" s="50" t="s">
        <v>155</v>
      </c>
      <c r="L14" s="49"/>
      <c r="M14" s="49"/>
      <c r="N14" s="49"/>
      <c r="O14" s="50"/>
      <c r="P14" s="50"/>
      <c r="Q14" s="50"/>
      <c r="R14" s="50"/>
      <c r="S14" s="50"/>
      <c r="T14" s="50"/>
      <c r="U14" s="50"/>
      <c r="V14" s="50"/>
      <c r="W14" s="50"/>
      <c r="X14" s="50"/>
      <c r="Y14" s="50"/>
      <c r="Z14" s="50"/>
      <c r="AA14" s="52"/>
      <c r="AB14" s="52"/>
      <c r="AC14" s="52"/>
      <c r="AD14" s="231"/>
      <c r="AE14" s="49"/>
      <c r="AF14" s="84"/>
      <c r="AG14" s="49"/>
      <c r="AH14" s="49"/>
      <c r="AI14" s="49"/>
      <c r="AJ14" s="226"/>
      <c r="AK14" s="49"/>
      <c r="AL14" s="113"/>
      <c r="AM14" s="113"/>
      <c r="AN14" s="218"/>
      <c r="AO14" s="49"/>
      <c r="AP14" s="49"/>
      <c r="AQ14" s="84" t="str">
        <f>UPPER(RIGHT(Journal_Live[[#This Row],[DURATION ]]))</f>
        <v/>
      </c>
      <c r="AR14" s="49"/>
      <c r="AS14" s="55"/>
      <c r="AT14" s="55"/>
      <c r="AU14" s="54"/>
      <c r="AV14" s="56"/>
      <c r="AW14" s="57"/>
      <c r="AX14" s="96" t="s">
        <v>156</v>
      </c>
      <c r="AY14" s="96" t="s">
        <v>157</v>
      </c>
      <c r="AZ14" s="96"/>
      <c r="BA14" s="96"/>
      <c r="BB14" s="96"/>
      <c r="BC14" s="96"/>
      <c r="BD14" s="96"/>
      <c r="BE14" s="96"/>
      <c r="BF14" s="100"/>
      <c r="BG14" s="94">
        <f>SUM($AV$4:AV14)</f>
        <v>21.180952380952398</v>
      </c>
      <c r="BH14" s="95">
        <f>SUM($AU$4:AU14)</f>
        <v>272</v>
      </c>
      <c r="BI14" s="80">
        <f>SUMIFS($AU$3:AU15,$Q$3:Q15,"F")</f>
        <v>256</v>
      </c>
      <c r="BJ14" s="80">
        <f>SUMIFS($AU$3:AU15,$Q$3:Q15,"S")</f>
        <v>16.000000000000028</v>
      </c>
      <c r="BK14" s="87">
        <f>SUMIFS($AU$3:AU15,$P$3:P15,"W")</f>
        <v>16.000000000000028</v>
      </c>
      <c r="BL14" s="87">
        <f>SUMIFS($AU$3:AU15,$P$3:P15,"R")</f>
        <v>256</v>
      </c>
      <c r="BM14" s="87">
        <f>SUMIFS($AU$3:AU15,$AQ$3:AQ15,"M")</f>
        <v>271.99999999999989</v>
      </c>
      <c r="BN14" s="87">
        <f>SUMIFS($AU$3:AU15,$AQ$3:AQ15,"H")</f>
        <v>-255.99999999999986</v>
      </c>
      <c r="BO14" s="87">
        <f>SUMIFS($AU$3:AU15,$AQ$3:AQ15,"D")</f>
        <v>0</v>
      </c>
      <c r="BP14" s="87">
        <f>SUMIFS($AU$3:AU17,$AQ$3:AQ17,"W")</f>
        <v>256</v>
      </c>
      <c r="BQ14" s="87">
        <f>SUMIFS($AU$3:AU15,$Q$3:Q15,"O")</f>
        <v>0</v>
      </c>
      <c r="BR14" s="87">
        <f>SUMIFS($AU$3:AU15,$AA$3:AA15,"*")</f>
        <v>608</v>
      </c>
      <c r="BS14" s="87">
        <f>SUMIFS($AU$3:AU15,$AB$3:AB15,"*")</f>
        <v>0</v>
      </c>
      <c r="BT14" s="87">
        <f>SUMIFS($AU$3:AU15,$AC$3:AC15,"*")</f>
        <v>-336</v>
      </c>
      <c r="BU14" s="87">
        <f>SUMIFS($AU$3:AU15,$AA$3:AA15,"*",$AB$3:AB15,"*")</f>
        <v>0</v>
      </c>
      <c r="BV14" s="87">
        <f>SUMIFS($AU$3:AU15,$AA$3:AA15,"*",$AC$3:AC15,"*")</f>
        <v>0</v>
      </c>
      <c r="BW14" s="87">
        <f>SUMIFS($AU$3:AU15,$AB$3:AB15,"*",$AC$3:AC15,"*")</f>
        <v>0</v>
      </c>
      <c r="BX14" s="87">
        <f>SUMIFS($AV$3:AV15,$Q$3:Q15,"F")</f>
        <v>7.3142857142857149</v>
      </c>
      <c r="BY14" s="87">
        <f>SUMIFS($AV$3:AV15,$Q$3:Q15,"S")</f>
        <v>13.866666666666681</v>
      </c>
      <c r="BZ14" s="87">
        <f>SUMIFS($AV$3:AV15,$Q$3:Q15,"O")</f>
        <v>0</v>
      </c>
    </row>
    <row r="15" spans="1:78" ht="18" customHeight="1">
      <c r="A15" s="45" t="s">
        <v>96</v>
      </c>
      <c r="B15" s="59"/>
      <c r="C15" s="46"/>
      <c r="D15" s="46"/>
      <c r="E15" s="66" t="s">
        <v>158</v>
      </c>
      <c r="F15" s="47" t="s">
        <v>159</v>
      </c>
      <c r="G15" s="48"/>
      <c r="H15" s="49">
        <v>1</v>
      </c>
      <c r="I15" s="49"/>
      <c r="J15" s="49"/>
      <c r="K15" s="50" t="s">
        <v>142</v>
      </c>
      <c r="L15" s="49"/>
      <c r="M15" s="49"/>
      <c r="N15" s="49"/>
      <c r="O15" s="50"/>
      <c r="P15" s="50"/>
      <c r="Q15" s="50"/>
      <c r="R15" s="50"/>
      <c r="S15" s="50"/>
      <c r="T15" s="50"/>
      <c r="U15" s="50"/>
      <c r="V15" s="50"/>
      <c r="W15" s="50"/>
      <c r="X15" s="50"/>
      <c r="Y15" s="50"/>
      <c r="Z15" s="50"/>
      <c r="AA15" s="52"/>
      <c r="AB15" s="52"/>
      <c r="AC15" s="52"/>
      <c r="AD15" s="231"/>
      <c r="AE15" s="49"/>
      <c r="AF15" s="84"/>
      <c r="AG15" s="49"/>
      <c r="AH15" s="49"/>
      <c r="AI15" s="49"/>
      <c r="AJ15" s="226"/>
      <c r="AK15" s="49"/>
      <c r="AL15" s="113"/>
      <c r="AM15" s="113"/>
      <c r="AN15" s="218"/>
      <c r="AO15" s="49"/>
      <c r="AP15" s="49"/>
      <c r="AQ15" s="84" t="str">
        <f>UPPER(RIGHT(Journal_Live[[#This Row],[DURATION ]]))</f>
        <v/>
      </c>
      <c r="AR15" s="49"/>
      <c r="AS15" s="55"/>
      <c r="AT15" s="55"/>
      <c r="AU15" s="54"/>
      <c r="AV15" s="56"/>
      <c r="AW15" s="57"/>
      <c r="AX15" s="96" t="s">
        <v>160</v>
      </c>
      <c r="AY15" s="96" t="s">
        <v>161</v>
      </c>
      <c r="AZ15" s="96" t="s">
        <v>162</v>
      </c>
      <c r="BA15" s="96"/>
      <c r="BB15" s="96"/>
      <c r="BC15" s="96"/>
      <c r="BD15" s="96"/>
      <c r="BE15" s="96"/>
      <c r="BF15" s="100"/>
      <c r="BG15" s="94">
        <f>SUM($AV$4:AV15)</f>
        <v>21.180952380952398</v>
      </c>
      <c r="BH15" s="95">
        <f>SUM($AU$4:AU15)</f>
        <v>272</v>
      </c>
      <c r="BI15" s="80">
        <f>SUMIFS($AU$3:AU16,$Q$3:Q16,"F")</f>
        <v>256</v>
      </c>
      <c r="BJ15" s="80">
        <f>SUMIFS($AU$3:AU16,$Q$3:Q16,"S")</f>
        <v>208.0000000000002</v>
      </c>
      <c r="BK15" s="87">
        <f>SUMIFS($AU$3:AU16,$P$3:P16,"W")</f>
        <v>208.0000000000002</v>
      </c>
      <c r="BL15" s="87">
        <f>SUMIFS($AU$3:AU16,$P$3:P16,"R")</f>
        <v>256</v>
      </c>
      <c r="BM15" s="87">
        <f>SUMIFS($AU$3:AU16,$AQ$3:AQ16,"M")</f>
        <v>271.99999999999989</v>
      </c>
      <c r="BN15" s="87">
        <f>SUMIFS($AU$3:AU16,$AQ$3:AQ16,"H")</f>
        <v>-63.999999999999687</v>
      </c>
      <c r="BO15" s="87">
        <f>SUMIFS($AU$3:AU16,$AQ$3:AQ16,"D")</f>
        <v>0</v>
      </c>
      <c r="BP15" s="87">
        <f>SUMIFS($AU$3:AU18,$AQ$3:AQ18,"W")</f>
        <v>256</v>
      </c>
      <c r="BQ15" s="87">
        <f>SUMIFS($AU$3:AU16,$Q$3:Q16,"O")</f>
        <v>0</v>
      </c>
      <c r="BR15" s="87">
        <f>SUMIFS($AU$3:AU16,$AA$3:AA16,"*")</f>
        <v>800.00000000000023</v>
      </c>
      <c r="BS15" s="87">
        <f>SUMIFS($AU$3:AU16,$AB$3:AB16,"*")</f>
        <v>0</v>
      </c>
      <c r="BT15" s="87">
        <f>SUMIFS($AU$3:AU16,$AC$3:AC16,"*")</f>
        <v>-336</v>
      </c>
      <c r="BU15" s="87">
        <f>SUMIFS($AU$3:AU16,$AA$3:AA16,"*",$AB$3:AB16,"*")</f>
        <v>0</v>
      </c>
      <c r="BV15" s="87">
        <f>SUMIFS($AU$3:AU16,$AA$3:AA16,"*",$AC$3:AC16,"*")</f>
        <v>0</v>
      </c>
      <c r="BW15" s="87">
        <f>SUMIFS($AU$3:AU16,$AB$3:AB16,"*",$AC$3:AC16,"*")</f>
        <v>0</v>
      </c>
      <c r="BX15" s="87">
        <f>SUMIFS($AV$3:AV16,$Q$3:Q16,"F")</f>
        <v>7.3142857142857149</v>
      </c>
      <c r="BY15" s="87">
        <f>SUMIFS($AV$3:AV16,$Q$3:Q16,"S")</f>
        <v>29.866666666666696</v>
      </c>
      <c r="BZ15" s="87">
        <f>SUMIFS($AV$3:AV16,$Q$3:Q16,"O")</f>
        <v>0</v>
      </c>
    </row>
    <row r="16" spans="1:78" ht="18" customHeight="1">
      <c r="A16" s="45" t="s">
        <v>96</v>
      </c>
      <c r="B16" s="59">
        <v>45296</v>
      </c>
      <c r="C16" s="46" t="s">
        <v>163</v>
      </c>
      <c r="D16" s="46" t="s">
        <v>115</v>
      </c>
      <c r="E16" s="66"/>
      <c r="F16" s="47"/>
      <c r="G16" s="71" t="s">
        <v>99</v>
      </c>
      <c r="H16" s="49"/>
      <c r="I16" s="49"/>
      <c r="J16" s="49"/>
      <c r="K16" s="50"/>
      <c r="L16" s="49">
        <v>1</v>
      </c>
      <c r="M16" s="49"/>
      <c r="N16" s="49"/>
      <c r="O16" s="50" t="s">
        <v>100</v>
      </c>
      <c r="P16" s="50" t="s">
        <v>101</v>
      </c>
      <c r="Q16" s="50" t="s">
        <v>102</v>
      </c>
      <c r="R16" s="50">
        <v>12</v>
      </c>
      <c r="S16" s="50">
        <v>0</v>
      </c>
      <c r="T16" s="50">
        <v>12</v>
      </c>
      <c r="U16" s="50" t="s">
        <v>22</v>
      </c>
      <c r="V16" s="50"/>
      <c r="W16" s="50"/>
      <c r="X16" s="50"/>
      <c r="Y16" s="51">
        <f>IF(ISBLANK(O16),"",(IF(O16=UPPER("IB"),0.005,0.01)))</f>
        <v>0.01</v>
      </c>
      <c r="Z16" s="52">
        <f>IF(ISBLANK(O16),"",IF(O16="IB",8.63*200,IF(O16="IR",16*100,IF(O16="YT",20*100,IF(O16="YT-XT",24*200,IF(O16="TED",80*100))))))</f>
        <v>1600</v>
      </c>
      <c r="AA16" s="52" t="s">
        <v>164</v>
      </c>
      <c r="AB16" s="52"/>
      <c r="AC16" s="52"/>
      <c r="AD16" s="231">
        <v>-0.1</v>
      </c>
      <c r="AE16" s="49"/>
      <c r="AF16" s="84"/>
      <c r="AG16" s="49"/>
      <c r="AH16" s="49"/>
      <c r="AI16" s="49"/>
      <c r="AJ16" s="226"/>
      <c r="AK16" s="49"/>
      <c r="AL16" s="113"/>
      <c r="AM16" s="113"/>
      <c r="AN16" s="218"/>
      <c r="AO16" s="49"/>
      <c r="AP16" s="49" t="s">
        <v>165</v>
      </c>
      <c r="AQ16" s="84" t="str">
        <f>UPPER(RIGHT(Journal_Live[[#This Row],[DURATION ]]))</f>
        <v>H</v>
      </c>
      <c r="AR16" s="49" t="s">
        <v>166</v>
      </c>
      <c r="AS16" s="55">
        <v>-0.09</v>
      </c>
      <c r="AT16" s="55">
        <f>IF(ISBLANK(AS16),,IF(U16="S",AD16-AS16,AS16-AD16))</f>
        <v>1.0000000000000009E-2</v>
      </c>
      <c r="AU16" s="54">
        <f>AV16*R16</f>
        <v>192.00000000000017</v>
      </c>
      <c r="AV16" s="56">
        <f>IF(ISBLANK(AS16),,(AT16*Z16))</f>
        <v>16.000000000000014</v>
      </c>
      <c r="AW16" s="57" t="s">
        <v>101</v>
      </c>
      <c r="AX16" s="96"/>
      <c r="AY16" s="96"/>
      <c r="AZ16" s="96"/>
      <c r="BA16" s="96"/>
      <c r="BB16" s="96"/>
      <c r="BC16" s="96"/>
      <c r="BD16" s="96"/>
      <c r="BE16" s="96"/>
      <c r="BF16" s="100"/>
      <c r="BG16" s="94">
        <f>SUM($AV$4:AV16)</f>
        <v>37.180952380952412</v>
      </c>
      <c r="BH16" s="95">
        <f>SUM($AU$4:AU16)</f>
        <v>464.00000000000017</v>
      </c>
      <c r="BI16" s="80">
        <f>SUMIFS($AU$3:AU17,$Q$3:Q17,"F")</f>
        <v>256</v>
      </c>
      <c r="BJ16" s="80">
        <f>SUMIFS($AU$3:AU17,$Q$3:Q17,"S")</f>
        <v>208.0000000000002</v>
      </c>
      <c r="BK16" s="87">
        <f>SUMIFS($AU$3:AU17,$P$3:P17,"W")</f>
        <v>208.0000000000002</v>
      </c>
      <c r="BL16" s="87">
        <f>SUMIFS($AU$3:AU17,$P$3:P17,"R")</f>
        <v>256</v>
      </c>
      <c r="BM16" s="87">
        <f>SUMIFS($AU$3:AU17,$AQ$3:AQ17,"M")</f>
        <v>271.99999999999989</v>
      </c>
      <c r="BN16" s="87">
        <f>SUMIFS($AU$3:AU17,$AQ$3:AQ17,"H")</f>
        <v>-63.999999999999687</v>
      </c>
      <c r="BO16" s="87">
        <f>SUMIFS($AU$3:AU17,$AQ$3:AQ17,"D")</f>
        <v>0</v>
      </c>
      <c r="BP16" s="87">
        <f>SUMIFS($AU$3:AU19,$AQ$3:AQ19,"W")</f>
        <v>256</v>
      </c>
      <c r="BQ16" s="87">
        <f>SUMIFS($AU$3:AU17,$Q$3:Q17,"O")</f>
        <v>0</v>
      </c>
      <c r="BR16" s="87">
        <f>SUMIFS($AU$3:AU17,$AA$3:AA17,"*")</f>
        <v>800.00000000000023</v>
      </c>
      <c r="BS16" s="87">
        <f>SUMIFS($AU$3:AU17,$AB$3:AB17,"*")</f>
        <v>0</v>
      </c>
      <c r="BT16" s="87">
        <f>SUMIFS($AU$3:AU17,$AC$3:AC17,"*")</f>
        <v>-336</v>
      </c>
      <c r="BU16" s="87">
        <f>SUMIFS($AU$3:AU17,$AA$3:AA17,"*",$AB$3:AB17,"*")</f>
        <v>0</v>
      </c>
      <c r="BV16" s="87">
        <f>SUMIFS($AU$3:AU17,$AA$3:AA17,"*",$AC$3:AC17,"*")</f>
        <v>0</v>
      </c>
      <c r="BW16" s="87">
        <f>SUMIFS($AU$3:AU17,$AB$3:AB17,"*",$AC$3:AC17,"*")</f>
        <v>0</v>
      </c>
      <c r="BX16" s="87">
        <f>SUMIFS($AV$3:AV17,$Q$3:Q17,"F")</f>
        <v>7.3142857142857149</v>
      </c>
      <c r="BY16" s="87">
        <f>SUMIFS($AV$3:AV17,$Q$3:Q17,"S")</f>
        <v>29.866666666666696</v>
      </c>
      <c r="BZ16" s="87">
        <f>SUMIFS($AV$3:AV17,$Q$3:Q17,"O")</f>
        <v>0</v>
      </c>
    </row>
    <row r="17" spans="1:78" ht="18" customHeight="1">
      <c r="A17" s="45" t="s">
        <v>96</v>
      </c>
      <c r="B17" s="59"/>
      <c r="C17" s="46"/>
      <c r="D17" s="46"/>
      <c r="E17" s="66"/>
      <c r="F17" s="47"/>
      <c r="G17" s="48"/>
      <c r="H17" s="49"/>
      <c r="I17" s="49"/>
      <c r="J17" s="49"/>
      <c r="K17" s="50"/>
      <c r="L17" s="49"/>
      <c r="M17" s="49"/>
      <c r="N17" s="49"/>
      <c r="O17" s="50"/>
      <c r="P17" s="50"/>
      <c r="Q17" s="50"/>
      <c r="R17" s="50"/>
      <c r="S17" s="50"/>
      <c r="T17" s="50"/>
      <c r="U17" s="50"/>
      <c r="V17" s="50"/>
      <c r="W17" s="50"/>
      <c r="X17" s="50"/>
      <c r="Y17" s="50"/>
      <c r="Z17" s="50"/>
      <c r="AA17" s="52"/>
      <c r="AB17" s="52"/>
      <c r="AC17" s="52"/>
      <c r="AD17" s="231"/>
      <c r="AE17" s="49"/>
      <c r="AF17" s="84"/>
      <c r="AG17" s="49"/>
      <c r="AH17" s="49"/>
      <c r="AI17" s="49"/>
      <c r="AJ17" s="226"/>
      <c r="AK17" s="49"/>
      <c r="AL17" s="113"/>
      <c r="AM17" s="113"/>
      <c r="AN17" s="218"/>
      <c r="AO17" s="49"/>
      <c r="AP17" s="49"/>
      <c r="AQ17" s="84" t="str">
        <f>UPPER(RIGHT(Journal_Live[[#This Row],[DURATION ]]))</f>
        <v/>
      </c>
      <c r="AR17" s="49"/>
      <c r="AS17" s="55"/>
      <c r="AT17" s="55"/>
      <c r="AU17" s="54"/>
      <c r="AV17" s="56"/>
      <c r="AW17" s="57"/>
      <c r="AX17" s="96" t="s">
        <v>167</v>
      </c>
      <c r="AY17" s="96" t="s">
        <v>168</v>
      </c>
      <c r="AZ17" s="96"/>
      <c r="BA17" s="96"/>
      <c r="BB17" s="96"/>
      <c r="BC17" s="96"/>
      <c r="BD17" s="96"/>
      <c r="BE17" s="96"/>
      <c r="BF17" s="100"/>
      <c r="BG17" s="94">
        <f>SUM($AV$4:AV17)</f>
        <v>37.180952380952412</v>
      </c>
      <c r="BH17" s="95">
        <f>SUM($AU$4:AU17)</f>
        <v>464.00000000000017</v>
      </c>
      <c r="BI17" s="80">
        <f>SUMIFS($AU$3:AU18,$Q$3:Q18,"F")</f>
        <v>256</v>
      </c>
      <c r="BJ17" s="80">
        <f>SUMIFS($AU$3:AU18,$Q$3:Q18,"S")</f>
        <v>208.0000000000002</v>
      </c>
      <c r="BK17" s="87">
        <f>SUMIFS($AU$3:AU18,$P$3:P18,"W")</f>
        <v>208.0000000000002</v>
      </c>
      <c r="BL17" s="87">
        <f>SUMIFS($AU$3:AU18,$P$3:P18,"R")</f>
        <v>256</v>
      </c>
      <c r="BM17" s="87">
        <f>SUMIFS($AU$3:AU18,$AQ$3:AQ18,"M")</f>
        <v>271.99999999999989</v>
      </c>
      <c r="BN17" s="87">
        <f>SUMIFS($AU$3:AU18,$AQ$3:AQ18,"H")</f>
        <v>-63.999999999999687</v>
      </c>
      <c r="BO17" s="87">
        <f>SUMIFS($AU$3:AU18,$AQ$3:AQ18,"D")</f>
        <v>0</v>
      </c>
      <c r="BP17" s="87">
        <f>SUMIFS($AU$3:AU20,$AQ$3:AQ20,"W")</f>
        <v>256</v>
      </c>
      <c r="BQ17" s="87">
        <f>SUMIFS($AU$3:AU18,$Q$3:Q18,"O")</f>
        <v>0</v>
      </c>
      <c r="BR17" s="87">
        <f>SUMIFS($AU$3:AU18,$AA$3:AA18,"*")</f>
        <v>800.00000000000023</v>
      </c>
      <c r="BS17" s="87">
        <f>SUMIFS($AU$3:AU18,$AB$3:AB18,"*")</f>
        <v>0</v>
      </c>
      <c r="BT17" s="87">
        <f>SUMIFS($AU$3:AU18,$AC$3:AC18,"*")</f>
        <v>-336</v>
      </c>
      <c r="BU17" s="87">
        <f>SUMIFS($AU$3:AU18,$AA$3:AA18,"*",$AB$3:AB18,"*")</f>
        <v>0</v>
      </c>
      <c r="BV17" s="87">
        <f>SUMIFS($AU$3:AU18,$AA$3:AA18,"*",$AC$3:AC18,"*")</f>
        <v>0</v>
      </c>
      <c r="BW17" s="87">
        <f>SUMIFS($AU$3:AU18,$AB$3:AB18,"*",$AC$3:AC18,"*")</f>
        <v>0</v>
      </c>
      <c r="BX17" s="87">
        <f>SUMIFS($AV$3:AV18,$Q$3:Q18,"F")</f>
        <v>7.3142857142857149</v>
      </c>
      <c r="BY17" s="87">
        <f>SUMIFS($AV$3:AV18,$Q$3:Q18,"S")</f>
        <v>29.866666666666696</v>
      </c>
      <c r="BZ17" s="87">
        <f>SUMIFS($AV$3:AV18,$Q$3:Q18,"O")</f>
        <v>0</v>
      </c>
    </row>
    <row r="18" spans="1:78" ht="18" customHeight="1">
      <c r="A18" s="45" t="s">
        <v>96</v>
      </c>
      <c r="B18" s="59"/>
      <c r="C18" s="46"/>
      <c r="D18" s="46"/>
      <c r="E18" s="66"/>
      <c r="F18" s="47"/>
      <c r="G18" s="48"/>
      <c r="H18" s="49"/>
      <c r="I18" s="49"/>
      <c r="J18" s="49"/>
      <c r="K18" s="50"/>
      <c r="L18" s="49"/>
      <c r="M18" s="49"/>
      <c r="N18" s="49"/>
      <c r="O18" s="50"/>
      <c r="P18" s="50"/>
      <c r="Q18" s="50"/>
      <c r="R18" s="50"/>
      <c r="S18" s="50"/>
      <c r="T18" s="50"/>
      <c r="U18" s="50"/>
      <c r="V18" s="50"/>
      <c r="W18" s="50"/>
      <c r="X18" s="50"/>
      <c r="Y18" s="50"/>
      <c r="Z18" s="50"/>
      <c r="AA18" s="52"/>
      <c r="AB18" s="52"/>
      <c r="AC18" s="52"/>
      <c r="AD18" s="231"/>
      <c r="AE18" s="49"/>
      <c r="AF18" s="84"/>
      <c r="AG18" s="49"/>
      <c r="AH18" s="49"/>
      <c r="AI18" s="49"/>
      <c r="AJ18" s="226"/>
      <c r="AK18" s="49"/>
      <c r="AL18" s="113"/>
      <c r="AM18" s="113"/>
      <c r="AN18" s="218"/>
      <c r="AO18" s="49"/>
      <c r="AP18" s="49"/>
      <c r="AQ18" s="84" t="str">
        <f>UPPER(RIGHT(Journal_Live[[#This Row],[DURATION ]]))</f>
        <v/>
      </c>
      <c r="AR18" s="49"/>
      <c r="AS18" s="55"/>
      <c r="AT18" s="55"/>
      <c r="AU18" s="54"/>
      <c r="AV18" s="56"/>
      <c r="AW18" s="57"/>
      <c r="AX18" s="97" t="s">
        <v>169</v>
      </c>
      <c r="AY18" s="97" t="s">
        <v>170</v>
      </c>
      <c r="AZ18" s="97" t="s">
        <v>171</v>
      </c>
      <c r="BA18" s="97" t="s">
        <v>172</v>
      </c>
      <c r="BB18" s="97" t="s">
        <v>173</v>
      </c>
      <c r="BC18" s="97" t="s">
        <v>174</v>
      </c>
      <c r="BD18" s="96"/>
      <c r="BE18" s="96"/>
      <c r="BF18" s="100"/>
      <c r="BG18" s="94">
        <f>SUM($AV$4:AV18)</f>
        <v>37.180952380952412</v>
      </c>
      <c r="BH18" s="95">
        <f>SUM($AU$4:AU18)</f>
        <v>464.00000000000017</v>
      </c>
      <c r="BI18" s="80">
        <f>SUMIFS($AU$3:AU19,$Q$3:Q19,"F")</f>
        <v>256</v>
      </c>
      <c r="BJ18" s="80">
        <f>SUMIFS($AU$3:AU19,$Q$3:Q19,"S")</f>
        <v>784.00000000000023</v>
      </c>
      <c r="BK18" s="87">
        <f>SUMIFS($AU$3:AU19,$P$3:P19,"W")</f>
        <v>784.00000000000023</v>
      </c>
      <c r="BL18" s="87">
        <f>SUMIFS($AU$3:AU19,$P$3:P19,"R")</f>
        <v>256</v>
      </c>
      <c r="BM18" s="87">
        <f>SUMIFS($AU$3:AU19,$AQ$3:AQ19,"M")</f>
        <v>271.99999999999989</v>
      </c>
      <c r="BN18" s="87">
        <f>SUMIFS($AU$3:AU19,$AQ$3:AQ19,"H")</f>
        <v>512.00000000000034</v>
      </c>
      <c r="BO18" s="87">
        <f>SUMIFS($AU$3:AU19,$AQ$3:AQ19,"D")</f>
        <v>0</v>
      </c>
      <c r="BP18" s="87">
        <f>SUMIFS($AU$3:AU21,$AQ$3:AQ21,"W")</f>
        <v>256</v>
      </c>
      <c r="BQ18" s="87">
        <f>SUMIFS($AU$3:AU19,$Q$3:Q19,"O")</f>
        <v>0</v>
      </c>
      <c r="BR18" s="87">
        <f>SUMIFS($AU$3:AU19,$AA$3:AA19,"*")</f>
        <v>1376.0000000000002</v>
      </c>
      <c r="BS18" s="87">
        <f>SUMIFS($AU$3:AU19,$AB$3:AB19,"*")</f>
        <v>0</v>
      </c>
      <c r="BT18" s="87">
        <f>SUMIFS($AU$3:AU19,$AC$3:AC19,"*")</f>
        <v>-336</v>
      </c>
      <c r="BU18" s="87">
        <f>SUMIFS($AU$3:AU19,$AA$3:AA19,"*",$AB$3:AB19,"*")</f>
        <v>0</v>
      </c>
      <c r="BV18" s="87">
        <f>SUMIFS($AU$3:AU19,$AA$3:AA19,"*",$AC$3:AC19,"*")</f>
        <v>0</v>
      </c>
      <c r="BW18" s="87">
        <f>SUMIFS($AU$3:AU19,$AB$3:AB19,"*",$AC$3:AC19,"*")</f>
        <v>0</v>
      </c>
      <c r="BX18" s="87">
        <f>SUMIFS($AV$3:AV19,$Q$3:Q19,"F")</f>
        <v>7.3142857142857149</v>
      </c>
      <c r="BY18" s="87">
        <f>SUMIFS($AV$3:AV19,$Q$3:Q19,"S")</f>
        <v>53.866666666666696</v>
      </c>
      <c r="BZ18" s="87">
        <f>SUMIFS($AV$3:AV19,$Q$3:Q19,"O")</f>
        <v>0</v>
      </c>
    </row>
    <row r="19" spans="1:78" ht="18" customHeight="1">
      <c r="A19" s="45" t="s">
        <v>96</v>
      </c>
      <c r="B19" s="59">
        <v>45299</v>
      </c>
      <c r="C19" s="46" t="s">
        <v>175</v>
      </c>
      <c r="D19" s="46" t="s">
        <v>176</v>
      </c>
      <c r="E19" s="66"/>
      <c r="F19" s="47"/>
      <c r="G19" s="71" t="s">
        <v>111</v>
      </c>
      <c r="H19" s="49"/>
      <c r="I19" s="49"/>
      <c r="J19" s="49"/>
      <c r="K19" s="50"/>
      <c r="L19" s="49">
        <v>1</v>
      </c>
      <c r="M19" s="49"/>
      <c r="N19" s="49"/>
      <c r="O19" s="50" t="s">
        <v>100</v>
      </c>
      <c r="P19" s="50" t="s">
        <v>101</v>
      </c>
      <c r="Q19" s="50" t="s">
        <v>102</v>
      </c>
      <c r="R19" s="50">
        <v>24</v>
      </c>
      <c r="S19" s="50">
        <v>0</v>
      </c>
      <c r="T19" s="50">
        <v>12</v>
      </c>
      <c r="U19" s="50" t="s">
        <v>22</v>
      </c>
      <c r="V19" s="50"/>
      <c r="W19" s="50"/>
      <c r="X19" s="50"/>
      <c r="Y19" s="51">
        <f>IF(ISBLANK(O19),"",(IF(O19=UPPER("IB"),0.005,0.01)))</f>
        <v>0.01</v>
      </c>
      <c r="Z19" s="52">
        <f>IF(ISBLANK(O19),"",IF(O19="IB",8.63*200,IF(O19="IR",16*100,IF(O19="YT",20*100,IF(O19="YT-XT",24*200,IF(O19="TED",80*100))))))</f>
        <v>1600</v>
      </c>
      <c r="AA19" s="52" t="s">
        <v>177</v>
      </c>
      <c r="AB19" s="52"/>
      <c r="AC19" s="52"/>
      <c r="AD19" s="231">
        <v>-0.125</v>
      </c>
      <c r="AE19" s="49"/>
      <c r="AF19" s="84"/>
      <c r="AG19" s="49"/>
      <c r="AH19" s="49"/>
      <c r="AI19" s="49"/>
      <c r="AJ19" s="226"/>
      <c r="AK19" s="49"/>
      <c r="AL19" s="113"/>
      <c r="AM19" s="113"/>
      <c r="AN19" s="218"/>
      <c r="AO19" s="49"/>
      <c r="AP19" s="49" t="s">
        <v>178</v>
      </c>
      <c r="AQ19" s="84" t="str">
        <f>UPPER(RIGHT(Journal_Live[[#This Row],[DURATION ]]))</f>
        <v>H</v>
      </c>
      <c r="AR19" s="49" t="s">
        <v>179</v>
      </c>
      <c r="AS19" s="55">
        <v>-0.11</v>
      </c>
      <c r="AT19" s="55">
        <f>IF(ISBLANK(AS19),,IF(U19="S",AD19-AS19,AS19-AD19))</f>
        <v>1.4999999999999999E-2</v>
      </c>
      <c r="AU19" s="54">
        <f>AV19*R19</f>
        <v>576</v>
      </c>
      <c r="AV19" s="56">
        <f>IF(ISBLANK(AS19),,(AT19*Z19))</f>
        <v>24</v>
      </c>
      <c r="AW19" s="57" t="s">
        <v>101</v>
      </c>
      <c r="AX19" s="96"/>
      <c r="AY19" s="96"/>
      <c r="AZ19" s="96"/>
      <c r="BA19" s="96"/>
      <c r="BB19" s="96"/>
      <c r="BC19" s="96"/>
      <c r="BD19" s="96"/>
      <c r="BE19" s="96"/>
      <c r="BF19" s="100"/>
      <c r="BG19" s="94">
        <f>SUM($AV$4:AV19)</f>
        <v>61.180952380952412</v>
      </c>
      <c r="BH19" s="95">
        <f>SUM($AU$4:AU19)</f>
        <v>1040.0000000000002</v>
      </c>
      <c r="BI19" s="80">
        <f>SUMIFS($AU$3:AU20,$Q$3:Q20,"F")</f>
        <v>256</v>
      </c>
      <c r="BJ19" s="80">
        <f>SUMIFS($AU$3:AU20,$Q$3:Q20,"S")</f>
        <v>624.00000000000068</v>
      </c>
      <c r="BK19" s="87">
        <f>SUMIFS($AU$3:AU20,$P$3:P20,"W")</f>
        <v>624.00000000000068</v>
      </c>
      <c r="BL19" s="87">
        <f>SUMIFS($AU$3:AU20,$P$3:P20,"R")</f>
        <v>256</v>
      </c>
      <c r="BM19" s="87">
        <f>SUMIFS($AU$3:AU20,$AQ$3:AQ20,"M")</f>
        <v>271.99999999999989</v>
      </c>
      <c r="BN19" s="87">
        <f>SUMIFS($AU$3:AU20,$AQ$3:AQ20,"H")</f>
        <v>512.00000000000034</v>
      </c>
      <c r="BO19" s="87">
        <f>SUMIFS($AU$3:AU20,$AQ$3:AQ20,"D")</f>
        <v>-159.99999999999957</v>
      </c>
      <c r="BP19" s="87">
        <f>SUMIFS($AU$3:AU22,$AQ$3:AQ22,"W")</f>
        <v>256</v>
      </c>
      <c r="BQ19" s="87">
        <f>SUMIFS($AU$3:AU20,$Q$3:Q20,"O")</f>
        <v>0</v>
      </c>
      <c r="BR19" s="87">
        <f>SUMIFS($AU$3:AU20,$AA$3:AA20,"*")</f>
        <v>1376.0000000000002</v>
      </c>
      <c r="BS19" s="87">
        <f>SUMIFS($AU$3:AU20,$AB$3:AB20,"*")</f>
        <v>-159.99999999999957</v>
      </c>
      <c r="BT19" s="87">
        <f>SUMIFS($AU$3:AU20,$AC$3:AC20,"*")</f>
        <v>-336</v>
      </c>
      <c r="BU19" s="87">
        <f>SUMIFS($AU$3:AU20,$AA$3:AA20,"*",$AB$3:AB20,"*")</f>
        <v>0</v>
      </c>
      <c r="BV19" s="87">
        <f>SUMIFS($AU$3:AU20,$AA$3:AA20,"*",$AC$3:AC20,"*")</f>
        <v>0</v>
      </c>
      <c r="BW19" s="87">
        <f>SUMIFS($AU$3:AU20,$AB$3:AB20,"*",$AC$3:AC20,"*")</f>
        <v>0</v>
      </c>
      <c r="BX19" s="87">
        <f>SUMIFS($AV$3:AV20,$Q$3:Q20,"F")</f>
        <v>7.3142857142857149</v>
      </c>
      <c r="BY19" s="87">
        <f>SUMIFS($AV$3:AV20,$Q$3:Q20,"S")</f>
        <v>46.593939393939444</v>
      </c>
      <c r="BZ19" s="87">
        <f>SUMIFS($AV$3:AV20,$Q$3:Q20,"O")</f>
        <v>0</v>
      </c>
    </row>
    <row r="20" spans="1:78" ht="18" customHeight="1">
      <c r="A20" s="45" t="s">
        <v>96</v>
      </c>
      <c r="B20" s="59">
        <v>45299</v>
      </c>
      <c r="C20" s="46" t="s">
        <v>180</v>
      </c>
      <c r="D20" s="46" t="s">
        <v>176</v>
      </c>
      <c r="E20" s="66"/>
      <c r="F20" s="47"/>
      <c r="G20" s="71" t="s">
        <v>181</v>
      </c>
      <c r="H20" s="49"/>
      <c r="I20" s="49"/>
      <c r="J20" s="49"/>
      <c r="K20" s="50"/>
      <c r="L20" s="49">
        <v>1</v>
      </c>
      <c r="M20" s="49"/>
      <c r="N20" s="49"/>
      <c r="O20" s="50" t="s">
        <v>100</v>
      </c>
      <c r="P20" s="50" t="s">
        <v>101</v>
      </c>
      <c r="Q20" s="50" t="s">
        <v>102</v>
      </c>
      <c r="R20" s="50">
        <v>22</v>
      </c>
      <c r="S20" s="50">
        <v>0</v>
      </c>
      <c r="T20" s="50">
        <v>10</v>
      </c>
      <c r="U20" s="50" t="s">
        <v>22</v>
      </c>
      <c r="V20" s="50"/>
      <c r="W20" s="50"/>
      <c r="X20" s="50"/>
      <c r="Y20" s="51">
        <f>IF(ISBLANK(O20),"",(IF(O20=UPPER("IB"),0.005,0.01)))</f>
        <v>0.01</v>
      </c>
      <c r="Z20" s="52">
        <f>IF(ISBLANK(O20),"",IF(O20="IB",8.63*200,IF(O20="IR",16*100,IF(O20="YT",20*100,IF(O20="YT-XT",24*200,IF(O20="TED",80*100))))))</f>
        <v>1600</v>
      </c>
      <c r="AA20" s="52"/>
      <c r="AB20" s="102" t="s">
        <v>182</v>
      </c>
      <c r="AC20" s="52"/>
      <c r="AD20" s="231">
        <f>((-0.11*12)+(-0.1*10))/22</f>
        <v>-0.10545454545454547</v>
      </c>
      <c r="AE20" s="49"/>
      <c r="AF20" s="84"/>
      <c r="AG20" s="49"/>
      <c r="AH20" s="49"/>
      <c r="AI20" s="49"/>
      <c r="AJ20" s="226"/>
      <c r="AK20" s="49"/>
      <c r="AL20" s="113"/>
      <c r="AM20" s="113"/>
      <c r="AN20" s="218"/>
      <c r="AO20" s="49"/>
      <c r="AP20" s="49" t="s">
        <v>183</v>
      </c>
      <c r="AQ20" s="84" t="str">
        <f>UPPER(RIGHT(Journal_Live[[#This Row],[DURATION ]]))</f>
        <v>D</v>
      </c>
      <c r="AR20" s="49" t="s">
        <v>184</v>
      </c>
      <c r="AS20" s="55">
        <v>-0.11</v>
      </c>
      <c r="AT20" s="55">
        <f>IF(ISBLANK(AS20),,IF(U20="S",AD20-AS20,AS20-AD20))</f>
        <v>-4.5454545454545331E-3</v>
      </c>
      <c r="AU20" s="54">
        <f>AV20*R20</f>
        <v>-159.99999999999957</v>
      </c>
      <c r="AV20" s="56">
        <f>IF(ISBLANK(AS20),,(AT20*Z20))</f>
        <v>-7.2727272727272529</v>
      </c>
      <c r="AW20" s="57" t="s">
        <v>121</v>
      </c>
      <c r="AX20" s="96"/>
      <c r="AY20" s="96"/>
      <c r="AZ20" s="96"/>
      <c r="BA20" s="96"/>
      <c r="BB20" s="96"/>
      <c r="BC20" s="96"/>
      <c r="BD20" s="96"/>
      <c r="BE20" s="96"/>
      <c r="BF20" s="100"/>
      <c r="BG20" s="94">
        <f>SUM($AV$4:AV20)</f>
        <v>53.90822510822516</v>
      </c>
      <c r="BH20" s="95">
        <f>SUM($AU$4:AU20)</f>
        <v>880.00000000000068</v>
      </c>
      <c r="BI20" s="80">
        <f>SUMIFS($AU$3:AU21,$Q$3:Q21,"F")</f>
        <v>256</v>
      </c>
      <c r="BJ20" s="80">
        <f>SUMIFS($AU$3:AU21,$Q$3:Q21,"S")</f>
        <v>624.00000000000068</v>
      </c>
      <c r="BK20" s="87">
        <f>SUMIFS($AU$3:AU21,$P$3:P21,"W")</f>
        <v>624.00000000000068</v>
      </c>
      <c r="BL20" s="87">
        <f>SUMIFS($AU$3:AU21,$P$3:P21,"R")</f>
        <v>256</v>
      </c>
      <c r="BM20" s="87">
        <f>SUMIFS($AU$3:AU21,$AQ$3:AQ21,"M")</f>
        <v>271.99999999999989</v>
      </c>
      <c r="BN20" s="87">
        <f>SUMIFS($AU$3:AU21,$AQ$3:AQ21,"H")</f>
        <v>512.00000000000034</v>
      </c>
      <c r="BO20" s="87">
        <f>SUMIFS($AU$3:AU21,$AQ$3:AQ21,"D")</f>
        <v>-159.99999999999957</v>
      </c>
      <c r="BP20" s="87">
        <f>SUMIFS($AU$3:AU23,$AQ$3:AQ23,"W")</f>
        <v>256</v>
      </c>
      <c r="BQ20" s="87">
        <f>SUMIFS($AU$3:AU21,$Q$3:Q21,"O")</f>
        <v>0</v>
      </c>
      <c r="BR20" s="87">
        <f>SUMIFS($AU$3:AU21,$AA$3:AA21,"*")</f>
        <v>1376.0000000000002</v>
      </c>
      <c r="BS20" s="87">
        <f>SUMIFS($AU$3:AU21,$AB$3:AB21,"*")</f>
        <v>-159.99999999999957</v>
      </c>
      <c r="BT20" s="87">
        <f>SUMIFS($AU$3:AU21,$AC$3:AC21,"*")</f>
        <v>-336</v>
      </c>
      <c r="BU20" s="87">
        <f>SUMIFS($AU$3:AU21,$AA$3:AA21,"*",$AB$3:AB21,"*")</f>
        <v>0</v>
      </c>
      <c r="BV20" s="87">
        <f>SUMIFS($AU$3:AU21,$AA$3:AA21,"*",$AC$3:AC21,"*")</f>
        <v>0</v>
      </c>
      <c r="BW20" s="87">
        <f>SUMIFS($AU$3:AU21,$AB$3:AB21,"*",$AC$3:AC21,"*")</f>
        <v>0</v>
      </c>
      <c r="BX20" s="87">
        <f>SUMIFS($AV$3:AV21,$Q$3:Q21,"F")</f>
        <v>7.3142857142857149</v>
      </c>
      <c r="BY20" s="87">
        <f>SUMIFS($AV$3:AV21,$Q$3:Q21,"S")</f>
        <v>46.593939393939444</v>
      </c>
      <c r="BZ20" s="87">
        <f>SUMIFS($AV$3:AV21,$Q$3:Q21,"O")</f>
        <v>0</v>
      </c>
    </row>
    <row r="21" spans="1:78" ht="18" customHeight="1">
      <c r="A21" s="45" t="s">
        <v>96</v>
      </c>
      <c r="B21" s="59">
        <v>45300</v>
      </c>
      <c r="C21" s="46" t="s">
        <v>179</v>
      </c>
      <c r="D21" s="46" t="s">
        <v>98</v>
      </c>
      <c r="E21" s="66" t="s">
        <v>185</v>
      </c>
      <c r="F21" s="47"/>
      <c r="G21" s="48"/>
      <c r="H21" s="49">
        <v>1</v>
      </c>
      <c r="I21" s="49"/>
      <c r="J21" s="49"/>
      <c r="K21" s="50" t="s">
        <v>142</v>
      </c>
      <c r="L21" s="49"/>
      <c r="M21" s="49"/>
      <c r="N21" s="49"/>
      <c r="O21" s="50"/>
      <c r="P21" s="50"/>
      <c r="Q21" s="50"/>
      <c r="R21" s="50"/>
      <c r="S21" s="50"/>
      <c r="T21" s="50"/>
      <c r="U21" s="50"/>
      <c r="V21" s="50"/>
      <c r="W21" s="50"/>
      <c r="X21" s="50"/>
      <c r="Y21" s="50"/>
      <c r="Z21" s="50"/>
      <c r="AA21" s="52"/>
      <c r="AB21" s="52"/>
      <c r="AC21" s="52"/>
      <c r="AD21" s="231"/>
      <c r="AE21" s="49"/>
      <c r="AF21" s="84"/>
      <c r="AG21" s="49"/>
      <c r="AH21" s="49"/>
      <c r="AI21" s="49"/>
      <c r="AJ21" s="226"/>
      <c r="AK21" s="49"/>
      <c r="AL21" s="113"/>
      <c r="AM21" s="113"/>
      <c r="AN21" s="218"/>
      <c r="AO21" s="49"/>
      <c r="AP21" s="49"/>
      <c r="AQ21" s="84" t="str">
        <f>UPPER(RIGHT(Journal_Live[[#This Row],[DURATION ]]))</f>
        <v/>
      </c>
      <c r="AR21" s="49"/>
      <c r="AS21" s="55"/>
      <c r="AT21" s="55"/>
      <c r="AU21" s="54"/>
      <c r="AV21" s="56"/>
      <c r="AW21" s="57"/>
      <c r="AX21" s="96"/>
      <c r="AY21" s="96"/>
      <c r="AZ21" s="96"/>
      <c r="BA21" s="96"/>
      <c r="BB21" s="96"/>
      <c r="BC21" s="96"/>
      <c r="BD21" s="96"/>
      <c r="BE21" s="96"/>
      <c r="BF21" s="100"/>
      <c r="BG21" s="94">
        <f>SUM($AV$4:AV21)</f>
        <v>53.90822510822516</v>
      </c>
      <c r="BH21" s="95">
        <f>SUM($AU$4:AU21)</f>
        <v>880.00000000000068</v>
      </c>
      <c r="BI21" s="80">
        <f>SUMIFS($AU$3:AU22,$Q$3:Q22,"F")</f>
        <v>256</v>
      </c>
      <c r="BJ21" s="80">
        <f>SUMIFS($AU$3:AU22,$Q$3:Q22,"S")</f>
        <v>624.00000000000068</v>
      </c>
      <c r="BK21" s="87">
        <f>SUMIFS($AU$3:AU22,$P$3:P22,"W")</f>
        <v>624.00000000000068</v>
      </c>
      <c r="BL21" s="87">
        <f>SUMIFS($AU$3:AU22,$P$3:P22,"R")</f>
        <v>256</v>
      </c>
      <c r="BM21" s="87">
        <f>SUMIFS($AU$3:AU22,$AQ$3:AQ22,"M")</f>
        <v>271.99999999999989</v>
      </c>
      <c r="BN21" s="87">
        <f>SUMIFS($AU$3:AU22,$AQ$3:AQ22,"H")</f>
        <v>512.00000000000034</v>
      </c>
      <c r="BO21" s="87">
        <f>SUMIFS($AU$3:AU22,$AQ$3:AQ22,"D")</f>
        <v>-159.99999999999957</v>
      </c>
      <c r="BP21" s="87">
        <f>SUMIFS($AU$3:AU24,$AQ$3:AQ24,"W")</f>
        <v>256</v>
      </c>
      <c r="BQ21" s="87">
        <f>SUMIFS($AU$3:AU22,$Q$3:Q22,"O")</f>
        <v>0</v>
      </c>
      <c r="BR21" s="87">
        <f>SUMIFS($AU$3:AU22,$AA$3:AA22,"*")</f>
        <v>1376.0000000000002</v>
      </c>
      <c r="BS21" s="87">
        <f>SUMIFS($AU$3:AU22,$AB$3:AB22,"*")</f>
        <v>-159.99999999999957</v>
      </c>
      <c r="BT21" s="87">
        <f>SUMIFS($AU$3:AU22,$AC$3:AC22,"*")</f>
        <v>-336</v>
      </c>
      <c r="BU21" s="87">
        <f>SUMIFS($AU$3:AU22,$AA$3:AA22,"*",$AB$3:AB22,"*")</f>
        <v>0</v>
      </c>
      <c r="BV21" s="87">
        <f>SUMIFS($AU$3:AU22,$AA$3:AA22,"*",$AC$3:AC22,"*")</f>
        <v>0</v>
      </c>
      <c r="BW21" s="87">
        <f>SUMIFS($AU$3:AU22,$AB$3:AB22,"*",$AC$3:AC22,"*")</f>
        <v>0</v>
      </c>
      <c r="BX21" s="87">
        <f>SUMIFS($AV$3:AV22,$Q$3:Q22,"F")</f>
        <v>7.3142857142857149</v>
      </c>
      <c r="BY21" s="87">
        <f>SUMIFS($AV$3:AV22,$Q$3:Q22,"S")</f>
        <v>46.593939393939444</v>
      </c>
      <c r="BZ21" s="87">
        <f>SUMIFS($AV$3:AV22,$Q$3:Q22,"O")</f>
        <v>0</v>
      </c>
    </row>
    <row r="22" spans="1:78" ht="18" customHeight="1">
      <c r="A22" s="45" t="s">
        <v>96</v>
      </c>
      <c r="B22" s="59">
        <v>45301</v>
      </c>
      <c r="C22" s="46" t="s">
        <v>147</v>
      </c>
      <c r="D22" s="46" t="s">
        <v>186</v>
      </c>
      <c r="E22" s="66" t="s">
        <v>187</v>
      </c>
      <c r="F22" s="47"/>
      <c r="G22" s="48"/>
      <c r="H22" s="49"/>
      <c r="I22" s="49"/>
      <c r="J22" s="49">
        <v>1</v>
      </c>
      <c r="K22" s="50" t="s">
        <v>155</v>
      </c>
      <c r="L22" s="49"/>
      <c r="M22" s="49"/>
      <c r="N22" s="49"/>
      <c r="O22" s="50"/>
      <c r="P22" s="50"/>
      <c r="Q22" s="50"/>
      <c r="R22" s="50"/>
      <c r="S22" s="50"/>
      <c r="T22" s="50"/>
      <c r="U22" s="50"/>
      <c r="V22" s="50"/>
      <c r="W22" s="50"/>
      <c r="X22" s="50"/>
      <c r="Y22" s="50"/>
      <c r="Z22" s="50"/>
      <c r="AA22" s="52"/>
      <c r="AB22" s="52"/>
      <c r="AC22" s="52"/>
      <c r="AD22" s="231"/>
      <c r="AE22" s="49"/>
      <c r="AF22" s="84"/>
      <c r="AG22" s="49"/>
      <c r="AH22" s="49"/>
      <c r="AI22" s="49"/>
      <c r="AJ22" s="226"/>
      <c r="AK22" s="49"/>
      <c r="AL22" s="113"/>
      <c r="AM22" s="113"/>
      <c r="AN22" s="218"/>
      <c r="AO22" s="49"/>
      <c r="AP22" s="49"/>
      <c r="AQ22" s="84" t="str">
        <f>UPPER(RIGHT(Journal_Live[[#This Row],[DURATION ]]))</f>
        <v/>
      </c>
      <c r="AR22" s="49"/>
      <c r="AS22" s="55"/>
      <c r="AT22" s="55"/>
      <c r="AU22" s="54"/>
      <c r="AV22" s="56"/>
      <c r="AW22" s="57"/>
      <c r="AX22" s="96" t="s">
        <v>188</v>
      </c>
      <c r="AY22" s="96" t="s">
        <v>189</v>
      </c>
      <c r="AZ22" s="96" t="s">
        <v>190</v>
      </c>
      <c r="BA22" s="96" t="s">
        <v>191</v>
      </c>
      <c r="BB22" s="96" t="s">
        <v>192</v>
      </c>
      <c r="BC22" s="96" t="s">
        <v>193</v>
      </c>
      <c r="BD22" s="96"/>
      <c r="BE22" s="96"/>
      <c r="BF22" s="100"/>
      <c r="BG22" s="94">
        <f>SUM($AV$4:AV22)</f>
        <v>53.90822510822516</v>
      </c>
      <c r="BH22" s="95">
        <f>SUM($AU$4:AU22)</f>
        <v>880.00000000000068</v>
      </c>
      <c r="BI22" s="80">
        <f>SUMIFS($AU$3:AU23,$Q$3:Q23,"F")</f>
        <v>256</v>
      </c>
      <c r="BJ22" s="80">
        <f>SUMIFS($AU$3:AU23,$Q$3:Q23,"S")</f>
        <v>624.00000000000068</v>
      </c>
      <c r="BK22" s="87">
        <f>SUMIFS($AU$3:AU23,$P$3:P23,"W")</f>
        <v>624.00000000000068</v>
      </c>
      <c r="BL22" s="87">
        <f>SUMIFS($AU$3:AU23,$P$3:P23,"R")</f>
        <v>256</v>
      </c>
      <c r="BM22" s="87">
        <f>SUMIFS($AU$3:AU23,$AQ$3:AQ23,"M")</f>
        <v>271.99999999999989</v>
      </c>
      <c r="BN22" s="87">
        <f>SUMIFS($AU$3:AU23,$AQ$3:AQ23,"H")</f>
        <v>512.00000000000034</v>
      </c>
      <c r="BO22" s="87">
        <f>SUMIFS($AU$3:AU23,$AQ$3:AQ23,"D")</f>
        <v>-159.99999999999957</v>
      </c>
      <c r="BP22" s="87">
        <f>SUMIFS($AU$3:AU25,$AQ$3:AQ25,"W")</f>
        <v>256</v>
      </c>
      <c r="BQ22" s="87">
        <f>SUMIFS($AU$3:AU23,$Q$3:Q23,"O")</f>
        <v>0</v>
      </c>
      <c r="BR22" s="87">
        <f>SUMIFS($AU$3:AU23,$AA$3:AA23,"*")</f>
        <v>1376.0000000000002</v>
      </c>
      <c r="BS22" s="87">
        <f>SUMIFS($AU$3:AU23,$AB$3:AB23,"*")</f>
        <v>-159.99999999999957</v>
      </c>
      <c r="BT22" s="87">
        <f>SUMIFS($AU$3:AU23,$AC$3:AC23,"*")</f>
        <v>-336</v>
      </c>
      <c r="BU22" s="87">
        <f>SUMIFS($AU$3:AU23,$AA$3:AA23,"*",$AB$3:AB23,"*")</f>
        <v>0</v>
      </c>
      <c r="BV22" s="87">
        <f>SUMIFS($AU$3:AU23,$AA$3:AA23,"*",$AC$3:AC23,"*")</f>
        <v>0</v>
      </c>
      <c r="BW22" s="87">
        <f>SUMIFS($AU$3:AU23,$AB$3:AB23,"*",$AC$3:AC23,"*")</f>
        <v>0</v>
      </c>
      <c r="BX22" s="87">
        <f>SUMIFS($AV$3:AV23,$Q$3:Q23,"F")</f>
        <v>7.3142857142857149</v>
      </c>
      <c r="BY22" s="87">
        <f>SUMIFS($AV$3:AV23,$Q$3:Q23,"S")</f>
        <v>46.593939393939444</v>
      </c>
      <c r="BZ22" s="87">
        <f>SUMIFS($AV$3:AV23,$Q$3:Q23,"O")</f>
        <v>0</v>
      </c>
    </row>
    <row r="23" spans="1:78" ht="18" customHeight="1">
      <c r="A23" s="45" t="s">
        <v>96</v>
      </c>
      <c r="B23" s="59">
        <v>45301</v>
      </c>
      <c r="C23" s="46" t="s">
        <v>194</v>
      </c>
      <c r="D23" s="46" t="s">
        <v>186</v>
      </c>
      <c r="E23" s="66"/>
      <c r="F23" s="47"/>
      <c r="G23" s="71" t="s">
        <v>195</v>
      </c>
      <c r="H23" s="49"/>
      <c r="I23" s="49"/>
      <c r="J23" s="49"/>
      <c r="K23" s="50"/>
      <c r="L23" s="49">
        <v>1</v>
      </c>
      <c r="M23" s="49"/>
      <c r="N23" s="49"/>
      <c r="O23" s="50" t="s">
        <v>196</v>
      </c>
      <c r="P23" s="50" t="s">
        <v>197</v>
      </c>
      <c r="Q23" s="50" t="s">
        <v>198</v>
      </c>
      <c r="R23" s="50">
        <v>1</v>
      </c>
      <c r="S23" s="50">
        <v>0</v>
      </c>
      <c r="T23" s="50">
        <v>1</v>
      </c>
      <c r="U23" s="50" t="s">
        <v>22</v>
      </c>
      <c r="V23" s="50"/>
      <c r="W23" s="50"/>
      <c r="X23" s="50"/>
      <c r="Y23" s="51">
        <f>IF(ISBLANK(O23),"",(IF(O23=UPPER("IB"),0.005,0.01)))</f>
        <v>0.01</v>
      </c>
      <c r="Z23" s="52">
        <f>IF(ISBLANK(O23),"",IF(O23="IB",8.63*200,IF(O23="IR",16*100,IF(O23="YT",20*100,IF(O23="YT-XT",24*200,IF(O23="TED",80*100,IF(O23="XT",29*200)))))))</f>
        <v>5800</v>
      </c>
      <c r="AA23" s="52" t="s">
        <v>199</v>
      </c>
      <c r="AB23" s="52" t="s">
        <v>200</v>
      </c>
      <c r="AC23" s="52"/>
      <c r="AD23" s="231">
        <v>95.875</v>
      </c>
      <c r="AE23" s="49"/>
      <c r="AF23" s="84"/>
      <c r="AG23" s="49"/>
      <c r="AH23" s="49"/>
      <c r="AI23" s="49"/>
      <c r="AJ23" s="226"/>
      <c r="AK23" s="49"/>
      <c r="AL23" s="113"/>
      <c r="AM23" s="113"/>
      <c r="AN23" s="218"/>
      <c r="AO23" s="49"/>
      <c r="AP23" s="49" t="s">
        <v>201</v>
      </c>
      <c r="AQ23" s="84" t="str">
        <f>UPPER(RIGHT(Journal_Live[[#This Row],[DURATION ]]))</f>
        <v>M</v>
      </c>
      <c r="AR23" s="49" t="s">
        <v>202</v>
      </c>
      <c r="AS23" s="53">
        <v>95.875</v>
      </c>
      <c r="AT23" s="55">
        <f>IF(ISBLANK(AS23),,IF(U23="S",AD23-AS23,AS23-AD23))</f>
        <v>0</v>
      </c>
      <c r="AU23" s="54">
        <f>AV23*R23</f>
        <v>0</v>
      </c>
      <c r="AV23" s="56">
        <f>IF(ISBLANK(AS23),,(AT23*Z23))</f>
        <v>0</v>
      </c>
      <c r="AW23" s="57" t="s">
        <v>155</v>
      </c>
      <c r="AX23" s="96" t="s">
        <v>203</v>
      </c>
      <c r="AY23" s="96" t="s">
        <v>204</v>
      </c>
      <c r="AZ23" s="96"/>
      <c r="BA23" s="96"/>
      <c r="BB23" s="96"/>
      <c r="BC23" s="96"/>
      <c r="BD23" s="96"/>
      <c r="BE23" s="96"/>
      <c r="BF23" s="100"/>
      <c r="BG23" s="94">
        <f>SUM($AV$4:AV23)</f>
        <v>53.90822510822516</v>
      </c>
      <c r="BH23" s="95">
        <f>SUM($AU$4:AU23)</f>
        <v>880.00000000000068</v>
      </c>
      <c r="BI23" s="80">
        <f>SUMIFS($AU$3:AU24,$Q$3:Q24,"F")</f>
        <v>256</v>
      </c>
      <c r="BJ23" s="80">
        <f>SUMIFS($AU$3:AU24,$Q$3:Q24,"S")</f>
        <v>624.00000000000068</v>
      </c>
      <c r="BK23" s="87">
        <f>SUMIFS($AU$3:AU24,$P$3:P24,"W")</f>
        <v>624.00000000000068</v>
      </c>
      <c r="BL23" s="87">
        <f>SUMIFS($AU$3:AU24,$P$3:P24,"R")</f>
        <v>256</v>
      </c>
      <c r="BM23" s="87">
        <f>SUMIFS($AU$3:AU24,$AQ$3:AQ24,"M")</f>
        <v>271.99999999999989</v>
      </c>
      <c r="BN23" s="87">
        <f>SUMIFS($AU$3:AU24,$AQ$3:AQ24,"H")</f>
        <v>512.00000000000034</v>
      </c>
      <c r="BO23" s="87">
        <f>SUMIFS($AU$3:AU24,$AQ$3:AQ24,"D")</f>
        <v>-159.99999999999957</v>
      </c>
      <c r="BP23" s="87">
        <f>SUMIFS($AU$3:AU26,$AQ$3:AQ26,"W")</f>
        <v>256</v>
      </c>
      <c r="BQ23" s="87">
        <f>SUMIFS($AU$3:AU24,$Q$3:Q24,"O")</f>
        <v>0</v>
      </c>
      <c r="BR23" s="87">
        <f>SUMIFS($AU$3:AU24,$AA$3:AA24,"*")</f>
        <v>1376.0000000000002</v>
      </c>
      <c r="BS23" s="87">
        <f>SUMIFS($AU$3:AU24,$AB$3:AB24,"*")</f>
        <v>-159.99999999999957</v>
      </c>
      <c r="BT23" s="87">
        <f>SUMIFS($AU$3:AU24,$AC$3:AC24,"*")</f>
        <v>-336</v>
      </c>
      <c r="BU23" s="87">
        <f>SUMIFS($AU$3:AU24,$AA$3:AA24,"*",$AB$3:AB24,"*")</f>
        <v>0</v>
      </c>
      <c r="BV23" s="87">
        <f>SUMIFS($AU$3:AU24,$AA$3:AA24,"*",$AC$3:AC24,"*")</f>
        <v>0</v>
      </c>
      <c r="BW23" s="87">
        <f>SUMIFS($AU$3:AU24,$AB$3:AB24,"*",$AC$3:AC24,"*")</f>
        <v>0</v>
      </c>
      <c r="BX23" s="87">
        <f>SUMIFS($AV$3:AV24,$Q$3:Q24,"F")</f>
        <v>7.3142857142857149</v>
      </c>
      <c r="BY23" s="87">
        <f>SUMIFS($AV$3:AV24,$Q$3:Q24,"S")</f>
        <v>46.593939393939444</v>
      </c>
      <c r="BZ23" s="87">
        <f>SUMIFS($AV$3:AV24,$Q$3:Q24,"O")</f>
        <v>0</v>
      </c>
    </row>
    <row r="24" spans="1:78" ht="18" customHeight="1">
      <c r="A24" s="45" t="s">
        <v>96</v>
      </c>
      <c r="B24" s="59"/>
      <c r="C24" s="46"/>
      <c r="D24" s="46"/>
      <c r="E24" s="66"/>
      <c r="F24" s="47"/>
      <c r="G24" s="48"/>
      <c r="H24" s="49"/>
      <c r="I24" s="49"/>
      <c r="J24" s="49"/>
      <c r="K24" s="50"/>
      <c r="L24" s="49"/>
      <c r="M24" s="49"/>
      <c r="N24" s="49"/>
      <c r="O24" s="50"/>
      <c r="P24" s="50"/>
      <c r="Q24" s="50"/>
      <c r="R24" s="50"/>
      <c r="S24" s="50"/>
      <c r="T24" s="50"/>
      <c r="U24" s="50"/>
      <c r="V24" s="50"/>
      <c r="W24" s="50"/>
      <c r="X24" s="50"/>
      <c r="Y24" s="50"/>
      <c r="Z24" s="50"/>
      <c r="AA24" s="52"/>
      <c r="AB24" s="52"/>
      <c r="AC24" s="52"/>
      <c r="AD24" s="231"/>
      <c r="AE24" s="49"/>
      <c r="AF24" s="84"/>
      <c r="AG24" s="49"/>
      <c r="AH24" s="49"/>
      <c r="AI24" s="49"/>
      <c r="AJ24" s="226"/>
      <c r="AK24" s="49"/>
      <c r="AL24" s="113"/>
      <c r="AM24" s="113"/>
      <c r="AN24" s="218"/>
      <c r="AO24" s="49"/>
      <c r="AP24" s="49"/>
      <c r="AQ24" s="84" t="str">
        <f>UPPER(RIGHT(Journal_Live[[#This Row],[DURATION ]]))</f>
        <v/>
      </c>
      <c r="AR24" s="49"/>
      <c r="AS24" s="55"/>
      <c r="AT24" s="55"/>
      <c r="AU24" s="54"/>
      <c r="AV24" s="56"/>
      <c r="AW24" s="57"/>
      <c r="AX24" s="96" t="s">
        <v>205</v>
      </c>
      <c r="AY24" s="96" t="s">
        <v>206</v>
      </c>
      <c r="AZ24" s="96"/>
      <c r="BA24" s="96"/>
      <c r="BB24" s="96"/>
      <c r="BC24" s="96"/>
      <c r="BD24" s="96"/>
      <c r="BE24" s="96"/>
      <c r="BF24" s="100"/>
      <c r="BG24" s="94">
        <f>SUM($AV$4:AV24)</f>
        <v>53.90822510822516</v>
      </c>
      <c r="BH24" s="95">
        <f>SUM($AU$4:AU24)</f>
        <v>880.00000000000068</v>
      </c>
      <c r="BI24" s="80">
        <f>SUMIFS($AU$3:AU25,$Q$3:Q25,"F")</f>
        <v>256</v>
      </c>
      <c r="BJ24" s="80">
        <f>SUMIFS($AU$3:AU25,$Q$3:Q25,"S")</f>
        <v>624.00000000000068</v>
      </c>
      <c r="BK24" s="87">
        <f>SUMIFS($AU$3:AU25,$P$3:P25,"W")</f>
        <v>624.00000000000068</v>
      </c>
      <c r="BL24" s="87">
        <f>SUMIFS($AU$3:AU25,$P$3:P25,"R")</f>
        <v>256</v>
      </c>
      <c r="BM24" s="87">
        <f>SUMIFS($AU$3:AU25,$AQ$3:AQ25,"M")</f>
        <v>271.99999999999989</v>
      </c>
      <c r="BN24" s="87">
        <f>SUMIFS($AU$3:AU25,$AQ$3:AQ25,"H")</f>
        <v>512.00000000000034</v>
      </c>
      <c r="BO24" s="87">
        <f>SUMIFS($AU$3:AU25,$AQ$3:AQ25,"D")</f>
        <v>-159.99999999999957</v>
      </c>
      <c r="BP24" s="87">
        <f>SUMIFS($AU$3:AU27,$AQ$3:AQ27,"W")</f>
        <v>256</v>
      </c>
      <c r="BQ24" s="87">
        <f>SUMIFS($AU$3:AU25,$Q$3:Q25,"O")</f>
        <v>0</v>
      </c>
      <c r="BR24" s="87">
        <f>SUMIFS($AU$3:AU25,$AA$3:AA25,"*")</f>
        <v>1376.0000000000002</v>
      </c>
      <c r="BS24" s="87">
        <f>SUMIFS($AU$3:AU25,$AB$3:AB25,"*")</f>
        <v>-159.99999999999957</v>
      </c>
      <c r="BT24" s="87">
        <f>SUMIFS($AU$3:AU25,$AC$3:AC25,"*")</f>
        <v>-336</v>
      </c>
      <c r="BU24" s="87">
        <f>SUMIFS($AU$3:AU25,$AA$3:AA25,"*",$AB$3:AB25,"*")</f>
        <v>0</v>
      </c>
      <c r="BV24" s="87">
        <f>SUMIFS($AU$3:AU25,$AA$3:AA25,"*",$AC$3:AC25,"*")</f>
        <v>0</v>
      </c>
      <c r="BW24" s="87">
        <f>SUMIFS($AU$3:AU25,$AB$3:AB25,"*",$AC$3:AC25,"*")</f>
        <v>0</v>
      </c>
      <c r="BX24" s="87">
        <f>SUMIFS($AV$3:AV25,$Q$3:Q25,"F")</f>
        <v>7.3142857142857149</v>
      </c>
      <c r="BY24" s="87">
        <f>SUMIFS($AV$3:AV25,$Q$3:Q25,"S")</f>
        <v>46.593939393939444</v>
      </c>
      <c r="BZ24" s="87">
        <f>SUMIFS($AV$3:AV25,$Q$3:Q25,"O")</f>
        <v>0</v>
      </c>
    </row>
    <row r="25" spans="1:78" ht="18" customHeight="1">
      <c r="A25" s="45" t="s">
        <v>96</v>
      </c>
      <c r="B25" s="59"/>
      <c r="C25" s="46"/>
      <c r="D25" s="46"/>
      <c r="E25" s="66"/>
      <c r="F25" s="47"/>
      <c r="G25" s="48"/>
      <c r="H25" s="49"/>
      <c r="I25" s="49"/>
      <c r="J25" s="49"/>
      <c r="K25" s="50"/>
      <c r="L25" s="49"/>
      <c r="M25" s="49"/>
      <c r="N25" s="49"/>
      <c r="O25" s="50"/>
      <c r="P25" s="50"/>
      <c r="Q25" s="50"/>
      <c r="R25" s="50"/>
      <c r="S25" s="50"/>
      <c r="T25" s="50"/>
      <c r="U25" s="50"/>
      <c r="V25" s="50"/>
      <c r="W25" s="50"/>
      <c r="X25" s="50"/>
      <c r="Y25" s="50"/>
      <c r="Z25" s="50"/>
      <c r="AA25" s="52"/>
      <c r="AB25" s="52"/>
      <c r="AC25" s="52"/>
      <c r="AD25" s="231"/>
      <c r="AE25" s="49"/>
      <c r="AF25" s="84"/>
      <c r="AG25" s="49"/>
      <c r="AH25" s="49"/>
      <c r="AI25" s="49"/>
      <c r="AJ25" s="226"/>
      <c r="AK25" s="49"/>
      <c r="AL25" s="113"/>
      <c r="AM25" s="113"/>
      <c r="AN25" s="218"/>
      <c r="AO25" s="49"/>
      <c r="AP25" s="49"/>
      <c r="AQ25" s="84" t="str">
        <f>UPPER(RIGHT(Journal_Live[[#This Row],[DURATION ]]))</f>
        <v/>
      </c>
      <c r="AR25" s="49"/>
      <c r="AS25" s="55"/>
      <c r="AT25" s="55"/>
      <c r="AU25" s="54"/>
      <c r="AV25" s="56"/>
      <c r="AW25" s="57"/>
      <c r="AX25" s="112" t="s">
        <v>207</v>
      </c>
      <c r="AY25" s="112" t="s">
        <v>208</v>
      </c>
      <c r="AZ25" s="112" t="s">
        <v>169</v>
      </c>
      <c r="BA25" s="96"/>
      <c r="BB25" s="96"/>
      <c r="BC25" s="96"/>
      <c r="BD25" s="96"/>
      <c r="BE25" s="96"/>
      <c r="BF25" s="100"/>
      <c r="BG25" s="94">
        <f>SUM($AV$4:AV25)</f>
        <v>53.90822510822516</v>
      </c>
      <c r="BH25" s="95">
        <f>SUM($AU$4:AU25)</f>
        <v>880.00000000000068</v>
      </c>
      <c r="BI25" s="80">
        <f>SUMIFS($AU$3:AU26,$Q$3:Q26,"F")</f>
        <v>256</v>
      </c>
      <c r="BJ25" s="80">
        <f>SUMIFS($AU$3:AU26,$Q$3:Q26,"S")</f>
        <v>624.00000000000068</v>
      </c>
      <c r="BK25" s="87">
        <f>SUMIFS($AU$3:AU26,$P$3:P26,"W")</f>
        <v>624.00000000000068</v>
      </c>
      <c r="BL25" s="87">
        <f>SUMIFS($AU$3:AU26,$P$3:P26,"R")</f>
        <v>256</v>
      </c>
      <c r="BM25" s="87">
        <f>SUMIFS($AU$3:AU26,$AQ$3:AQ26,"M")</f>
        <v>271.99999999999989</v>
      </c>
      <c r="BN25" s="87">
        <f>SUMIFS($AU$3:AU26,$AQ$3:AQ26,"H")</f>
        <v>512.00000000000034</v>
      </c>
      <c r="BO25" s="87">
        <f>SUMIFS($AU$3:AU26,$AQ$3:AQ26,"D")</f>
        <v>-159.99999999999957</v>
      </c>
      <c r="BP25" s="87">
        <f>SUMIFS($AU$3:AU28,$AQ$3:AQ28,"W")</f>
        <v>256</v>
      </c>
      <c r="BQ25" s="87">
        <f>SUMIFS($AU$3:AU26,$Q$3:Q26,"O")</f>
        <v>0</v>
      </c>
      <c r="BR25" s="87">
        <f>SUMIFS($AU$3:AU26,$AA$3:AA26,"*")</f>
        <v>1376.0000000000002</v>
      </c>
      <c r="BS25" s="87">
        <f>SUMIFS($AU$3:AU26,$AB$3:AB26,"*")</f>
        <v>-159.99999999999957</v>
      </c>
      <c r="BT25" s="87">
        <f>SUMIFS($AU$3:AU26,$AC$3:AC26,"*")</f>
        <v>-336</v>
      </c>
      <c r="BU25" s="87">
        <f>SUMIFS($AU$3:AU26,$AA$3:AA26,"*",$AB$3:AB26,"*")</f>
        <v>0</v>
      </c>
      <c r="BV25" s="87">
        <f>SUMIFS($AU$3:AU26,$AA$3:AA26,"*",$AC$3:AC26,"*")</f>
        <v>0</v>
      </c>
      <c r="BW25" s="87">
        <f>SUMIFS($AU$3:AU26,$AB$3:AB26,"*",$AC$3:AC26,"*")</f>
        <v>0</v>
      </c>
      <c r="BX25" s="87">
        <f>SUMIFS($AV$3:AV26,$Q$3:Q26,"F")</f>
        <v>7.3142857142857149</v>
      </c>
      <c r="BY25" s="87">
        <f>SUMIFS($AV$3:AV26,$Q$3:Q26,"S")</f>
        <v>46.593939393939444</v>
      </c>
      <c r="BZ25" s="87">
        <f>SUMIFS($AV$3:AV26,$Q$3:Q26,"O")</f>
        <v>0</v>
      </c>
    </row>
    <row r="26" spans="1:78" ht="18" customHeight="1">
      <c r="A26" s="45" t="s">
        <v>96</v>
      </c>
      <c r="B26" s="59">
        <v>45302</v>
      </c>
      <c r="C26" s="46" t="s">
        <v>209</v>
      </c>
      <c r="D26" s="46" t="s">
        <v>107</v>
      </c>
      <c r="E26" s="66" t="s">
        <v>210</v>
      </c>
      <c r="F26" s="47"/>
      <c r="G26" s="48"/>
      <c r="H26" s="49"/>
      <c r="I26" s="49">
        <v>1</v>
      </c>
      <c r="J26" s="49"/>
      <c r="K26" s="50"/>
      <c r="L26" s="49"/>
      <c r="M26" s="49"/>
      <c r="N26" s="49"/>
      <c r="O26" s="50"/>
      <c r="P26" s="50"/>
      <c r="Q26" s="50"/>
      <c r="R26" s="50"/>
      <c r="S26" s="50"/>
      <c r="T26" s="50"/>
      <c r="U26" s="50"/>
      <c r="V26" s="50"/>
      <c r="W26" s="50"/>
      <c r="X26" s="50"/>
      <c r="Y26" s="50"/>
      <c r="Z26" s="50"/>
      <c r="AA26" s="52"/>
      <c r="AB26" s="52"/>
      <c r="AC26" s="52"/>
      <c r="AD26" s="231"/>
      <c r="AE26" s="49"/>
      <c r="AF26" s="84"/>
      <c r="AG26" s="49"/>
      <c r="AH26" s="49"/>
      <c r="AI26" s="49"/>
      <c r="AJ26" s="226"/>
      <c r="AK26" s="49"/>
      <c r="AL26" s="113"/>
      <c r="AM26" s="113"/>
      <c r="AN26" s="218"/>
      <c r="AO26" s="49"/>
      <c r="AP26" s="49"/>
      <c r="AQ26" s="84" t="str">
        <f>UPPER(RIGHT(Journal_Live[[#This Row],[DURATION ]]))</f>
        <v/>
      </c>
      <c r="AR26" s="49"/>
      <c r="AS26" s="55"/>
      <c r="AT26" s="55"/>
      <c r="AU26" s="54"/>
      <c r="AV26" s="56"/>
      <c r="AW26" s="57"/>
      <c r="AX26" s="96" t="s">
        <v>211</v>
      </c>
      <c r="AY26" s="96" t="s">
        <v>212</v>
      </c>
      <c r="AZ26" s="96" t="s">
        <v>213</v>
      </c>
      <c r="BA26" s="96"/>
      <c r="BB26" s="96"/>
      <c r="BC26" s="96"/>
      <c r="BD26" s="96"/>
      <c r="BE26" s="96"/>
      <c r="BF26" s="100"/>
      <c r="BG26" s="94">
        <f>SUM($AV$4:AV26)</f>
        <v>53.90822510822516</v>
      </c>
      <c r="BH26" s="95">
        <f>SUM($AU$4:AU26)</f>
        <v>880.00000000000068</v>
      </c>
      <c r="BI26" s="80">
        <f>SUMIFS($AU$3:AU27,$Q$3:Q27,"F")</f>
        <v>256</v>
      </c>
      <c r="BJ26" s="80">
        <f>SUMIFS($AU$3:AU27,$Q$3:Q27,"S")</f>
        <v>624.00000000000068</v>
      </c>
      <c r="BK26" s="87">
        <f>SUMIFS($AU$3:AU27,$P$3:P27,"W")</f>
        <v>624.00000000000068</v>
      </c>
      <c r="BL26" s="87">
        <f>SUMIFS($AU$3:AU27,$P$3:P27,"R")</f>
        <v>256</v>
      </c>
      <c r="BM26" s="87">
        <f>SUMIFS($AU$3:AU27,$AQ$3:AQ27,"M")</f>
        <v>271.99999999999989</v>
      </c>
      <c r="BN26" s="87">
        <f>SUMIFS($AU$3:AU27,$AQ$3:AQ27,"H")</f>
        <v>512.00000000000034</v>
      </c>
      <c r="BO26" s="87">
        <f>SUMIFS($AU$3:AU27,$AQ$3:AQ27,"D")</f>
        <v>-159.99999999999957</v>
      </c>
      <c r="BP26" s="87">
        <f>SUMIFS($AU$3:AU29,$AQ$3:AQ29,"W")</f>
        <v>256</v>
      </c>
      <c r="BQ26" s="87">
        <f>SUMIFS($AU$3:AU27,$Q$3:Q27,"O")</f>
        <v>0</v>
      </c>
      <c r="BR26" s="87">
        <f>SUMIFS($AU$3:AU27,$AA$3:AA27,"*")</f>
        <v>1376.0000000000002</v>
      </c>
      <c r="BS26" s="87">
        <f>SUMIFS($AU$3:AU27,$AB$3:AB27,"*")</f>
        <v>-159.99999999999957</v>
      </c>
      <c r="BT26" s="87">
        <f>SUMIFS($AU$3:AU27,$AC$3:AC27,"*")</f>
        <v>-336</v>
      </c>
      <c r="BU26" s="87">
        <f>SUMIFS($AU$3:AU27,$AA$3:AA27,"*",$AB$3:AB27,"*")</f>
        <v>0</v>
      </c>
      <c r="BV26" s="87">
        <f>SUMIFS($AU$3:AU27,$AA$3:AA27,"*",$AC$3:AC27,"*")</f>
        <v>0</v>
      </c>
      <c r="BW26" s="87">
        <f>SUMIFS($AU$3:AU27,$AB$3:AB27,"*",$AC$3:AC27,"*")</f>
        <v>0</v>
      </c>
      <c r="BX26" s="87">
        <f>SUMIFS($AV$3:AV27,$Q$3:Q27,"F")</f>
        <v>7.3142857142857149</v>
      </c>
      <c r="BY26" s="87">
        <f>SUMIFS($AV$3:AV27,$Q$3:Q27,"S")</f>
        <v>46.593939393939444</v>
      </c>
      <c r="BZ26" s="87">
        <f>SUMIFS($AV$3:AV27,$Q$3:Q27,"O")</f>
        <v>0</v>
      </c>
    </row>
    <row r="27" spans="1:78" ht="18" customHeight="1">
      <c r="A27" s="45" t="s">
        <v>96</v>
      </c>
      <c r="B27" s="59"/>
      <c r="C27" s="46"/>
      <c r="D27" s="46"/>
      <c r="E27" s="66" t="s">
        <v>214</v>
      </c>
      <c r="F27" s="47"/>
      <c r="G27" s="48"/>
      <c r="H27" s="49">
        <v>1</v>
      </c>
      <c r="I27" s="49"/>
      <c r="J27" s="49"/>
      <c r="K27" s="50" t="s">
        <v>142</v>
      </c>
      <c r="L27" s="49"/>
      <c r="M27" s="49"/>
      <c r="N27" s="49"/>
      <c r="O27" s="50"/>
      <c r="P27" s="50"/>
      <c r="Q27" s="50"/>
      <c r="R27" s="50"/>
      <c r="S27" s="50"/>
      <c r="T27" s="50"/>
      <c r="U27" s="50"/>
      <c r="V27" s="50"/>
      <c r="W27" s="50"/>
      <c r="X27" s="50"/>
      <c r="Y27" s="50"/>
      <c r="Z27" s="50"/>
      <c r="AA27" s="52"/>
      <c r="AB27" s="52"/>
      <c r="AC27" s="52"/>
      <c r="AD27" s="231"/>
      <c r="AE27" s="49"/>
      <c r="AF27" s="84"/>
      <c r="AG27" s="49"/>
      <c r="AH27" s="49"/>
      <c r="AI27" s="49"/>
      <c r="AJ27" s="226"/>
      <c r="AK27" s="49"/>
      <c r="AL27" s="113"/>
      <c r="AM27" s="113"/>
      <c r="AN27" s="218"/>
      <c r="AO27" s="49"/>
      <c r="AP27" s="49"/>
      <c r="AQ27" s="84" t="str">
        <f>UPPER(RIGHT(Journal_Live[[#This Row],[DURATION ]]))</f>
        <v/>
      </c>
      <c r="AR27" s="49"/>
      <c r="AS27" s="55"/>
      <c r="AT27" s="55"/>
      <c r="AU27" s="54"/>
      <c r="AV27" s="56"/>
      <c r="AW27" s="57"/>
      <c r="AX27" s="96"/>
      <c r="AY27" s="96"/>
      <c r="AZ27" s="96"/>
      <c r="BA27" s="96"/>
      <c r="BB27" s="96"/>
      <c r="BC27" s="96"/>
      <c r="BD27" s="96"/>
      <c r="BE27" s="96"/>
      <c r="BF27" s="100"/>
      <c r="BG27" s="94">
        <f>SUM($AV$4:AV27)</f>
        <v>53.90822510822516</v>
      </c>
      <c r="BH27" s="95">
        <f>SUM($AU$4:AU27)</f>
        <v>880.00000000000068</v>
      </c>
      <c r="BI27" s="80">
        <f>SUMIFS($AU$3:AU28,$Q$3:Q28,"F")</f>
        <v>256</v>
      </c>
      <c r="BJ27" s="80">
        <f>SUMIFS($AU$3:AU28,$Q$3:Q28,"S")</f>
        <v>624.00000000000068</v>
      </c>
      <c r="BK27" s="87">
        <f>SUMIFS($AU$3:AU28,$P$3:P28,"W")</f>
        <v>624.00000000000068</v>
      </c>
      <c r="BL27" s="87">
        <f>SUMIFS($AU$3:AU28,$P$3:P28,"R")</f>
        <v>256</v>
      </c>
      <c r="BM27" s="87">
        <f>SUMIFS($AU$3:AU28,$AQ$3:AQ28,"M")</f>
        <v>271.99999999999989</v>
      </c>
      <c r="BN27" s="87">
        <f>SUMIFS($AU$3:AU28,$AQ$3:AQ28,"H")</f>
        <v>512.00000000000034</v>
      </c>
      <c r="BO27" s="87">
        <f>SUMIFS($AU$3:AU28,$AQ$3:AQ28,"D")</f>
        <v>-159.99999999999957</v>
      </c>
      <c r="BP27" s="87">
        <f>SUMIFS($AU$3:AU30,$AQ$3:AQ30,"W")</f>
        <v>256</v>
      </c>
      <c r="BQ27" s="87">
        <f>SUMIFS($AU$3:AU28,$Q$3:Q28,"O")</f>
        <v>0</v>
      </c>
      <c r="BR27" s="87">
        <f>SUMIFS($AU$3:AU28,$AA$3:AA28,"*")</f>
        <v>1376.0000000000002</v>
      </c>
      <c r="BS27" s="87">
        <f>SUMIFS($AU$3:AU28,$AB$3:AB28,"*")</f>
        <v>-159.99999999999957</v>
      </c>
      <c r="BT27" s="87">
        <f>SUMIFS($AU$3:AU28,$AC$3:AC28,"*")</f>
        <v>-336</v>
      </c>
      <c r="BU27" s="87">
        <f>SUMIFS($AU$3:AU28,$AA$3:AA28,"*",$AB$3:AB28,"*")</f>
        <v>0</v>
      </c>
      <c r="BV27" s="87">
        <f>SUMIFS($AU$3:AU28,$AA$3:AA28,"*",$AC$3:AC28,"*")</f>
        <v>0</v>
      </c>
      <c r="BW27" s="87">
        <f>SUMIFS($AU$3:AU28,$AB$3:AB28,"*",$AC$3:AC28,"*")</f>
        <v>0</v>
      </c>
      <c r="BX27" s="87">
        <f>SUMIFS($AV$3:AV28,$Q$3:Q28,"F")</f>
        <v>7.3142857142857149</v>
      </c>
      <c r="BY27" s="87">
        <f>SUMIFS($AV$3:AV28,$Q$3:Q28,"S")</f>
        <v>46.593939393939444</v>
      </c>
      <c r="BZ27" s="87">
        <f>SUMIFS($AV$3:AV28,$Q$3:Q28,"O")</f>
        <v>0</v>
      </c>
    </row>
    <row r="28" spans="1:78" ht="18" customHeight="1">
      <c r="A28" s="45" t="s">
        <v>96</v>
      </c>
      <c r="B28" s="59"/>
      <c r="C28" s="46"/>
      <c r="D28" s="46"/>
      <c r="E28" s="66" t="s">
        <v>215</v>
      </c>
      <c r="F28" s="47"/>
      <c r="G28" s="48"/>
      <c r="H28" s="49">
        <v>1</v>
      </c>
      <c r="I28" s="49"/>
      <c r="J28" s="49"/>
      <c r="K28" s="50" t="s">
        <v>142</v>
      </c>
      <c r="L28" s="49"/>
      <c r="M28" s="49"/>
      <c r="N28" s="49"/>
      <c r="O28" s="50"/>
      <c r="P28" s="50"/>
      <c r="Q28" s="50"/>
      <c r="R28" s="50"/>
      <c r="S28" s="50"/>
      <c r="T28" s="50"/>
      <c r="U28" s="50"/>
      <c r="V28" s="50"/>
      <c r="W28" s="50"/>
      <c r="X28" s="50"/>
      <c r="Y28" s="50"/>
      <c r="Z28" s="50"/>
      <c r="AA28" s="52"/>
      <c r="AB28" s="52"/>
      <c r="AC28" s="52"/>
      <c r="AD28" s="231"/>
      <c r="AE28" s="49"/>
      <c r="AF28" s="84"/>
      <c r="AG28" s="49"/>
      <c r="AH28" s="49"/>
      <c r="AI28" s="49"/>
      <c r="AJ28" s="226"/>
      <c r="AK28" s="49"/>
      <c r="AL28" s="113"/>
      <c r="AM28" s="113"/>
      <c r="AN28" s="218"/>
      <c r="AO28" s="49"/>
      <c r="AP28" s="49"/>
      <c r="AQ28" s="84" t="str">
        <f>UPPER(RIGHT(Journal_Live[[#This Row],[DURATION ]]))</f>
        <v/>
      </c>
      <c r="AR28" s="49"/>
      <c r="AS28" s="55"/>
      <c r="AT28" s="55"/>
      <c r="AU28" s="54"/>
      <c r="AV28" s="56"/>
      <c r="AW28" s="57"/>
      <c r="AX28" s="96" t="s">
        <v>216</v>
      </c>
      <c r="AY28" s="96"/>
      <c r="AZ28" s="96"/>
      <c r="BA28" s="96"/>
      <c r="BB28" s="96"/>
      <c r="BC28" s="96"/>
      <c r="BD28" s="96"/>
      <c r="BE28" s="96"/>
      <c r="BF28" s="100"/>
      <c r="BG28" s="94">
        <f>SUM($AV$4:AV28)</f>
        <v>53.90822510822516</v>
      </c>
      <c r="BH28" s="95">
        <f>SUM($AU$4:AU28)</f>
        <v>880.00000000000068</v>
      </c>
      <c r="BI28" s="80">
        <f>SUMIFS($AU$3:AU29,$Q$3:Q29,"F")</f>
        <v>256</v>
      </c>
      <c r="BJ28" s="80">
        <f>SUMIFS($AU$3:AU29,$Q$3:Q29,"S")</f>
        <v>752.00000000000068</v>
      </c>
      <c r="BK28" s="87">
        <f>SUMIFS($AU$3:AU29,$P$3:P29,"W")</f>
        <v>752.00000000000068</v>
      </c>
      <c r="BL28" s="87">
        <f>SUMIFS($AU$3:AU29,$P$3:P29,"R")</f>
        <v>256</v>
      </c>
      <c r="BM28" s="87">
        <f>SUMIFS($AU$3:AU29,$AQ$3:AQ29,"M")</f>
        <v>399.99999999999983</v>
      </c>
      <c r="BN28" s="87">
        <f>SUMIFS($AU$3:AU29,$AQ$3:AQ29,"H")</f>
        <v>512.00000000000034</v>
      </c>
      <c r="BO28" s="87">
        <f>SUMIFS($AU$3:AU29,$AQ$3:AQ29,"D")</f>
        <v>-159.99999999999957</v>
      </c>
      <c r="BP28" s="87">
        <f>SUMIFS($AU$3:AU31,$AQ$3:AQ31,"W")</f>
        <v>256</v>
      </c>
      <c r="BQ28" s="87">
        <f>SUMIFS($AU$3:AU29,$Q$3:Q29,"O")</f>
        <v>0</v>
      </c>
      <c r="BR28" s="87">
        <f>SUMIFS($AU$3:AU29,$AA$3:AA29,"*")</f>
        <v>1504.0000000000002</v>
      </c>
      <c r="BS28" s="87">
        <f>SUMIFS($AU$3:AU29,$AB$3:AB29,"*")</f>
        <v>-159.99999999999957</v>
      </c>
      <c r="BT28" s="87">
        <f>SUMIFS($AU$3:AU29,$AC$3:AC29,"*")</f>
        <v>-336</v>
      </c>
      <c r="BU28" s="87">
        <f>SUMIFS($AU$3:AU29,$AA$3:AA29,"*",$AB$3:AB29,"*")</f>
        <v>0</v>
      </c>
      <c r="BV28" s="87">
        <f>SUMIFS($AU$3:AU29,$AA$3:AA29,"*",$AC$3:AC29,"*")</f>
        <v>0</v>
      </c>
      <c r="BW28" s="87">
        <f>SUMIFS($AU$3:AU29,$AB$3:AB29,"*",$AC$3:AC29,"*")</f>
        <v>0</v>
      </c>
      <c r="BX28" s="87">
        <f>SUMIFS($AV$3:AV29,$Q$3:Q29,"F")</f>
        <v>7.3142857142857149</v>
      </c>
      <c r="BY28" s="87">
        <f>SUMIFS($AV$3:AV29,$Q$3:Q29,"S")</f>
        <v>62.593939393939436</v>
      </c>
      <c r="BZ28" s="87">
        <f>SUMIFS($AV$3:AV29,$Q$3:Q29,"O")</f>
        <v>0</v>
      </c>
    </row>
    <row r="29" spans="1:78" ht="18" customHeight="1">
      <c r="A29" s="45" t="s">
        <v>96</v>
      </c>
      <c r="B29" s="59">
        <v>45302</v>
      </c>
      <c r="C29" s="46" t="s">
        <v>217</v>
      </c>
      <c r="D29" s="46" t="s">
        <v>107</v>
      </c>
      <c r="E29" s="66"/>
      <c r="F29" s="47"/>
      <c r="G29" s="48" t="s">
        <v>111</v>
      </c>
      <c r="H29" s="49"/>
      <c r="I29" s="49"/>
      <c r="J29" s="49"/>
      <c r="K29" s="50"/>
      <c r="L29" s="49">
        <v>1</v>
      </c>
      <c r="M29" s="49"/>
      <c r="N29" s="49"/>
      <c r="O29" s="50" t="s">
        <v>100</v>
      </c>
      <c r="P29" s="50" t="s">
        <v>101</v>
      </c>
      <c r="Q29" s="50" t="s">
        <v>102</v>
      </c>
      <c r="R29" s="50">
        <v>8</v>
      </c>
      <c r="S29" s="50">
        <v>0</v>
      </c>
      <c r="T29" s="50">
        <v>8</v>
      </c>
      <c r="U29" s="50" t="s">
        <v>22</v>
      </c>
      <c r="V29" s="50"/>
      <c r="W29" s="50"/>
      <c r="X29" s="50"/>
      <c r="Y29" s="51">
        <f>IF(ISBLANK(O29),"",(IF(O29=UPPER("IB"),0.005,0.01)))</f>
        <v>0.01</v>
      </c>
      <c r="Z29" s="52">
        <f>IF(ISBLANK(O29),"",IF(O29="IB",8.63*200,IF(O29="IR",16*100,IF(O29="YT",20*100,IF(O29="YT-XT",24*200,IF(O29="TED",80*100))))))</f>
        <v>1600</v>
      </c>
      <c r="AA29" s="52" t="s">
        <v>177</v>
      </c>
      <c r="AB29" s="52"/>
      <c r="AC29" s="52"/>
      <c r="AD29" s="231">
        <v>-0.12</v>
      </c>
      <c r="AE29" s="49"/>
      <c r="AF29" s="84"/>
      <c r="AG29" s="49"/>
      <c r="AH29" s="49"/>
      <c r="AI29" s="49"/>
      <c r="AJ29" s="226"/>
      <c r="AK29" s="49"/>
      <c r="AL29" s="113"/>
      <c r="AM29" s="113"/>
      <c r="AN29" s="218"/>
      <c r="AO29" s="49"/>
      <c r="AP29" s="49" t="s">
        <v>218</v>
      </c>
      <c r="AQ29" s="84" t="str">
        <f>UPPER(RIGHT(Journal_Live[[#This Row],[DURATION ]]))</f>
        <v>M</v>
      </c>
      <c r="AR29" s="49" t="s">
        <v>147</v>
      </c>
      <c r="AS29" s="55">
        <v>-0.11</v>
      </c>
      <c r="AT29" s="55">
        <f>IF(ISBLANK(AS29),,IF(U29="S",AD29-AS29,AS29-AD29))</f>
        <v>9.999999999999995E-3</v>
      </c>
      <c r="AU29" s="54">
        <f>AV29*R29</f>
        <v>127.99999999999994</v>
      </c>
      <c r="AV29" s="56">
        <f>IF(ISBLANK(AS29),,(AT29*Z29))</f>
        <v>15.999999999999993</v>
      </c>
      <c r="AW29" s="57" t="s">
        <v>101</v>
      </c>
      <c r="AX29" s="96"/>
      <c r="AY29" s="96"/>
      <c r="AZ29" s="96"/>
      <c r="BA29" s="96"/>
      <c r="BB29" s="96"/>
      <c r="BC29" s="96"/>
      <c r="BD29" s="96"/>
      <c r="BE29" s="96"/>
      <c r="BF29" s="100"/>
      <c r="BG29" s="94">
        <f>SUM($AV$4:AV29)</f>
        <v>69.908225108225153</v>
      </c>
      <c r="BH29" s="95">
        <f>SUM($AU$4:AU29)</f>
        <v>1008.0000000000007</v>
      </c>
      <c r="BI29" s="80">
        <f>SUMIFS($AU$3:AU30,$Q$3:Q30,"F")</f>
        <v>256</v>
      </c>
      <c r="BJ29" s="80">
        <f>SUMIFS($AU$3:AU30,$Q$3:Q30,"S")</f>
        <v>1024.0000000000007</v>
      </c>
      <c r="BK29" s="87">
        <f>SUMIFS($AU$3:AU30,$P$3:P30,"W")</f>
        <v>1024.0000000000007</v>
      </c>
      <c r="BL29" s="87">
        <f>SUMIFS($AU$3:AU30,$P$3:P30,"R")</f>
        <v>256</v>
      </c>
      <c r="BM29" s="87">
        <f>SUMIFS($AU$3:AU30,$AQ$3:AQ30,"M")</f>
        <v>399.99999999999983</v>
      </c>
      <c r="BN29" s="87">
        <f>SUMIFS($AU$3:AU30,$AQ$3:AQ30,"H")</f>
        <v>784.00000000000045</v>
      </c>
      <c r="BO29" s="87">
        <f>SUMIFS($AU$3:AU30,$AQ$3:AQ30,"D")</f>
        <v>-159.99999999999957</v>
      </c>
      <c r="BP29" s="87">
        <f>SUMIFS($AU$3:AU32,$AQ$3:AQ32,"W")</f>
        <v>256</v>
      </c>
      <c r="BQ29" s="87">
        <f>SUMIFS($AU$3:AU30,$Q$3:Q30,"O")</f>
        <v>0</v>
      </c>
      <c r="BR29" s="87">
        <f>SUMIFS($AU$3:AU30,$AA$3:AA30,"*")</f>
        <v>1776.0000000000002</v>
      </c>
      <c r="BS29" s="87">
        <f>SUMIFS($AU$3:AU30,$AB$3:AB30,"*")</f>
        <v>112.00000000000048</v>
      </c>
      <c r="BT29" s="87">
        <f>SUMIFS($AU$3:AU30,$AC$3:AC30,"*")</f>
        <v>-63.999999999999943</v>
      </c>
      <c r="BU29" s="87">
        <f>SUMIFS($AU$3:AU30,$AA$3:AA30,"*",$AB$3:AB30,"*")</f>
        <v>272.00000000000006</v>
      </c>
      <c r="BV29" s="87">
        <f>SUMIFS($AU$3:AU30,$AA$3:AA30,"*",$AC$3:AC30,"*")</f>
        <v>272.00000000000006</v>
      </c>
      <c r="BW29" s="87">
        <f>SUMIFS($AU$3:AU30,$AB$3:AB30,"*",$AC$3:AC30,"*")</f>
        <v>272.00000000000006</v>
      </c>
      <c r="BX29" s="87">
        <f>SUMIFS($AV$3:AV30,$Q$3:Q30,"F")</f>
        <v>7.3142857142857149</v>
      </c>
      <c r="BY29" s="87">
        <f>SUMIFS($AV$3:AV30,$Q$3:Q30,"S")</f>
        <v>96.593939393939451</v>
      </c>
      <c r="BZ29" s="87">
        <f>SUMIFS($AV$3:AV30,$Q$3:Q30,"O")</f>
        <v>0</v>
      </c>
    </row>
    <row r="30" spans="1:78" ht="18" customHeight="1">
      <c r="A30" s="45" t="s">
        <v>96</v>
      </c>
      <c r="B30" s="59">
        <v>45302</v>
      </c>
      <c r="C30" s="46" t="s">
        <v>219</v>
      </c>
      <c r="D30" s="46" t="s">
        <v>107</v>
      </c>
      <c r="E30" s="66"/>
      <c r="F30" s="47"/>
      <c r="G30" s="71" t="s">
        <v>99</v>
      </c>
      <c r="H30" s="49"/>
      <c r="I30" s="49"/>
      <c r="J30" s="49"/>
      <c r="K30" s="50"/>
      <c r="L30" s="49">
        <v>1</v>
      </c>
      <c r="M30" s="49"/>
      <c r="N30" s="49"/>
      <c r="O30" s="50" t="s">
        <v>100</v>
      </c>
      <c r="P30" s="50" t="s">
        <v>101</v>
      </c>
      <c r="Q30" s="50" t="s">
        <v>102</v>
      </c>
      <c r="R30" s="50">
        <v>8</v>
      </c>
      <c r="S30" s="50">
        <v>6</v>
      </c>
      <c r="T30" s="50">
        <v>10</v>
      </c>
      <c r="U30" s="50" t="s">
        <v>102</v>
      </c>
      <c r="V30" s="50"/>
      <c r="W30" s="50"/>
      <c r="X30" s="50"/>
      <c r="Y30" s="51">
        <f>IF(ISBLANK(O30),"",(IF(O30=UPPER("IB"),0.005,0.01)))</f>
        <v>0.01</v>
      </c>
      <c r="Z30" s="52">
        <f>IF(ISBLANK(O30),"",IF(O30="IB",8.63*200,IF(O30="IR",16*100,IF(O30="YT",20*100,IF(O30="YT-XT",24*200,IF(O30="TED",80*100))))))</f>
        <v>1600</v>
      </c>
      <c r="AA30" s="52" t="s">
        <v>220</v>
      </c>
      <c r="AB30" s="97" t="s">
        <v>221</v>
      </c>
      <c r="AC30" s="52" t="s">
        <v>95</v>
      </c>
      <c r="AD30" s="231">
        <v>-0.08</v>
      </c>
      <c r="AE30" s="49"/>
      <c r="AF30" s="84"/>
      <c r="AG30" s="49"/>
      <c r="AH30" s="49"/>
      <c r="AI30" s="49"/>
      <c r="AJ30" s="226"/>
      <c r="AK30" s="49"/>
      <c r="AL30" s="113"/>
      <c r="AM30" s="113"/>
      <c r="AN30" s="218"/>
      <c r="AO30" s="49"/>
      <c r="AP30" s="49" t="s">
        <v>222</v>
      </c>
      <c r="AQ30" s="84" t="str">
        <f>UPPER(RIGHT(Journal_Live[[#This Row],[DURATION ]]))</f>
        <v>H</v>
      </c>
      <c r="AR30" s="49" t="s">
        <v>223</v>
      </c>
      <c r="AS30" s="55">
        <f>((-0.09*3)+(-0.1*2)+(-0.11*2)+(-0.12*1))/8</f>
        <v>-0.10125000000000001</v>
      </c>
      <c r="AT30" s="55">
        <f>IF(ISBLANK(AS30),,IF(U30="S",AD30-AS30,AS30-AD30))</f>
        <v>2.1250000000000005E-2</v>
      </c>
      <c r="AU30" s="54">
        <f>AV30*R30</f>
        <v>272.00000000000006</v>
      </c>
      <c r="AV30" s="56">
        <f>IF(ISBLANK(AS30),,(AT30*Z30))</f>
        <v>34.000000000000007</v>
      </c>
      <c r="AW30" s="57" t="s">
        <v>101</v>
      </c>
      <c r="AX30" s="96"/>
      <c r="AY30" s="96"/>
      <c r="AZ30" s="96"/>
      <c r="BA30" s="96"/>
      <c r="BB30" s="96"/>
      <c r="BC30" s="96"/>
      <c r="BD30" s="96"/>
      <c r="BE30" s="96"/>
      <c r="BF30" s="100"/>
      <c r="BG30" s="94">
        <f>SUM($AV$4:AV30)</f>
        <v>103.90822510822517</v>
      </c>
      <c r="BH30" s="95">
        <f>SUM($AU$4:AU30)</f>
        <v>1280.0000000000007</v>
      </c>
      <c r="BI30" s="80">
        <f>SUMIFS($AU$3:AU31,$Q$3:Q31,"F")</f>
        <v>256</v>
      </c>
      <c r="BJ30" s="80">
        <f>SUMIFS($AU$3:AU31,$Q$3:Q31,"S")</f>
        <v>1360.0000000000005</v>
      </c>
      <c r="BK30" s="87">
        <f>SUMIFS($AU$3:AU31,$P$3:P31,"W")</f>
        <v>1360.0000000000005</v>
      </c>
      <c r="BL30" s="87">
        <f>SUMIFS($AU$3:AU31,$P$3:P31,"R")</f>
        <v>256</v>
      </c>
      <c r="BM30" s="87">
        <f>SUMIFS($AU$3:AU31,$AQ$3:AQ31,"M")</f>
        <v>399.99999999999983</v>
      </c>
      <c r="BN30" s="87">
        <f>SUMIFS($AU$3:AU31,$AQ$3:AQ31,"H")</f>
        <v>1120.0000000000002</v>
      </c>
      <c r="BO30" s="87">
        <f>SUMIFS($AU$3:AU31,$AQ$3:AQ31,"D")</f>
        <v>-159.99999999999957</v>
      </c>
      <c r="BP30" s="87">
        <f>SUMIFS($AU$3:AU33,$AQ$3:AQ33,"W")</f>
        <v>256</v>
      </c>
      <c r="BQ30" s="87">
        <f>SUMIFS($AU$3:AU31,$Q$3:Q31,"O")</f>
        <v>0</v>
      </c>
      <c r="BR30" s="87">
        <f>SUMIFS($AU$3:AU31,$AA$3:AA31,"*")</f>
        <v>1776.0000000000002</v>
      </c>
      <c r="BS30" s="87">
        <f>SUMIFS($AU$3:AU31,$AB$3:AB31,"*")</f>
        <v>448.00000000000034</v>
      </c>
      <c r="BT30" s="87">
        <f>SUMIFS($AU$3:AU31,$AC$3:AC31,"*")</f>
        <v>-63.999999999999943</v>
      </c>
      <c r="BU30" s="87">
        <f>SUMIFS($AU$3:AU31,$AA$3:AA31,"*",$AB$3:AB31,"*")</f>
        <v>272.00000000000006</v>
      </c>
      <c r="BV30" s="87">
        <f>SUMIFS($AU$3:AU31,$AA$3:AA31,"*",$AC$3:AC31,"*")</f>
        <v>272.00000000000006</v>
      </c>
      <c r="BW30" s="87">
        <f>SUMIFS($AU$3:AU31,$AB$3:AB31,"*",$AC$3:AC31,"*")</f>
        <v>272.00000000000006</v>
      </c>
      <c r="BX30" s="87">
        <f>SUMIFS($AV$3:AV31,$Q$3:Q31,"F")</f>
        <v>7.3142857142857149</v>
      </c>
      <c r="BY30" s="87">
        <f>SUMIFS($AV$3:AV31,$Q$3:Q31,"S")</f>
        <v>112.59393939393945</v>
      </c>
      <c r="BZ30" s="87">
        <f>SUMIFS($AV$3:AV31,$Q$3:Q31,"O")</f>
        <v>0</v>
      </c>
    </row>
    <row r="31" spans="1:78" ht="18" customHeight="1">
      <c r="A31" s="45" t="s">
        <v>96</v>
      </c>
      <c r="B31" s="59">
        <v>45302</v>
      </c>
      <c r="C31" s="46" t="s">
        <v>224</v>
      </c>
      <c r="D31" s="46" t="s">
        <v>107</v>
      </c>
      <c r="E31" s="66"/>
      <c r="F31" s="47"/>
      <c r="G31" s="71" t="s">
        <v>181</v>
      </c>
      <c r="H31" s="49"/>
      <c r="I31" s="49"/>
      <c r="J31" s="49"/>
      <c r="K31" s="50"/>
      <c r="L31" s="49">
        <v>1</v>
      </c>
      <c r="M31" s="49"/>
      <c r="N31" s="49"/>
      <c r="O31" s="50" t="s">
        <v>100</v>
      </c>
      <c r="P31" s="50" t="s">
        <v>101</v>
      </c>
      <c r="Q31" s="50" t="s">
        <v>102</v>
      </c>
      <c r="R31" s="50">
        <v>21</v>
      </c>
      <c r="S31" s="50">
        <v>0</v>
      </c>
      <c r="T31" s="50">
        <v>10</v>
      </c>
      <c r="U31" s="50" t="s">
        <v>102</v>
      </c>
      <c r="V31" s="50"/>
      <c r="W31" s="50"/>
      <c r="X31" s="50"/>
      <c r="Y31" s="51">
        <f>IF(ISBLANK(O31),"",(IF(O31=UPPER("IB"),0.005,0.01)))</f>
        <v>0.01</v>
      </c>
      <c r="Z31" s="52">
        <f>IF(ISBLANK(O31),"",IF(O31="IB",8.63*200,IF(O31="IR",16*100,IF(O31="YT",20*100,IF(O31="YT-XT",24*200,IF(O31="TED",80*100))))))</f>
        <v>1600</v>
      </c>
      <c r="AA31" s="52"/>
      <c r="AB31" s="52" t="s">
        <v>225</v>
      </c>
      <c r="AC31" s="52"/>
      <c r="AD31" s="231">
        <v>-0.11</v>
      </c>
      <c r="AE31" s="49"/>
      <c r="AF31" s="84"/>
      <c r="AG31" s="49"/>
      <c r="AH31" s="49"/>
      <c r="AI31" s="49"/>
      <c r="AJ31" s="226"/>
      <c r="AK31" s="49"/>
      <c r="AL31" s="113"/>
      <c r="AM31" s="113"/>
      <c r="AN31" s="218"/>
      <c r="AO31" s="49"/>
      <c r="AP31" s="49" t="s">
        <v>226</v>
      </c>
      <c r="AQ31" s="84" t="str">
        <f>UPPER(RIGHT(Journal_Live[[#This Row],[DURATION ]]))</f>
        <v>H</v>
      </c>
      <c r="AR31" s="49" t="s">
        <v>223</v>
      </c>
      <c r="AS31" s="55">
        <v>-0.12</v>
      </c>
      <c r="AT31" s="55">
        <f>IF(ISBLANK(AS31),,IF(U31="S",AD31-AS31,AS31-AD31))</f>
        <v>9.999999999999995E-3</v>
      </c>
      <c r="AU31" s="54">
        <f>AV31*R31</f>
        <v>335.99999999999983</v>
      </c>
      <c r="AV31" s="56">
        <f>IF(ISBLANK(AS31),,(AT31*Z31))</f>
        <v>15.999999999999993</v>
      </c>
      <c r="AW31" s="57" t="s">
        <v>101</v>
      </c>
      <c r="AX31" s="96"/>
      <c r="AY31" s="96"/>
      <c r="AZ31" s="96"/>
      <c r="BA31" s="96"/>
      <c r="BB31" s="96"/>
      <c r="BC31" s="96"/>
      <c r="BD31" s="96"/>
      <c r="BE31" s="96"/>
      <c r="BF31" s="100"/>
      <c r="BG31" s="94">
        <f>SUM($AV$4:AV31)</f>
        <v>119.90822510822517</v>
      </c>
      <c r="BH31" s="95">
        <f>SUM($AU$4:AU31)</f>
        <v>1616.0000000000005</v>
      </c>
      <c r="BI31" s="80">
        <f>SUMIFS($AU$3:AU32,$Q$3:Q32,"F")</f>
        <v>256</v>
      </c>
      <c r="BJ31" s="80">
        <f>SUMIFS($AU$3:AU32,$Q$3:Q32,"S")</f>
        <v>1360.0000000000005</v>
      </c>
      <c r="BK31" s="87">
        <f>SUMIFS($AU$3:AU32,$P$3:P32,"W")</f>
        <v>1360.0000000000005</v>
      </c>
      <c r="BL31" s="87">
        <f>SUMIFS($AU$3:AU32,$P$3:P32,"R")</f>
        <v>256</v>
      </c>
      <c r="BM31" s="87">
        <f>SUMIFS($AU$3:AU32,$AQ$3:AQ32,"M")</f>
        <v>399.99999999999983</v>
      </c>
      <c r="BN31" s="87">
        <f>SUMIFS($AU$3:AU32,$AQ$3:AQ32,"H")</f>
        <v>1120.0000000000002</v>
      </c>
      <c r="BO31" s="87">
        <f>SUMIFS($AU$3:AU32,$AQ$3:AQ32,"D")</f>
        <v>-159.99999999999957</v>
      </c>
      <c r="BP31" s="87">
        <f>SUMIFS($AU$3:AU34,$AQ$3:AQ34,"W")</f>
        <v>256</v>
      </c>
      <c r="BQ31" s="87">
        <f>SUMIFS($AU$3:AU32,$Q$3:Q32,"O")</f>
        <v>0</v>
      </c>
      <c r="BR31" s="87">
        <f>SUMIFS($AU$3:AU32,$AA$3:AA32,"*")</f>
        <v>1776.0000000000002</v>
      </c>
      <c r="BS31" s="87">
        <f>SUMIFS($AU$3:AU32,$AB$3:AB32,"*")</f>
        <v>448.00000000000034</v>
      </c>
      <c r="BT31" s="87">
        <f>SUMIFS($AU$3:AU32,$AC$3:AC32,"*")</f>
        <v>-63.999999999999943</v>
      </c>
      <c r="BU31" s="87">
        <f>SUMIFS($AU$3:AU32,$AA$3:AA32,"*",$AB$3:AB32,"*")</f>
        <v>272.00000000000006</v>
      </c>
      <c r="BV31" s="87">
        <f>SUMIFS($AU$3:AU32,$AA$3:AA32,"*",$AC$3:AC32,"*")</f>
        <v>272.00000000000006</v>
      </c>
      <c r="BW31" s="87">
        <f>SUMIFS($AU$3:AU32,$AB$3:AB32,"*",$AC$3:AC32,"*")</f>
        <v>272.00000000000006</v>
      </c>
      <c r="BX31" s="87">
        <f>SUMIFS($AV$3:AV32,$Q$3:Q32,"F")</f>
        <v>7.3142857142857149</v>
      </c>
      <c r="BY31" s="87">
        <f>SUMIFS($AV$3:AV32,$Q$3:Q32,"S")</f>
        <v>112.59393939393945</v>
      </c>
      <c r="BZ31" s="87">
        <f>SUMIFS($AV$3:AV32,$Q$3:Q32,"O")</f>
        <v>0</v>
      </c>
    </row>
    <row r="32" spans="1:78" ht="18" customHeight="1">
      <c r="A32" s="45" t="s">
        <v>96</v>
      </c>
      <c r="B32" s="59">
        <v>45303</v>
      </c>
      <c r="C32" s="46" t="s">
        <v>223</v>
      </c>
      <c r="D32" s="46" t="s">
        <v>115</v>
      </c>
      <c r="E32" s="66"/>
      <c r="F32" s="47"/>
      <c r="G32" s="71" t="s">
        <v>227</v>
      </c>
      <c r="H32" s="49"/>
      <c r="I32" s="49"/>
      <c r="J32" s="49"/>
      <c r="K32" s="50"/>
      <c r="L32" s="49">
        <v>1</v>
      </c>
      <c r="M32" s="49"/>
      <c r="N32" s="49"/>
      <c r="O32" s="50" t="s">
        <v>100</v>
      </c>
      <c r="P32" s="50" t="s">
        <v>101</v>
      </c>
      <c r="Q32" s="50" t="s">
        <v>102</v>
      </c>
      <c r="R32" s="50">
        <v>21</v>
      </c>
      <c r="S32" s="50">
        <v>5</v>
      </c>
      <c r="T32" s="50">
        <v>10</v>
      </c>
      <c r="U32" s="50" t="s">
        <v>22</v>
      </c>
      <c r="V32" s="50"/>
      <c r="W32" s="50"/>
      <c r="X32" s="50"/>
      <c r="Y32" s="51">
        <f>IF(ISBLANK(O32),"",(IF(O32=UPPER("IB"),0.005,0.01)))</f>
        <v>0.01</v>
      </c>
      <c r="Z32" s="52">
        <f>IF(ISBLANK(O32),"",IF(O32="IB",8.63*200,IF(O32="IR",16*100,IF(O32="YT",20*100,IF(O32="YT-XT",24*200,IF(O32="TED",80*100))))))</f>
        <v>1600</v>
      </c>
      <c r="AA32" s="52" t="s">
        <v>228</v>
      </c>
      <c r="AB32" s="52"/>
      <c r="AC32" s="52"/>
      <c r="AD32" s="231">
        <v>-0.14000000000000001</v>
      </c>
      <c r="AE32" s="49"/>
      <c r="AF32" s="84"/>
      <c r="AG32" s="49"/>
      <c r="AH32" s="49"/>
      <c r="AI32" s="49"/>
      <c r="AJ32" s="226"/>
      <c r="AK32" s="49"/>
      <c r="AL32" s="113"/>
      <c r="AM32" s="113"/>
      <c r="AN32" s="218"/>
      <c r="AO32" s="49"/>
      <c r="AP32" s="49" t="s">
        <v>136</v>
      </c>
      <c r="AQ32" s="84" t="str">
        <f>UPPER(RIGHT(Journal_Live[[#This Row],[DURATION ]]))</f>
        <v>H</v>
      </c>
      <c r="AR32" s="49" t="s">
        <v>229</v>
      </c>
      <c r="AS32" s="55">
        <v>-0.14000000000000001</v>
      </c>
      <c r="AT32" s="55">
        <f>IF(ISBLANK(AS32),,IF(U32="S",AD32-AS32,AS32-AD32))</f>
        <v>0</v>
      </c>
      <c r="AU32" s="54">
        <f>AV32*R32</f>
        <v>0</v>
      </c>
      <c r="AV32" s="56">
        <f>IF(ISBLANK(AS32),,(AT32*Z32))</f>
        <v>0</v>
      </c>
      <c r="AW32" s="57" t="s">
        <v>155</v>
      </c>
      <c r="AX32" s="96" t="s">
        <v>230</v>
      </c>
      <c r="AY32" s="96" t="s">
        <v>231</v>
      </c>
      <c r="AZ32" s="96"/>
      <c r="BA32" s="96"/>
      <c r="BB32" s="96"/>
      <c r="BC32" s="96"/>
      <c r="BD32" s="96"/>
      <c r="BE32" s="96"/>
      <c r="BF32" s="100"/>
      <c r="BG32" s="94">
        <f>SUM($AV$4:AV32)</f>
        <v>119.90822510822517</v>
      </c>
      <c r="BH32" s="95">
        <f>SUM($AU$4:AU32)</f>
        <v>1616.0000000000005</v>
      </c>
      <c r="BI32" s="80">
        <f>SUMIFS($AU$3:AU33,$Q$3:Q33,"F")</f>
        <v>256</v>
      </c>
      <c r="BJ32" s="80">
        <f>SUMIFS($AU$3:AU33,$Q$3:Q33,"S")</f>
        <v>1360.0000000000005</v>
      </c>
      <c r="BK32" s="87">
        <f>SUMIFS($AU$3:AU33,$P$3:P33,"W")</f>
        <v>1360.0000000000005</v>
      </c>
      <c r="BL32" s="87">
        <f>SUMIFS($AU$3:AU33,$P$3:P33,"R")</f>
        <v>256</v>
      </c>
      <c r="BM32" s="87">
        <f>SUMIFS($AU$3:AU33,$AQ$3:AQ33,"M")</f>
        <v>399.99999999999983</v>
      </c>
      <c r="BN32" s="87">
        <f>SUMIFS($AU$3:AU33,$AQ$3:AQ33,"H")</f>
        <v>1120.0000000000002</v>
      </c>
      <c r="BO32" s="87">
        <f>SUMIFS($AU$3:AU33,$AQ$3:AQ33,"D")</f>
        <v>-159.99999999999957</v>
      </c>
      <c r="BP32" s="87">
        <f>SUMIFS($AU$3:AU35,$AQ$3:AQ35,"W")</f>
        <v>256</v>
      </c>
      <c r="BQ32" s="87">
        <f>SUMIFS($AU$3:AU33,$Q$3:Q33,"O")</f>
        <v>0</v>
      </c>
      <c r="BR32" s="87">
        <f>SUMIFS($AU$3:AU33,$AA$3:AA33,"*")</f>
        <v>1776.0000000000002</v>
      </c>
      <c r="BS32" s="87">
        <f>SUMIFS($AU$3:AU33,$AB$3:AB33,"*")</f>
        <v>448.00000000000034</v>
      </c>
      <c r="BT32" s="87">
        <f>SUMIFS($AU$3:AU33,$AC$3:AC33,"*")</f>
        <v>-63.999999999999943</v>
      </c>
      <c r="BU32" s="87">
        <f>SUMIFS($AU$3:AU33,$AA$3:AA33,"*",$AB$3:AB33,"*")</f>
        <v>272.00000000000006</v>
      </c>
      <c r="BV32" s="87">
        <f>SUMIFS($AU$3:AU33,$AA$3:AA33,"*",$AC$3:AC33,"*")</f>
        <v>272.00000000000006</v>
      </c>
      <c r="BW32" s="87">
        <f>SUMIFS($AU$3:AU33,$AB$3:AB33,"*",$AC$3:AC33,"*")</f>
        <v>272.00000000000006</v>
      </c>
      <c r="BX32" s="87">
        <f>SUMIFS($AV$3:AV33,$Q$3:Q33,"F")</f>
        <v>7.3142857142857149</v>
      </c>
      <c r="BY32" s="87">
        <f>SUMIFS($AV$3:AV33,$Q$3:Q33,"S")</f>
        <v>112.59393939393945</v>
      </c>
      <c r="BZ32" s="87">
        <f>SUMIFS($AV$3:AV33,$Q$3:Q33,"O")</f>
        <v>0</v>
      </c>
    </row>
    <row r="33" spans="1:78" ht="18" customHeight="1">
      <c r="A33" s="45" t="s">
        <v>96</v>
      </c>
      <c r="B33" s="59">
        <v>45303</v>
      </c>
      <c r="C33" s="46" t="s">
        <v>232</v>
      </c>
      <c r="D33" s="46" t="s">
        <v>115</v>
      </c>
      <c r="E33" s="66"/>
      <c r="F33" s="47"/>
      <c r="G33" s="71" t="s">
        <v>111</v>
      </c>
      <c r="H33" s="49"/>
      <c r="I33" s="49"/>
      <c r="J33" s="49"/>
      <c r="K33" s="50"/>
      <c r="L33" s="49">
        <v>1</v>
      </c>
      <c r="M33" s="49"/>
      <c r="N33" s="49"/>
      <c r="O33" s="50" t="s">
        <v>100</v>
      </c>
      <c r="P33" s="50" t="s">
        <v>101</v>
      </c>
      <c r="Q33" s="50" t="s">
        <v>102</v>
      </c>
      <c r="R33" s="50">
        <v>16</v>
      </c>
      <c r="S33" s="50">
        <v>5</v>
      </c>
      <c r="T33" s="50">
        <v>16</v>
      </c>
      <c r="U33" s="50" t="s">
        <v>22</v>
      </c>
      <c r="V33" s="50"/>
      <c r="W33" s="50"/>
      <c r="X33" s="50"/>
      <c r="Y33" s="51">
        <f>IF(ISBLANK(O33),"",(IF(O33=UPPER("IB"),0.005,0.01)))</f>
        <v>0.01</v>
      </c>
      <c r="Z33" s="52">
        <f>IF(ISBLANK(O33),"",IF(O33="IB",8.63*200,IF(O33="IR",16*100,IF(O33="YT",20*100,IF(O33="YT-XT",24*200,IF(O33="TED",80*100))))))</f>
        <v>1600</v>
      </c>
      <c r="AA33" s="52" t="s">
        <v>177</v>
      </c>
      <c r="AB33" s="52"/>
      <c r="AC33" s="52"/>
      <c r="AD33" s="231">
        <v>-0.14000000000000001</v>
      </c>
      <c r="AE33" s="49"/>
      <c r="AF33" s="84"/>
      <c r="AG33" s="49"/>
      <c r="AH33" s="49"/>
      <c r="AI33" s="49"/>
      <c r="AJ33" s="226"/>
      <c r="AK33" s="49"/>
      <c r="AL33" s="113"/>
      <c r="AM33" s="113"/>
      <c r="AN33" s="218"/>
      <c r="AO33" s="49"/>
      <c r="AP33" s="49" t="s">
        <v>233</v>
      </c>
      <c r="AQ33" s="84" t="str">
        <f>UPPER(RIGHT(Journal_Live[[#This Row],[DURATION ]]))</f>
        <v>M</v>
      </c>
      <c r="AR33" s="49" t="s">
        <v>234</v>
      </c>
      <c r="AS33" s="55">
        <v>-0.14000000000000001</v>
      </c>
      <c r="AT33" s="55">
        <f>IF(ISBLANK(AS33),,IF(U33="S",AD33-AS33,AS33-AD33))</f>
        <v>0</v>
      </c>
      <c r="AU33" s="54">
        <f>AV33*R33</f>
        <v>0</v>
      </c>
      <c r="AV33" s="56">
        <f>IF(ISBLANK(AS33),,(AT33*Z33))</f>
        <v>0</v>
      </c>
      <c r="AW33" s="57" t="s">
        <v>155</v>
      </c>
      <c r="AX33" s="96"/>
      <c r="AY33" s="96"/>
      <c r="AZ33" s="96"/>
      <c r="BA33" s="96"/>
      <c r="BB33" s="96"/>
      <c r="BC33" s="96"/>
      <c r="BD33" s="96"/>
      <c r="BE33" s="96"/>
      <c r="BF33" s="100"/>
      <c r="BG33" s="94">
        <f>SUM($AV$4:AV33)</f>
        <v>119.90822510822517</v>
      </c>
      <c r="BH33" s="95">
        <f>SUM($AU$4:AU33)</f>
        <v>1616.0000000000005</v>
      </c>
      <c r="BI33" s="80">
        <f>SUMIFS($AU$3:AU34,$Q$3:Q34,"F")</f>
        <v>256</v>
      </c>
      <c r="BJ33" s="80">
        <f>SUMIFS($AU$3:AU34,$Q$3:Q34,"S")</f>
        <v>1360.0000000000005</v>
      </c>
      <c r="BK33" s="87">
        <f>SUMIFS($AU$3:AU34,$P$3:P34,"W")</f>
        <v>1360.0000000000005</v>
      </c>
      <c r="BL33" s="87">
        <f>SUMIFS($AU$3:AU34,$P$3:P34,"R")</f>
        <v>256</v>
      </c>
      <c r="BM33" s="87">
        <f>SUMIFS($AU$3:AU34,$AQ$3:AQ34,"M")</f>
        <v>399.99999999999983</v>
      </c>
      <c r="BN33" s="87">
        <f>SUMIFS($AU$3:AU34,$AQ$3:AQ34,"H")</f>
        <v>1120.0000000000002</v>
      </c>
      <c r="BO33" s="87">
        <f>SUMIFS($AU$3:AU34,$AQ$3:AQ34,"D")</f>
        <v>-159.99999999999957</v>
      </c>
      <c r="BP33" s="87">
        <f>SUMIFS($AU$3:AU36,$AQ$3:AQ36,"W")</f>
        <v>256</v>
      </c>
      <c r="BQ33" s="87">
        <f>SUMIFS($AU$3:AU34,$Q$3:Q34,"O")</f>
        <v>0</v>
      </c>
      <c r="BR33" s="87">
        <f>SUMIFS($AU$3:AU34,$AA$3:AA34,"*")</f>
        <v>1776.0000000000002</v>
      </c>
      <c r="BS33" s="87">
        <f>SUMIFS($AU$3:AU34,$AB$3:AB34,"*")</f>
        <v>448.00000000000034</v>
      </c>
      <c r="BT33" s="87">
        <f>SUMIFS($AU$3:AU34,$AC$3:AC34,"*")</f>
        <v>-63.999999999999943</v>
      </c>
      <c r="BU33" s="87">
        <f>SUMIFS($AU$3:AU34,$AA$3:AA34,"*",$AB$3:AB34,"*")</f>
        <v>272.00000000000006</v>
      </c>
      <c r="BV33" s="87">
        <f>SUMIFS($AU$3:AU34,$AA$3:AA34,"*",$AC$3:AC34,"*")</f>
        <v>272.00000000000006</v>
      </c>
      <c r="BW33" s="87">
        <f>SUMIFS($AU$3:AU34,$AB$3:AB34,"*",$AC$3:AC34,"*")</f>
        <v>272.00000000000006</v>
      </c>
      <c r="BX33" s="87">
        <f>SUMIFS($AV$3:AV34,$Q$3:Q34,"F")</f>
        <v>7.3142857142857149</v>
      </c>
      <c r="BY33" s="87">
        <f>SUMIFS($AV$3:AV34,$Q$3:Q34,"S")</f>
        <v>112.59393939393945</v>
      </c>
      <c r="BZ33" s="87">
        <f>SUMIFS($AV$3:AV34,$Q$3:Q34,"O")</f>
        <v>0</v>
      </c>
    </row>
    <row r="34" spans="1:78" ht="18" customHeight="1">
      <c r="A34" s="45" t="s">
        <v>96</v>
      </c>
      <c r="B34" s="59">
        <v>45303</v>
      </c>
      <c r="C34" s="46" t="s">
        <v>235</v>
      </c>
      <c r="D34" s="46" t="s">
        <v>115</v>
      </c>
      <c r="E34" s="66"/>
      <c r="F34" s="47"/>
      <c r="G34" s="48" t="s">
        <v>236</v>
      </c>
      <c r="H34" s="49"/>
      <c r="I34" s="49"/>
      <c r="J34" s="49"/>
      <c r="K34" s="50"/>
      <c r="L34" s="49"/>
      <c r="M34" s="49"/>
      <c r="N34" s="49"/>
      <c r="O34" s="50"/>
      <c r="P34" s="50"/>
      <c r="Q34" s="50"/>
      <c r="R34" s="50"/>
      <c r="S34" s="50"/>
      <c r="T34" s="50"/>
      <c r="U34" s="50"/>
      <c r="V34" s="50"/>
      <c r="W34" s="50"/>
      <c r="X34" s="50"/>
      <c r="Y34" s="51"/>
      <c r="Z34" s="52"/>
      <c r="AA34" s="52"/>
      <c r="AB34" s="52"/>
      <c r="AC34" s="52"/>
      <c r="AD34" s="231"/>
      <c r="AE34" s="49"/>
      <c r="AF34" s="84"/>
      <c r="AG34" s="49"/>
      <c r="AH34" s="49"/>
      <c r="AI34" s="49"/>
      <c r="AJ34" s="226"/>
      <c r="AK34" s="49"/>
      <c r="AL34" s="113"/>
      <c r="AM34" s="113"/>
      <c r="AN34" s="218"/>
      <c r="AO34" s="49"/>
      <c r="AP34" s="49"/>
      <c r="AQ34" s="84" t="str">
        <f>UPPER(RIGHT(Journal_Live[[#This Row],[DURATION ]]))</f>
        <v/>
      </c>
      <c r="AR34" s="49"/>
      <c r="AS34" s="55"/>
      <c r="AT34" s="55"/>
      <c r="AU34" s="54"/>
      <c r="AV34" s="56"/>
      <c r="AW34" s="57"/>
      <c r="AX34" s="96" t="s">
        <v>237</v>
      </c>
      <c r="AY34" s="96" t="s">
        <v>238</v>
      </c>
      <c r="AZ34" s="96"/>
      <c r="BA34" s="96"/>
      <c r="BB34" s="96"/>
      <c r="BC34" s="96"/>
      <c r="BD34" s="96"/>
      <c r="BE34" s="96"/>
      <c r="BF34" s="100"/>
      <c r="BG34" s="94">
        <f>SUM($AV$4:AV34)</f>
        <v>119.90822510822517</v>
      </c>
      <c r="BH34" s="95">
        <f>SUM($AU$4:AU34)</f>
        <v>1616.0000000000005</v>
      </c>
      <c r="BI34" s="80">
        <f>SUMIFS($AU$3:AU35,$Q$3:Q35,"F")</f>
        <v>256</v>
      </c>
      <c r="BJ34" s="80">
        <f>SUMIFS($AU$3:AU35,$Q$3:Q35,"S")</f>
        <v>1360.0000000000005</v>
      </c>
      <c r="BK34" s="87">
        <f>SUMIFS($AU$3:AU35,$P$3:P35,"W")</f>
        <v>1360.0000000000005</v>
      </c>
      <c r="BL34" s="87">
        <f>SUMIFS($AU$3:AU35,$P$3:P35,"R")</f>
        <v>256</v>
      </c>
      <c r="BM34" s="87">
        <f>SUMIFS($AU$3:AU35,$AQ$3:AQ35,"M")</f>
        <v>399.99999999999983</v>
      </c>
      <c r="BN34" s="87">
        <f>SUMIFS($AU$3:AU35,$AQ$3:AQ35,"H")</f>
        <v>1120.0000000000002</v>
      </c>
      <c r="BO34" s="87">
        <f>SUMIFS($AU$3:AU35,$AQ$3:AQ35,"D")</f>
        <v>-159.99999999999957</v>
      </c>
      <c r="BP34" s="87">
        <f>SUMIFS($AU$3:AU37,$AQ$3:AQ37,"W")</f>
        <v>256</v>
      </c>
      <c r="BQ34" s="87">
        <f>SUMIFS($AU$3:AU35,$Q$3:Q35,"O")</f>
        <v>0</v>
      </c>
      <c r="BR34" s="87">
        <f>SUMIFS($AU$3:AU35,$AA$3:AA35,"*")</f>
        <v>1776.0000000000002</v>
      </c>
      <c r="BS34" s="87">
        <f>SUMIFS($AU$3:AU35,$AB$3:AB35,"*")</f>
        <v>448.00000000000034</v>
      </c>
      <c r="BT34" s="87">
        <f>SUMIFS($AU$3:AU35,$AC$3:AC35,"*")</f>
        <v>-63.999999999999943</v>
      </c>
      <c r="BU34" s="87">
        <f>SUMIFS($AU$3:AU35,$AA$3:AA35,"*",$AB$3:AB35,"*")</f>
        <v>272.00000000000006</v>
      </c>
      <c r="BV34" s="87">
        <f>SUMIFS($AU$3:AU35,$AA$3:AA35,"*",$AC$3:AC35,"*")</f>
        <v>272.00000000000006</v>
      </c>
      <c r="BW34" s="87">
        <f>SUMIFS($AU$3:AU35,$AB$3:AB35,"*",$AC$3:AC35,"*")</f>
        <v>272.00000000000006</v>
      </c>
      <c r="BX34" s="87">
        <f>SUMIFS($AV$3:AV35,$Q$3:Q35,"F")</f>
        <v>7.3142857142857149</v>
      </c>
      <c r="BY34" s="87">
        <f>SUMIFS($AV$3:AV35,$Q$3:Q35,"S")</f>
        <v>112.59393939393945</v>
      </c>
      <c r="BZ34" s="87">
        <f>SUMIFS($AV$3:AV35,$Q$3:Q35,"O")</f>
        <v>0</v>
      </c>
    </row>
    <row r="35" spans="1:78" ht="18" customHeight="1">
      <c r="A35" s="45" t="s">
        <v>96</v>
      </c>
      <c r="B35" s="59">
        <v>45303</v>
      </c>
      <c r="C35" s="46" t="s">
        <v>235</v>
      </c>
      <c r="D35" s="46" t="s">
        <v>115</v>
      </c>
      <c r="E35" s="66"/>
      <c r="F35" s="47"/>
      <c r="G35" s="48"/>
      <c r="H35" s="49"/>
      <c r="I35" s="49"/>
      <c r="J35" s="49"/>
      <c r="K35" s="50"/>
      <c r="L35" s="49"/>
      <c r="M35" s="49"/>
      <c r="N35" s="49"/>
      <c r="O35" s="50"/>
      <c r="P35" s="50"/>
      <c r="Q35" s="50"/>
      <c r="R35" s="50"/>
      <c r="S35" s="50"/>
      <c r="T35" s="50"/>
      <c r="U35" s="50"/>
      <c r="V35" s="50"/>
      <c r="W35" s="50"/>
      <c r="X35" s="50"/>
      <c r="Y35" s="51"/>
      <c r="Z35" s="52"/>
      <c r="AA35" s="52"/>
      <c r="AB35" s="52"/>
      <c r="AC35" s="52"/>
      <c r="AD35" s="231"/>
      <c r="AE35" s="49"/>
      <c r="AF35" s="84"/>
      <c r="AG35" s="49"/>
      <c r="AH35" s="49"/>
      <c r="AI35" s="49"/>
      <c r="AJ35" s="226"/>
      <c r="AK35" s="49"/>
      <c r="AL35" s="113"/>
      <c r="AM35" s="113"/>
      <c r="AN35" s="218"/>
      <c r="AO35" s="49"/>
      <c r="AP35" s="49"/>
      <c r="AQ35" s="84" t="str">
        <f>UPPER(RIGHT(Journal_Live[[#This Row],[DURATION ]]))</f>
        <v/>
      </c>
      <c r="AR35" s="49"/>
      <c r="AS35" s="55"/>
      <c r="AT35" s="55"/>
      <c r="AU35" s="54"/>
      <c r="AV35" s="56"/>
      <c r="AW35" s="57"/>
      <c r="AX35" s="96"/>
      <c r="AY35" s="96"/>
      <c r="AZ35" s="96"/>
      <c r="BA35" s="96"/>
      <c r="BB35" s="96"/>
      <c r="BC35" s="96"/>
      <c r="BD35" s="96"/>
      <c r="BE35" s="96"/>
      <c r="BF35" s="100"/>
      <c r="BG35" s="94">
        <f>SUM($AV$4:AV35)</f>
        <v>119.90822510822517</v>
      </c>
      <c r="BH35" s="95">
        <f>SUM($AU$4:AU35)</f>
        <v>1616.0000000000005</v>
      </c>
      <c r="BI35" s="80">
        <f>SUMIFS($AU$3:AU36,$Q$3:Q36,"F")</f>
        <v>256</v>
      </c>
      <c r="BJ35" s="80">
        <f>SUMIFS($AU$3:AU36,$Q$3:Q36,"S")</f>
        <v>1360.0000000000005</v>
      </c>
      <c r="BK35" s="87">
        <f>SUMIFS($AU$3:AU36,$P$3:P36,"W")</f>
        <v>1360.0000000000005</v>
      </c>
      <c r="BL35" s="87">
        <f>SUMIFS($AU$3:AU36,$P$3:P36,"R")</f>
        <v>256</v>
      </c>
      <c r="BM35" s="87">
        <f>SUMIFS($AU$3:AU36,$AQ$3:AQ36,"M")</f>
        <v>399.99999999999983</v>
      </c>
      <c r="BN35" s="87">
        <f>SUMIFS($AU$3:AU36,$AQ$3:AQ36,"H")</f>
        <v>1120.0000000000002</v>
      </c>
      <c r="BO35" s="87">
        <f>SUMIFS($AU$3:AU36,$AQ$3:AQ36,"D")</f>
        <v>-159.99999999999957</v>
      </c>
      <c r="BP35" s="87">
        <f>SUMIFS($AU$3:AU38,$AQ$3:AQ38,"W")</f>
        <v>256</v>
      </c>
      <c r="BQ35" s="87">
        <f>SUMIFS($AU$3:AU36,$Q$3:Q36,"O")</f>
        <v>0</v>
      </c>
      <c r="BR35" s="87">
        <f>SUMIFS($AU$3:AU36,$AA$3:AA36,"*")</f>
        <v>1776.0000000000002</v>
      </c>
      <c r="BS35" s="87">
        <f>SUMIFS($AU$3:AU36,$AB$3:AB36,"*")</f>
        <v>448.00000000000034</v>
      </c>
      <c r="BT35" s="87">
        <f>SUMIFS($AU$3:AU36,$AC$3:AC36,"*")</f>
        <v>-63.999999999999943</v>
      </c>
      <c r="BU35" s="87">
        <f>SUMIFS($AU$3:AU36,$AA$3:AA36,"*",$AB$3:AB36,"*")</f>
        <v>272.00000000000006</v>
      </c>
      <c r="BV35" s="87">
        <f>SUMIFS($AU$3:AU36,$AA$3:AA36,"*",$AC$3:AC36,"*")</f>
        <v>272.00000000000006</v>
      </c>
      <c r="BW35" s="87">
        <f>SUMIFS($AU$3:AU36,$AB$3:AB36,"*",$AC$3:AC36,"*")</f>
        <v>272.00000000000006</v>
      </c>
      <c r="BX35" s="87">
        <f>SUMIFS($AV$3:AV36,$Q$3:Q36,"F")</f>
        <v>7.3142857142857149</v>
      </c>
      <c r="BY35" s="87">
        <f>SUMIFS($AV$3:AV36,$Q$3:Q36,"S")</f>
        <v>112.59393939393945</v>
      </c>
      <c r="BZ35" s="87">
        <f>SUMIFS($AV$3:AV36,$Q$3:Q36,"O")</f>
        <v>0</v>
      </c>
    </row>
    <row r="36" spans="1:78" ht="18" customHeight="1">
      <c r="A36" s="45" t="s">
        <v>96</v>
      </c>
      <c r="B36" s="59">
        <v>45303</v>
      </c>
      <c r="C36" s="46" t="s">
        <v>239</v>
      </c>
      <c r="D36" s="46" t="s">
        <v>115</v>
      </c>
      <c r="E36" s="66"/>
      <c r="F36" s="47"/>
      <c r="G36" s="48" t="s">
        <v>240</v>
      </c>
      <c r="H36" s="49"/>
      <c r="I36" s="49"/>
      <c r="J36" s="49"/>
      <c r="K36" s="50"/>
      <c r="L36" s="49"/>
      <c r="M36" s="49"/>
      <c r="N36" s="49"/>
      <c r="O36" s="50"/>
      <c r="P36" s="50"/>
      <c r="Q36" s="50"/>
      <c r="R36" s="50"/>
      <c r="S36" s="50"/>
      <c r="T36" s="50"/>
      <c r="U36" s="50"/>
      <c r="V36" s="50"/>
      <c r="W36" s="50"/>
      <c r="X36" s="50"/>
      <c r="Y36" s="51"/>
      <c r="Z36" s="52"/>
      <c r="AA36" s="52"/>
      <c r="AB36" s="52"/>
      <c r="AC36" s="52"/>
      <c r="AD36" s="231"/>
      <c r="AE36" s="49"/>
      <c r="AF36" s="84"/>
      <c r="AG36" s="49"/>
      <c r="AH36" s="96" t="s">
        <v>241</v>
      </c>
      <c r="AI36" s="49"/>
      <c r="AJ36" s="226"/>
      <c r="AK36" s="49"/>
      <c r="AL36" s="113"/>
      <c r="AM36" s="113"/>
      <c r="AN36" s="218"/>
      <c r="AO36" s="49"/>
      <c r="AP36" s="49"/>
      <c r="AQ36" s="84" t="str">
        <f>UPPER(RIGHT(Journal_Live[[#This Row],[DURATION ]]))</f>
        <v/>
      </c>
      <c r="AR36" s="49"/>
      <c r="AS36" s="55"/>
      <c r="AT36" s="55"/>
      <c r="AU36" s="54"/>
      <c r="AV36" s="56"/>
      <c r="AW36" s="57"/>
      <c r="AX36" s="96"/>
      <c r="AY36" s="96"/>
      <c r="AZ36" s="96"/>
      <c r="BA36" s="96"/>
      <c r="BB36" s="96"/>
      <c r="BC36" s="96"/>
      <c r="BD36" s="96"/>
      <c r="BE36" s="96"/>
      <c r="BF36" s="100"/>
      <c r="BG36" s="94">
        <f>SUM($AV$4:AV36)</f>
        <v>119.90822510822517</v>
      </c>
      <c r="BH36" s="95">
        <f>SUM($AU$4:AU36)</f>
        <v>1616.0000000000005</v>
      </c>
      <c r="BI36" s="80">
        <f>SUMIFS($AU$3:AU37,$Q$3:Q37,"F")</f>
        <v>256</v>
      </c>
      <c r="BJ36" s="80">
        <f>SUMIFS($AU$3:AU37,$Q$3:Q37,"S")</f>
        <v>1360.0000000000005</v>
      </c>
      <c r="BK36" s="87">
        <f>SUMIFS($AU$3:AU37,$P$3:P37,"W")</f>
        <v>1360.0000000000005</v>
      </c>
      <c r="BL36" s="87">
        <f>SUMIFS($AU$3:AU37,$P$3:P37,"R")</f>
        <v>256</v>
      </c>
      <c r="BM36" s="87">
        <f>SUMIFS($AU$3:AU37,$AQ$3:AQ37,"M")</f>
        <v>399.99999999999983</v>
      </c>
      <c r="BN36" s="87">
        <f>SUMIFS($AU$3:AU37,$AQ$3:AQ37,"H")</f>
        <v>1120.0000000000002</v>
      </c>
      <c r="BO36" s="87">
        <f>SUMIFS($AU$3:AU37,$AQ$3:AQ37,"D")</f>
        <v>-159.99999999999957</v>
      </c>
      <c r="BP36" s="87">
        <f>SUMIFS($AU$3:AU39,$AQ$3:AQ39,"W")</f>
        <v>256</v>
      </c>
      <c r="BQ36" s="87">
        <f>SUMIFS($AU$3:AU37,$Q$3:Q37,"O")</f>
        <v>0</v>
      </c>
      <c r="BR36" s="87">
        <f>SUMIFS($AU$3:AU37,$AA$3:AA37,"*")</f>
        <v>1776.0000000000002</v>
      </c>
      <c r="BS36" s="87">
        <f>SUMIFS($AU$3:AU37,$AB$3:AB37,"*")</f>
        <v>448.00000000000034</v>
      </c>
      <c r="BT36" s="87">
        <f>SUMIFS($AU$3:AU37,$AC$3:AC37,"*")</f>
        <v>-63.999999999999943</v>
      </c>
      <c r="BU36" s="87">
        <f>SUMIFS($AU$3:AU37,$AA$3:AA37,"*",$AB$3:AB37,"*")</f>
        <v>272.00000000000006</v>
      </c>
      <c r="BV36" s="87">
        <f>SUMIFS($AU$3:AU37,$AA$3:AA37,"*",$AC$3:AC37,"*")</f>
        <v>272.00000000000006</v>
      </c>
      <c r="BW36" s="87">
        <f>SUMIFS($AU$3:AU37,$AB$3:AB37,"*",$AC$3:AC37,"*")</f>
        <v>272.00000000000006</v>
      </c>
      <c r="BX36" s="87">
        <f>SUMIFS($AV$3:AV37,$Q$3:Q37,"F")</f>
        <v>7.3142857142857149</v>
      </c>
      <c r="BY36" s="87">
        <f>SUMIFS($AV$3:AV37,$Q$3:Q37,"S")</f>
        <v>112.59393939393945</v>
      </c>
      <c r="BZ36" s="87">
        <f>SUMIFS($AV$3:AV37,$Q$3:Q37,"O")</f>
        <v>0</v>
      </c>
    </row>
    <row r="37" spans="1:78" ht="18" customHeight="1">
      <c r="A37" s="45" t="s">
        <v>96</v>
      </c>
      <c r="B37" s="59">
        <v>45303</v>
      </c>
      <c r="C37" s="46" t="s">
        <v>209</v>
      </c>
      <c r="D37" s="46" t="s">
        <v>115</v>
      </c>
      <c r="E37" s="66" t="s">
        <v>242</v>
      </c>
      <c r="F37" s="47"/>
      <c r="G37" s="48"/>
      <c r="H37" s="49"/>
      <c r="I37" s="49"/>
      <c r="J37" s="49">
        <v>1</v>
      </c>
      <c r="K37" s="50" t="s">
        <v>155</v>
      </c>
      <c r="L37" s="49"/>
      <c r="M37" s="49"/>
      <c r="N37" s="49"/>
      <c r="O37" s="50"/>
      <c r="P37" s="50"/>
      <c r="Q37" s="50"/>
      <c r="R37" s="50"/>
      <c r="S37" s="50"/>
      <c r="T37" s="50"/>
      <c r="U37" s="50"/>
      <c r="V37" s="50"/>
      <c r="W37" s="50"/>
      <c r="X37" s="50"/>
      <c r="Y37" s="50"/>
      <c r="Z37" s="50"/>
      <c r="AA37" s="52"/>
      <c r="AB37" s="52"/>
      <c r="AC37" s="52"/>
      <c r="AD37" s="231"/>
      <c r="AE37" s="49"/>
      <c r="AF37" s="84"/>
      <c r="AG37" s="49"/>
      <c r="AH37" s="96"/>
      <c r="AI37" s="49"/>
      <c r="AJ37" s="226"/>
      <c r="AK37" s="49"/>
      <c r="AL37" s="113">
        <f t="shared" ref="AL37:AL38" si="1">-0.03*Z37</f>
        <v>0</v>
      </c>
      <c r="AM37" s="113">
        <f>AL37*(R37-S37)</f>
        <v>0</v>
      </c>
      <c r="AN37" s="218"/>
      <c r="AO37" s="49"/>
      <c r="AP37" s="49"/>
      <c r="AQ37" s="84" t="str">
        <f>UPPER(RIGHT(Journal_Live[[#This Row],[DURATION ]]))</f>
        <v/>
      </c>
      <c r="AR37" s="49"/>
      <c r="AS37" s="55"/>
      <c r="AT37" s="55"/>
      <c r="AU37" s="54"/>
      <c r="AV37" s="56"/>
      <c r="AW37" s="57"/>
      <c r="AX37" s="96" t="s">
        <v>243</v>
      </c>
      <c r="AY37" s="96" t="s">
        <v>244</v>
      </c>
      <c r="AZ37" s="96" t="s">
        <v>245</v>
      </c>
      <c r="BA37" s="96"/>
      <c r="BB37" s="96"/>
      <c r="BC37" s="96"/>
      <c r="BD37" s="96"/>
      <c r="BE37" s="96"/>
      <c r="BF37" s="100"/>
      <c r="BG37" s="94">
        <f>SUM($AV$4:AV37)</f>
        <v>119.90822510822517</v>
      </c>
      <c r="BH37" s="95">
        <f>SUM($AU$4:AU37)</f>
        <v>1616.0000000000005</v>
      </c>
      <c r="BI37" s="80">
        <f>SUMIFS($AU$3:AU38,$Q$3:Q38,"F")</f>
        <v>256</v>
      </c>
      <c r="BJ37" s="80">
        <f>SUMIFS($AU$3:AU38,$Q$3:Q38,"S")</f>
        <v>1456</v>
      </c>
      <c r="BK37" s="87">
        <f>SUMIFS($AU$3:AU38,$P$3:P38,"W")</f>
        <v>1456</v>
      </c>
      <c r="BL37" s="87">
        <f>SUMIFS($AU$3:AU38,$P$3:P38,"R")</f>
        <v>256</v>
      </c>
      <c r="BM37" s="87">
        <f>SUMIFS($AU$3:AU38,$AQ$3:AQ38,"M")</f>
        <v>399.99999999999983</v>
      </c>
      <c r="BN37" s="87">
        <f>SUMIFS($AU$3:AU38,$AQ$3:AQ38,"H")</f>
        <v>1120.0000000000002</v>
      </c>
      <c r="BO37" s="87">
        <f>SUMIFS($AU$3:AU38,$AQ$3:AQ38,"D")</f>
        <v>-64.000000000000071</v>
      </c>
      <c r="BP37" s="87">
        <f>SUMIFS($AU$3:AU40,$AQ$3:AQ40,"W")</f>
        <v>256</v>
      </c>
      <c r="BQ37" s="87">
        <f>SUMIFS($AU$3:AU38,$Q$3:Q38,"O")</f>
        <v>0</v>
      </c>
      <c r="BR37" s="87">
        <f>SUMIFS($AU$3:AU38,$AA$3:AA38,"*")</f>
        <v>1776.0000000000002</v>
      </c>
      <c r="BS37" s="87">
        <f>SUMIFS($AU$3:AU38,$AB$3:AB38,"*")</f>
        <v>543.99999999999989</v>
      </c>
      <c r="BT37" s="87">
        <f>SUMIFS($AU$3:AU38,$AC$3:AC38,"*")</f>
        <v>-63.999999999999943</v>
      </c>
      <c r="BU37" s="87">
        <f>SUMIFS($AU$3:AU38,$AA$3:AA38,"*",$AB$3:AB38,"*")</f>
        <v>272.00000000000006</v>
      </c>
      <c r="BV37" s="87">
        <f>SUMIFS($AU$3:AU38,$AA$3:AA38,"*",$AC$3:AC38,"*")</f>
        <v>272.00000000000006</v>
      </c>
      <c r="BW37" s="87">
        <f>SUMIFS($AU$3:AU38,$AB$3:AB38,"*",$AC$3:AC38,"*")</f>
        <v>272.00000000000006</v>
      </c>
      <c r="BX37" s="87">
        <f>SUMIFS($AV$3:AV38,$Q$3:Q38,"F")</f>
        <v>7.3142857142857149</v>
      </c>
      <c r="BY37" s="87">
        <f>SUMIFS($AV$3:AV38,$Q$3:Q38,"S")</f>
        <v>118.24099821746883</v>
      </c>
      <c r="BZ37" s="87">
        <f>SUMIFS($AV$3:AV38,$Q$3:Q38,"O")</f>
        <v>0</v>
      </c>
    </row>
    <row r="38" spans="1:78" ht="18" customHeight="1">
      <c r="A38" s="45" t="s">
        <v>96</v>
      </c>
      <c r="B38" s="59">
        <v>45303</v>
      </c>
      <c r="C38" s="46" t="s">
        <v>147</v>
      </c>
      <c r="D38" s="46" t="s">
        <v>115</v>
      </c>
      <c r="E38" s="66"/>
      <c r="F38" s="47"/>
      <c r="G38" s="71" t="s">
        <v>99</v>
      </c>
      <c r="H38" s="49"/>
      <c r="I38" s="49"/>
      <c r="J38" s="49"/>
      <c r="K38" s="50"/>
      <c r="L38" s="49">
        <v>1</v>
      </c>
      <c r="M38" s="49"/>
      <c r="N38" s="49"/>
      <c r="O38" s="50" t="s">
        <v>100</v>
      </c>
      <c r="P38" s="50" t="s">
        <v>101</v>
      </c>
      <c r="Q38" s="50" t="s">
        <v>102</v>
      </c>
      <c r="R38" s="50">
        <v>17</v>
      </c>
      <c r="S38" s="50">
        <v>10</v>
      </c>
      <c r="T38" s="50">
        <v>7</v>
      </c>
      <c r="U38" s="50" t="s">
        <v>102</v>
      </c>
      <c r="V38" s="50"/>
      <c r="W38" s="50"/>
      <c r="X38" s="50"/>
      <c r="Y38" s="51">
        <f>IF(ISBLANK(O38),"",(IF(O38=UPPER("IB"),0.005,0.01)))</f>
        <v>0.01</v>
      </c>
      <c r="Z38" s="52">
        <f>IF(ISBLANK(O38),"",IF(O38="IB",8.63*200,IF(O38="IR",16*100,IF(O38="YT",20*100,IF(O38="YT-XT",24*200,IF(O38="TED",80*100))))))</f>
        <v>1600</v>
      </c>
      <c r="AA38" s="52"/>
      <c r="AB38" s="97" t="s">
        <v>221</v>
      </c>
      <c r="AC38" s="52"/>
      <c r="AD38" s="231">
        <f>((-0.08*7)+(-0.11*2)+(-0.12*8))/17</f>
        <v>-0.10235294117647059</v>
      </c>
      <c r="AE38" s="49"/>
      <c r="AF38" s="84"/>
      <c r="AG38" s="49"/>
      <c r="AH38" s="49" t="s">
        <v>246</v>
      </c>
      <c r="AI38" s="49"/>
      <c r="AJ38" s="226"/>
      <c r="AK38" s="49"/>
      <c r="AL38" s="113">
        <f t="shared" si="1"/>
        <v>-48</v>
      </c>
      <c r="AM38" s="113">
        <f>AL38*(R38-S38)</f>
        <v>-336</v>
      </c>
      <c r="AN38" s="218"/>
      <c r="AO38" s="49"/>
      <c r="AP38" s="49" t="s">
        <v>247</v>
      </c>
      <c r="AQ38" s="84" t="str">
        <f>UPPER(RIGHT(Journal_Live[[#This Row],[DURATION ]]))</f>
        <v>D</v>
      </c>
      <c r="AR38" s="49" t="s">
        <v>248</v>
      </c>
      <c r="AS38" s="55">
        <f>((-0.12*7)+(-0.11*3)+(-0.09*7))/17</f>
        <v>-0.10588235294117646</v>
      </c>
      <c r="AT38" s="55">
        <f>IF(ISBLANK(AS38),,IF(U38="S",AD38-AS38,AS38-AD38))</f>
        <v>3.5294117647058643E-3</v>
      </c>
      <c r="AU38" s="54">
        <f>AV38*R38</f>
        <v>95.999999999999503</v>
      </c>
      <c r="AV38" s="56">
        <f>IF(ISBLANK(AS38),,(AT38*Z38))</f>
        <v>5.6470588235293828</v>
      </c>
      <c r="AW38" s="57" t="s">
        <v>101</v>
      </c>
      <c r="AX38" s="96" t="s">
        <v>249</v>
      </c>
      <c r="AY38" s="96" t="s">
        <v>250</v>
      </c>
      <c r="AZ38" s="96" t="s">
        <v>251</v>
      </c>
      <c r="BA38" s="96" t="s">
        <v>252</v>
      </c>
      <c r="BB38" s="96" t="s">
        <v>253</v>
      </c>
      <c r="BC38" s="96"/>
      <c r="BD38" s="96"/>
      <c r="BE38" s="96"/>
      <c r="BF38" s="100"/>
      <c r="BG38" s="94">
        <f>SUM($AV$4:AV38)</f>
        <v>125.55528393175454</v>
      </c>
      <c r="BH38" s="95">
        <f>SUM($AU$4:AU38)</f>
        <v>1712</v>
      </c>
      <c r="BI38" s="80">
        <f>SUMIFS($AU$3:AU39,$Q$3:Q39,"F")</f>
        <v>544</v>
      </c>
      <c r="BJ38" s="80">
        <f>SUMIFS($AU$3:AU39,$Q$3:Q39,"S")</f>
        <v>1456</v>
      </c>
      <c r="BK38" s="87">
        <f>SUMIFS($AU$3:AU39,$P$3:P39,"W")</f>
        <v>1456</v>
      </c>
      <c r="BL38" s="87">
        <f>SUMIFS($AU$3:AU39,$P$3:P39,"R")</f>
        <v>544</v>
      </c>
      <c r="BM38" s="87">
        <f>SUMIFS($AU$3:AU39,$AQ$3:AQ39,"M")</f>
        <v>399.99999999999983</v>
      </c>
      <c r="BN38" s="87">
        <f>SUMIFS($AU$3:AU39,$AQ$3:AQ39,"H")</f>
        <v>1120.0000000000002</v>
      </c>
      <c r="BO38" s="87">
        <f>SUMIFS($AU$3:AU39,$AQ$3:AQ39,"D")</f>
        <v>224</v>
      </c>
      <c r="BP38" s="87">
        <f>SUMIFS($AU$3:AU41,$AQ$3:AQ41,"W")</f>
        <v>256</v>
      </c>
      <c r="BQ38" s="87">
        <f>SUMIFS($AU$3:AU39,$Q$3:Q39,"O")</f>
        <v>0</v>
      </c>
      <c r="BR38" s="87">
        <f>SUMIFS($AU$3:AU39,$AA$3:AA39,"*")</f>
        <v>2064.0000000000005</v>
      </c>
      <c r="BS38" s="87">
        <f>SUMIFS($AU$3:AU39,$AB$3:AB39,"*")</f>
        <v>543.99999999999989</v>
      </c>
      <c r="BT38" s="87">
        <f>SUMIFS($AU$3:AU39,$AC$3:AC39,"*")</f>
        <v>224.00000000000011</v>
      </c>
      <c r="BU38" s="87">
        <f>SUMIFS($AU$3:AU39,$AA$3:AA39,"*",$AB$3:AB39,"*")</f>
        <v>272.00000000000006</v>
      </c>
      <c r="BV38" s="87">
        <f>SUMIFS($AU$3:AU39,$AA$3:AA39,"*",$AC$3:AC39,"*")</f>
        <v>560.00000000000011</v>
      </c>
      <c r="BW38" s="87">
        <f>SUMIFS($AU$3:AU39,$AB$3:AB39,"*",$AC$3:AC39,"*")</f>
        <v>272.00000000000006</v>
      </c>
      <c r="BX38" s="87">
        <f>SUMIFS($AV$3:AV39,$Q$3:Q39,"F")</f>
        <v>23.314285714285717</v>
      </c>
      <c r="BY38" s="87">
        <f>SUMIFS($AV$3:AV39,$Q$3:Q39,"S")</f>
        <v>118.24099821746883</v>
      </c>
      <c r="BZ38" s="87">
        <f>SUMIFS($AV$3:AV39,$Q$3:Q39,"O")</f>
        <v>0</v>
      </c>
    </row>
    <row r="39" spans="1:78" ht="18" customHeight="1">
      <c r="A39" s="45" t="s">
        <v>96</v>
      </c>
      <c r="B39" s="59">
        <v>45303</v>
      </c>
      <c r="C39" s="46" t="s">
        <v>254</v>
      </c>
      <c r="D39" s="46" t="s">
        <v>115</v>
      </c>
      <c r="E39" s="66"/>
      <c r="F39" s="47"/>
      <c r="G39" s="71" t="s">
        <v>255</v>
      </c>
      <c r="H39" s="49"/>
      <c r="I39" s="49"/>
      <c r="J39" s="49"/>
      <c r="K39" s="50"/>
      <c r="L39" s="49">
        <v>1</v>
      </c>
      <c r="M39" s="49"/>
      <c r="N39" s="49"/>
      <c r="O39" s="50" t="s">
        <v>100</v>
      </c>
      <c r="P39" s="50" t="s">
        <v>126</v>
      </c>
      <c r="Q39" s="50" t="s">
        <v>127</v>
      </c>
      <c r="R39" s="50">
        <v>18</v>
      </c>
      <c r="S39" s="50">
        <v>18</v>
      </c>
      <c r="T39" s="50">
        <v>33</v>
      </c>
      <c r="U39" s="50" t="s">
        <v>22</v>
      </c>
      <c r="V39" s="50"/>
      <c r="W39" s="50"/>
      <c r="X39" s="50"/>
      <c r="Y39" s="51">
        <f>IF(ISBLANK(O39),"",(IF(O39=UPPER("IB"),0.005,0.01)))</f>
        <v>0.01</v>
      </c>
      <c r="Z39" s="52">
        <f>IF(ISBLANK(O39),"",IF(O39="IB",8.63*200,IF(O39="IR",16*100,IF(O39="YT",20*100,IF(O39="YT-XT",24*200,IF(O39="TED",80*100))))))</f>
        <v>1600</v>
      </c>
      <c r="AA39" s="52" t="s">
        <v>256</v>
      </c>
      <c r="AB39" s="52"/>
      <c r="AC39" s="52" t="s">
        <v>257</v>
      </c>
      <c r="AD39" s="231">
        <v>-0.04</v>
      </c>
      <c r="AE39" s="49"/>
      <c r="AF39" s="84"/>
      <c r="AG39" s="49"/>
      <c r="AH39" s="96" t="s">
        <v>258</v>
      </c>
      <c r="AI39" s="49"/>
      <c r="AJ39" s="226"/>
      <c r="AK39" s="49"/>
      <c r="AL39" s="113">
        <f>-0.025*Z39</f>
        <v>-40</v>
      </c>
      <c r="AM39" s="113">
        <f>AL39*(R39-S39)</f>
        <v>0</v>
      </c>
      <c r="AN39" s="218"/>
      <c r="AO39" s="49"/>
      <c r="AP39" s="49" t="s">
        <v>259</v>
      </c>
      <c r="AQ39" s="84" t="s">
        <v>155</v>
      </c>
      <c r="AR39" s="49" t="s">
        <v>260</v>
      </c>
      <c r="AS39" s="55">
        <v>-0.03</v>
      </c>
      <c r="AT39" s="55">
        <f>IF(ISBLANK(AS39),,IF(U39="S",AD39-AS39,AS39-AD39))</f>
        <v>1.0000000000000002E-2</v>
      </c>
      <c r="AU39" s="54">
        <f>AV39*R39</f>
        <v>288.00000000000006</v>
      </c>
      <c r="AV39" s="56">
        <f>IF(ISBLANK(AS39),,(AT39*Z39))</f>
        <v>16.000000000000004</v>
      </c>
      <c r="AW39" s="57" t="s">
        <v>101</v>
      </c>
      <c r="AX39" s="96" t="s">
        <v>261</v>
      </c>
      <c r="AY39" s="96"/>
      <c r="AZ39" s="96"/>
      <c r="BA39" s="96"/>
      <c r="BB39" s="96"/>
      <c r="BC39" s="96"/>
      <c r="BD39" s="96"/>
      <c r="BE39" s="96"/>
      <c r="BF39" s="100"/>
      <c r="BG39" s="94">
        <f>SUM($AV$4:AV39)</f>
        <v>141.55528393175456</v>
      </c>
      <c r="BH39" s="95">
        <f>SUM($AU$4:AU39)</f>
        <v>2000</v>
      </c>
      <c r="BI39" s="80">
        <f>SUMIFS($AU$3:AU40,$Q$3:Q40,"F")</f>
        <v>544</v>
      </c>
      <c r="BJ39" s="80">
        <f>SUMIFS($AU$3:AU40,$Q$3:Q40,"S")</f>
        <v>1456</v>
      </c>
      <c r="BK39" s="87">
        <f>SUMIFS($AU$3:AU40,$P$3:P40,"W")</f>
        <v>1456</v>
      </c>
      <c r="BL39" s="87">
        <f>SUMIFS($AU$3:AU40,$P$3:P40,"R")</f>
        <v>544</v>
      </c>
      <c r="BM39" s="87">
        <f>SUMIFS($AU$3:AU40,$AQ$3:AQ40,"M")</f>
        <v>399.99999999999983</v>
      </c>
      <c r="BN39" s="87">
        <f>SUMIFS($AU$3:AU40,$AQ$3:AQ40,"H")</f>
        <v>1120.0000000000002</v>
      </c>
      <c r="BO39" s="87">
        <f>SUMIFS($AU$3:AU40,$AQ$3:AQ40,"D")</f>
        <v>224</v>
      </c>
      <c r="BP39" s="87">
        <f>SUMIFS($AU$3:AU42,$AQ$3:AQ42,"W")</f>
        <v>256</v>
      </c>
      <c r="BQ39" s="87">
        <f>SUMIFS($AU$3:AU40,$Q$3:Q40,"O")</f>
        <v>0</v>
      </c>
      <c r="BR39" s="87">
        <f>SUMIFS($AU$3:AU40,$AA$3:AA40,"*")</f>
        <v>2064.0000000000005</v>
      </c>
      <c r="BS39" s="87">
        <f>SUMIFS($AU$3:AU40,$AB$3:AB40,"*")</f>
        <v>543.99999999999989</v>
      </c>
      <c r="BT39" s="87">
        <f>SUMIFS($AU$3:AU40,$AC$3:AC40,"*")</f>
        <v>224.00000000000011</v>
      </c>
      <c r="BU39" s="87">
        <f>SUMIFS($AU$3:AU40,$AA$3:AA40,"*",$AB$3:AB40,"*")</f>
        <v>272.00000000000006</v>
      </c>
      <c r="BV39" s="87">
        <f>SUMIFS($AU$3:AU40,$AA$3:AA40,"*",$AC$3:AC40,"*")</f>
        <v>560.00000000000011</v>
      </c>
      <c r="BW39" s="87">
        <f>SUMIFS($AU$3:AU40,$AB$3:AB40,"*",$AC$3:AC40,"*")</f>
        <v>272.00000000000006</v>
      </c>
      <c r="BX39" s="87">
        <f>SUMIFS($AV$3:AV40,$Q$3:Q40,"F")</f>
        <v>23.314285714285717</v>
      </c>
      <c r="BY39" s="87">
        <f>SUMIFS($AV$3:AV40,$Q$3:Q40,"S")</f>
        <v>118.24099821746883</v>
      </c>
      <c r="BZ39" s="87">
        <f>SUMIFS($AV$3:AV40,$Q$3:Q40,"O")</f>
        <v>0</v>
      </c>
    </row>
    <row r="40" spans="1:78" ht="18" customHeight="1">
      <c r="A40" s="45" t="s">
        <v>96</v>
      </c>
      <c r="B40" s="59">
        <v>45303</v>
      </c>
      <c r="C40" s="46" t="s">
        <v>262</v>
      </c>
      <c r="D40" s="46" t="s">
        <v>115</v>
      </c>
      <c r="E40" s="66"/>
      <c r="F40" s="47"/>
      <c r="G40" s="71" t="s">
        <v>113</v>
      </c>
      <c r="H40" s="49"/>
      <c r="I40" s="49"/>
      <c r="J40" s="49"/>
      <c r="K40" s="50"/>
      <c r="L40" s="49">
        <v>1</v>
      </c>
      <c r="M40" s="49"/>
      <c r="N40" s="49"/>
      <c r="O40" s="50" t="s">
        <v>100</v>
      </c>
      <c r="P40" s="50" t="s">
        <v>126</v>
      </c>
      <c r="Q40" s="50" t="s">
        <v>102</v>
      </c>
      <c r="R40" s="50">
        <v>35</v>
      </c>
      <c r="S40" s="50">
        <v>20</v>
      </c>
      <c r="T40" s="50">
        <v>33</v>
      </c>
      <c r="U40" s="50" t="s">
        <v>102</v>
      </c>
      <c r="V40" s="50"/>
      <c r="W40" s="50"/>
      <c r="X40" s="50"/>
      <c r="Y40" s="51">
        <f>IF(ISBLANK(O40),"",(IF(O40=UPPER("IB"),0.005,0.01)))</f>
        <v>0.01</v>
      </c>
      <c r="Z40" s="52">
        <f>IF(ISBLANK(O40),"",IF(O40="IB",8.63*200,IF(O40="IR",16*100,IF(O40="YT",20*100,IF(O40="YT-XT",24*200,IF(O40="TED",80*100))))))</f>
        <v>1600</v>
      </c>
      <c r="AA40" s="52" t="s">
        <v>263</v>
      </c>
      <c r="AB40" s="52"/>
      <c r="AC40" s="52" t="s">
        <v>264</v>
      </c>
      <c r="AD40" s="231">
        <v>-0.04</v>
      </c>
      <c r="AE40" s="49"/>
      <c r="AF40" s="84"/>
      <c r="AG40" s="49"/>
      <c r="AH40" s="49"/>
      <c r="AI40" s="49"/>
      <c r="AJ40" s="226"/>
      <c r="AK40" s="49"/>
      <c r="AL40" s="113">
        <f>-0.02*Z40</f>
        <v>-32</v>
      </c>
      <c r="AM40" s="113">
        <f>AL40*(R40-S40)</f>
        <v>-480</v>
      </c>
      <c r="AN40" s="218"/>
      <c r="AO40" s="49"/>
      <c r="AP40" s="49" t="s">
        <v>265</v>
      </c>
      <c r="AQ40" s="84" t="s">
        <v>155</v>
      </c>
      <c r="AR40" s="49" t="s">
        <v>266</v>
      </c>
      <c r="AS40" s="55">
        <v>-0.04</v>
      </c>
      <c r="AT40" s="55">
        <f>IF(ISBLANK(AS40),,IF(U40="S",AD40-AS40,AS40-AD40))</f>
        <v>0</v>
      </c>
      <c r="AU40" s="54">
        <f>AV40*R40</f>
        <v>0</v>
      </c>
      <c r="AV40" s="56">
        <f>IF(ISBLANK(AS40),,(AT40*Z40))</f>
        <v>0</v>
      </c>
      <c r="AW40" s="57" t="s">
        <v>155</v>
      </c>
      <c r="AX40" s="96" t="s">
        <v>267</v>
      </c>
      <c r="AY40" s="96"/>
      <c r="AZ40" s="96"/>
      <c r="BA40" s="96"/>
      <c r="BB40" s="96"/>
      <c r="BC40" s="96"/>
      <c r="BD40" s="96"/>
      <c r="BE40" s="96"/>
      <c r="BF40" s="100"/>
      <c r="BG40" s="94">
        <f>SUM($AV$4:AV40)</f>
        <v>141.55528393175456</v>
      </c>
      <c r="BH40" s="95">
        <f>SUM($AU$4:AU40)</f>
        <v>2000</v>
      </c>
      <c r="BI40" s="80">
        <f>SUMIFS($AU$3:AU41,$Q$3:Q41,"F")</f>
        <v>544</v>
      </c>
      <c r="BJ40" s="80">
        <f>SUMIFS($AU$3:AU41,$Q$3:Q41,"S")</f>
        <v>1840.0000000000005</v>
      </c>
      <c r="BK40" s="87">
        <f>SUMIFS($AU$3:AU41,$P$3:P41,"W")</f>
        <v>1840.0000000000005</v>
      </c>
      <c r="BL40" s="87">
        <f>SUMIFS($AU$3:AU41,$P$3:P41,"R")</f>
        <v>544</v>
      </c>
      <c r="BM40" s="87">
        <f>SUMIFS($AU$3:AU41,$AQ$3:AQ41,"M")</f>
        <v>784.00000000000023</v>
      </c>
      <c r="BN40" s="87">
        <f>SUMIFS($AU$3:AU41,$AQ$3:AQ41,"H")</f>
        <v>1120.0000000000002</v>
      </c>
      <c r="BO40" s="87">
        <f>SUMIFS($AU$3:AU41,$AQ$3:AQ41,"D")</f>
        <v>224</v>
      </c>
      <c r="BP40" s="87">
        <f>SUMIFS($AU$3:AU43,$AQ$3:AQ43,"W")</f>
        <v>256</v>
      </c>
      <c r="BQ40" s="87">
        <f>SUMIFS($AU$3:AU41,$Q$3:Q41,"O")</f>
        <v>0</v>
      </c>
      <c r="BR40" s="87">
        <f>SUMIFS($AU$3:AU41,$AA$3:AA41,"*")</f>
        <v>2448.0000000000009</v>
      </c>
      <c r="BS40" s="87">
        <f>SUMIFS($AU$3:AU41,$AB$3:AB41,"*")</f>
        <v>543.99999999999989</v>
      </c>
      <c r="BT40" s="87">
        <f>SUMIFS($AU$3:AU41,$AC$3:AC41,"*")</f>
        <v>224.00000000000011</v>
      </c>
      <c r="BU40" s="87">
        <f>SUMIFS($AU$3:AU41,$AA$3:AA41,"*",$AB$3:AB41,"*")</f>
        <v>272.00000000000006</v>
      </c>
      <c r="BV40" s="87">
        <f>SUMIFS($AU$3:AU41,$AA$3:AA41,"*",$AC$3:AC41,"*")</f>
        <v>560.00000000000011</v>
      </c>
      <c r="BW40" s="87">
        <f>SUMIFS($AU$3:AU41,$AB$3:AB41,"*",$AC$3:AC41,"*")</f>
        <v>272.00000000000006</v>
      </c>
      <c r="BX40" s="87">
        <f>SUMIFS($AV$3:AV41,$Q$3:Q41,"F")</f>
        <v>23.314285714285717</v>
      </c>
      <c r="BY40" s="87">
        <f>SUMIFS($AV$3:AV41,$Q$3:Q41,"S")</f>
        <v>134.24099821746884</v>
      </c>
      <c r="BZ40" s="87">
        <f>SUMIFS($AV$3:AV41,$Q$3:Q41,"O")</f>
        <v>0</v>
      </c>
    </row>
    <row r="41" spans="1:78" ht="18" customHeight="1">
      <c r="A41" s="45" t="s">
        <v>96</v>
      </c>
      <c r="B41" s="59">
        <v>45303</v>
      </c>
      <c r="C41" s="46" t="s">
        <v>268</v>
      </c>
      <c r="D41" s="46" t="s">
        <v>115</v>
      </c>
      <c r="E41" s="66"/>
      <c r="F41" s="47"/>
      <c r="G41" s="71" t="s">
        <v>269</v>
      </c>
      <c r="H41" s="49"/>
      <c r="I41" s="49"/>
      <c r="J41" s="49"/>
      <c r="K41" s="50"/>
      <c r="L41" s="49">
        <v>1</v>
      </c>
      <c r="M41" s="49"/>
      <c r="N41" s="49"/>
      <c r="O41" s="50" t="s">
        <v>100</v>
      </c>
      <c r="P41" s="50" t="s">
        <v>101</v>
      </c>
      <c r="Q41" s="50" t="s">
        <v>102</v>
      </c>
      <c r="R41" s="50">
        <v>24</v>
      </c>
      <c r="S41" s="50">
        <v>0</v>
      </c>
      <c r="T41" s="50">
        <v>24</v>
      </c>
      <c r="U41" s="50" t="s">
        <v>22</v>
      </c>
      <c r="V41" s="50"/>
      <c r="W41" s="50"/>
      <c r="X41" s="50"/>
      <c r="Y41" s="51">
        <f>IF(ISBLANK(O41),"",(IF(O41=UPPER("IB"),0.005,0.01)))</f>
        <v>0.01</v>
      </c>
      <c r="Z41" s="52">
        <f>IF(ISBLANK(O41),"",IF(O41="IB",8.63*200,IF(O41="IR",16*100,IF(O41="YT",20*100,IF(O41="YT-XT",24*200,IF(O41="TED",80*100))))))</f>
        <v>1600</v>
      </c>
      <c r="AA41" s="52" t="s">
        <v>270</v>
      </c>
      <c r="AB41" s="52"/>
      <c r="AC41" s="52"/>
      <c r="AD41" s="231">
        <v>-0.14000000000000001</v>
      </c>
      <c r="AE41" s="49"/>
      <c r="AF41" s="84"/>
      <c r="AG41" s="49"/>
      <c r="AH41" s="49"/>
      <c r="AI41" s="49"/>
      <c r="AJ41" s="226"/>
      <c r="AK41" s="49"/>
      <c r="AL41" s="113"/>
      <c r="AM41" s="113"/>
      <c r="AN41" s="218"/>
      <c r="AO41" s="49"/>
      <c r="AP41" s="49" t="s">
        <v>271</v>
      </c>
      <c r="AQ41" s="84" t="str">
        <f>UPPER(RIGHT(Journal_Live[[#This Row],[DURATION ]]))</f>
        <v>M</v>
      </c>
      <c r="AR41" s="49" t="s">
        <v>272</v>
      </c>
      <c r="AS41" s="55">
        <v>-0.13</v>
      </c>
      <c r="AT41" s="55">
        <f>IF(ISBLANK(AS41),,IF(U41="S",AD41-AS41,AS41-AD41))</f>
        <v>1.0000000000000009E-2</v>
      </c>
      <c r="AU41" s="54">
        <f>AV41*R41</f>
        <v>384.00000000000034</v>
      </c>
      <c r="AV41" s="56">
        <f>IF(ISBLANK(AS41),,(AT41*Z41))</f>
        <v>16.000000000000014</v>
      </c>
      <c r="AW41" s="57" t="s">
        <v>101</v>
      </c>
      <c r="AX41" s="96"/>
      <c r="AY41" s="96"/>
      <c r="AZ41" s="96"/>
      <c r="BA41" s="96"/>
      <c r="BB41" s="96"/>
      <c r="BC41" s="96"/>
      <c r="BD41" s="96"/>
      <c r="BE41" s="96"/>
      <c r="BF41" s="100"/>
      <c r="BG41" s="94">
        <f>SUM($AV$4:AV41)</f>
        <v>157.55528393175456</v>
      </c>
      <c r="BH41" s="95">
        <f>SUM($AU$4:AU41)</f>
        <v>2384.0000000000005</v>
      </c>
      <c r="BI41" s="80">
        <f>SUMIFS($AU$3:AU42,$Q$3:Q42,"F")</f>
        <v>544</v>
      </c>
      <c r="BJ41" s="80">
        <f>SUMIFS($AU$3:AU42,$Q$3:Q42,"S")</f>
        <v>1840.0000000000005</v>
      </c>
      <c r="BK41" s="87">
        <f>SUMIFS($AU$3:AU42,$P$3:P42,"W")</f>
        <v>1840.0000000000005</v>
      </c>
      <c r="BL41" s="87">
        <f>SUMIFS($AU$3:AU42,$P$3:P42,"R")</f>
        <v>544</v>
      </c>
      <c r="BM41" s="87">
        <f>SUMIFS($AU$3:AU42,$AQ$3:AQ42,"M")</f>
        <v>784.00000000000023</v>
      </c>
      <c r="BN41" s="87">
        <f>SUMIFS($AU$3:AU42,$AQ$3:AQ42,"H")</f>
        <v>1120.0000000000002</v>
      </c>
      <c r="BO41" s="87">
        <f>SUMIFS($AU$3:AU42,$AQ$3:AQ42,"D")</f>
        <v>224</v>
      </c>
      <c r="BP41" s="87">
        <f>SUMIFS($AU$3:AU44,$AQ$3:AQ44,"W")</f>
        <v>256</v>
      </c>
      <c r="BQ41" s="87">
        <f>SUMIFS($AU$3:AU42,$Q$3:Q42,"O")</f>
        <v>0</v>
      </c>
      <c r="BR41" s="87">
        <f>SUMIFS($AU$3:AU42,$AA$3:AA42,"*")</f>
        <v>2448.0000000000009</v>
      </c>
      <c r="BS41" s="87">
        <f>SUMIFS($AU$3:AU42,$AB$3:AB42,"*")</f>
        <v>543.99999999999989</v>
      </c>
      <c r="BT41" s="87">
        <f>SUMIFS($AU$3:AU42,$AC$3:AC42,"*")</f>
        <v>224.00000000000011</v>
      </c>
      <c r="BU41" s="87">
        <f>SUMIFS($AU$3:AU42,$AA$3:AA42,"*",$AB$3:AB42,"*")</f>
        <v>272.00000000000006</v>
      </c>
      <c r="BV41" s="87">
        <f>SUMIFS($AU$3:AU42,$AA$3:AA42,"*",$AC$3:AC42,"*")</f>
        <v>560.00000000000011</v>
      </c>
      <c r="BW41" s="87">
        <f>SUMIFS($AU$3:AU42,$AB$3:AB42,"*",$AC$3:AC42,"*")</f>
        <v>272.00000000000006</v>
      </c>
      <c r="BX41" s="87">
        <f>SUMIFS($AV$3:AV42,$Q$3:Q42,"F")</f>
        <v>23.314285714285717</v>
      </c>
      <c r="BY41" s="87">
        <f>SUMIFS($AV$3:AV42,$Q$3:Q42,"S")</f>
        <v>134.24099821746884</v>
      </c>
      <c r="BZ41" s="87">
        <f>SUMIFS($AV$3:AV42,$Q$3:Q42,"O")</f>
        <v>0</v>
      </c>
    </row>
    <row r="42" spans="1:78" ht="18" customHeight="1">
      <c r="A42" s="45" t="s">
        <v>96</v>
      </c>
      <c r="B42" s="59">
        <v>45303</v>
      </c>
      <c r="C42" s="46" t="s">
        <v>273</v>
      </c>
      <c r="D42" s="46" t="s">
        <v>115</v>
      </c>
      <c r="E42" s="66"/>
      <c r="F42" s="47"/>
      <c r="G42" s="48" t="s">
        <v>99</v>
      </c>
      <c r="H42" s="49"/>
      <c r="I42" s="49"/>
      <c r="J42" s="49"/>
      <c r="K42" s="50"/>
      <c r="L42" s="49"/>
      <c r="M42" s="49"/>
      <c r="N42" s="49"/>
      <c r="O42" s="50"/>
      <c r="P42" s="50"/>
      <c r="Q42" s="50"/>
      <c r="R42" s="50"/>
      <c r="S42" s="50"/>
      <c r="T42" s="50"/>
      <c r="U42" s="50"/>
      <c r="V42" s="50"/>
      <c r="W42" s="50"/>
      <c r="X42" s="50"/>
      <c r="Y42" s="51"/>
      <c r="Z42" s="52"/>
      <c r="AA42" s="52"/>
      <c r="AB42" s="52"/>
      <c r="AC42" s="52"/>
      <c r="AD42" s="231"/>
      <c r="AE42" s="49"/>
      <c r="AF42" s="84"/>
      <c r="AG42" s="49"/>
      <c r="AH42" s="49"/>
      <c r="AI42" s="49"/>
      <c r="AJ42" s="226"/>
      <c r="AK42" s="49"/>
      <c r="AL42" s="113"/>
      <c r="AM42" s="113"/>
      <c r="AN42" s="218"/>
      <c r="AO42" s="49"/>
      <c r="AP42" s="49"/>
      <c r="AQ42" s="84" t="str">
        <f>UPPER(RIGHT(Journal_Live[[#This Row],[DURATION ]]))</f>
        <v/>
      </c>
      <c r="AR42" s="49"/>
      <c r="AS42" s="55"/>
      <c r="AT42" s="55"/>
      <c r="AU42" s="54"/>
      <c r="AV42" s="56"/>
      <c r="AW42" s="57"/>
      <c r="AX42" s="96" t="s">
        <v>274</v>
      </c>
      <c r="AY42" s="96"/>
      <c r="AZ42" s="96"/>
      <c r="BA42" s="96"/>
      <c r="BB42" s="96"/>
      <c r="BC42" s="96"/>
      <c r="BD42" s="96"/>
      <c r="BE42" s="96"/>
      <c r="BF42" s="100"/>
      <c r="BG42" s="94">
        <f>SUM($AV$4:AV42)</f>
        <v>157.55528393175456</v>
      </c>
      <c r="BH42" s="95">
        <f>SUM($AU$4:AU42)</f>
        <v>2384.0000000000005</v>
      </c>
      <c r="BI42" s="80">
        <f>SUMIFS($AU$3:AU43,$Q$3:Q43,"F")</f>
        <v>544</v>
      </c>
      <c r="BJ42" s="80">
        <f>SUMIFS($AU$3:AU43,$Q$3:Q43,"S")</f>
        <v>1840.0000000000005</v>
      </c>
      <c r="BK42" s="87">
        <f>SUMIFS($AU$3:AU43,$P$3:P43,"W")</f>
        <v>1840.0000000000005</v>
      </c>
      <c r="BL42" s="87">
        <f>SUMIFS($AU$3:AU43,$P$3:P43,"R")</f>
        <v>544</v>
      </c>
      <c r="BM42" s="87">
        <f>SUMIFS($AU$3:AU43,$AQ$3:AQ43,"M")</f>
        <v>784.00000000000023</v>
      </c>
      <c r="BN42" s="87">
        <f>SUMIFS($AU$3:AU43,$AQ$3:AQ43,"H")</f>
        <v>1120.0000000000002</v>
      </c>
      <c r="BO42" s="87">
        <f>SUMIFS($AU$3:AU43,$AQ$3:AQ43,"D")</f>
        <v>224</v>
      </c>
      <c r="BP42" s="87">
        <f>SUMIFS($AU$3:AU45,$AQ$3:AQ45,"W")</f>
        <v>256</v>
      </c>
      <c r="BQ42" s="87">
        <f>SUMIFS($AU$3:AU43,$Q$3:Q43,"O")</f>
        <v>0</v>
      </c>
      <c r="BR42" s="87">
        <f>SUMIFS($AU$3:AU43,$AA$3:AA43,"*")</f>
        <v>2448.0000000000009</v>
      </c>
      <c r="BS42" s="87">
        <f>SUMIFS($AU$3:AU43,$AB$3:AB43,"*")</f>
        <v>543.99999999999989</v>
      </c>
      <c r="BT42" s="87">
        <f>SUMIFS($AU$3:AU43,$AC$3:AC43,"*")</f>
        <v>224.00000000000011</v>
      </c>
      <c r="BU42" s="87">
        <f>SUMIFS($AU$3:AU43,$AA$3:AA43,"*",$AB$3:AB43,"*")</f>
        <v>272.00000000000006</v>
      </c>
      <c r="BV42" s="87">
        <f>SUMIFS($AU$3:AU43,$AA$3:AA43,"*",$AC$3:AC43,"*")</f>
        <v>560.00000000000011</v>
      </c>
      <c r="BW42" s="87">
        <f>SUMIFS($AU$3:AU43,$AB$3:AB43,"*",$AC$3:AC43,"*")</f>
        <v>272.00000000000006</v>
      </c>
      <c r="BX42" s="87">
        <f>SUMIFS($AV$3:AV43,$Q$3:Q43,"F")</f>
        <v>23.314285714285717</v>
      </c>
      <c r="BY42" s="87">
        <f>SUMIFS($AV$3:AV43,$Q$3:Q43,"S")</f>
        <v>134.24099821746884</v>
      </c>
      <c r="BZ42" s="87">
        <f>SUMIFS($AV$3:AV43,$Q$3:Q43,"O")</f>
        <v>0</v>
      </c>
    </row>
    <row r="43" spans="1:78" ht="18" customHeight="1">
      <c r="A43" s="45" t="s">
        <v>96</v>
      </c>
      <c r="B43" s="59">
        <v>45306</v>
      </c>
      <c r="C43" s="46" t="s">
        <v>275</v>
      </c>
      <c r="D43" s="46" t="s">
        <v>176</v>
      </c>
      <c r="E43" s="66"/>
      <c r="F43" s="47"/>
      <c r="G43" s="48" t="s">
        <v>276</v>
      </c>
      <c r="H43" s="49"/>
      <c r="I43" s="49"/>
      <c r="J43" s="49"/>
      <c r="K43" s="50"/>
      <c r="L43" s="49">
        <v>1</v>
      </c>
      <c r="M43" s="49"/>
      <c r="N43" s="49"/>
      <c r="O43" s="50" t="s">
        <v>100</v>
      </c>
      <c r="P43" s="50" t="s">
        <v>126</v>
      </c>
      <c r="Q43" s="50" t="s">
        <v>102</v>
      </c>
      <c r="R43" s="50">
        <v>4</v>
      </c>
      <c r="S43" s="50">
        <v>0</v>
      </c>
      <c r="T43" s="50">
        <v>4</v>
      </c>
      <c r="U43" s="50" t="s">
        <v>102</v>
      </c>
      <c r="V43" s="50"/>
      <c r="W43" s="50"/>
      <c r="X43" s="50"/>
      <c r="Y43" s="51">
        <f t="shared" ref="Y43:Y49" si="2">IF(ISBLANK(O43),"",(IF(O43=UPPER("IB"),0.005,0.01)))</f>
        <v>0.01</v>
      </c>
      <c r="Z43" s="52">
        <f t="shared" ref="Z43:Z49" si="3">IF(ISBLANK(O43),"",IF(O43="IB",8.63*200,IF(O43="IR",16*100,IF(O43="YT",20*100,IF(O43="YT-XT",24*200,IF(O43="TED",80*100))))))</f>
        <v>1600</v>
      </c>
      <c r="AA43" s="52" t="s">
        <v>277</v>
      </c>
      <c r="AB43" s="52"/>
      <c r="AC43" s="52" t="s">
        <v>278</v>
      </c>
      <c r="AD43" s="231">
        <v>-0.08</v>
      </c>
      <c r="AE43" s="49"/>
      <c r="AF43" s="84"/>
      <c r="AG43" s="49"/>
      <c r="AH43" s="49"/>
      <c r="AI43" s="49"/>
      <c r="AJ43" s="226"/>
      <c r="AK43" s="49"/>
      <c r="AL43" s="113">
        <f>-0.02*Z43</f>
        <v>-32</v>
      </c>
      <c r="AM43" s="113">
        <f>AL43*(R43-S43)</f>
        <v>-128</v>
      </c>
      <c r="AN43" s="218"/>
      <c r="AO43" s="49"/>
      <c r="AP43" s="49" t="s">
        <v>279</v>
      </c>
      <c r="AQ43" s="84" t="str">
        <f>UPPER(RIGHT(Journal_Live[[#This Row],[DURATION ]]))</f>
        <v>D</v>
      </c>
      <c r="AR43" s="49" t="s">
        <v>280</v>
      </c>
      <c r="AS43" s="55">
        <v>-0.08</v>
      </c>
      <c r="AT43" s="55">
        <f t="shared" ref="AT43:AT49" si="4">IF(ISBLANK(AS43),,IF(U43="S",AD43-AS43,AS43-AD43))</f>
        <v>0</v>
      </c>
      <c r="AU43" s="54">
        <f t="shared" ref="AU43:AU49" si="5">AV43*R43</f>
        <v>0</v>
      </c>
      <c r="AV43" s="56">
        <f t="shared" ref="AV43:AV49" si="6">IF(ISBLANK(AS43),,(AT43*Z43))</f>
        <v>0</v>
      </c>
      <c r="AW43" s="57" t="s">
        <v>155</v>
      </c>
      <c r="AX43" s="96"/>
      <c r="AY43" s="96"/>
      <c r="AZ43" s="96"/>
      <c r="BA43" s="96"/>
      <c r="BB43" s="96"/>
      <c r="BC43" s="96"/>
      <c r="BD43" s="96"/>
      <c r="BE43" s="96"/>
      <c r="BF43" s="100"/>
      <c r="BG43" s="94">
        <f>SUM($AV$4:AV43)</f>
        <v>157.55528393175456</v>
      </c>
      <c r="BH43" s="95">
        <f>SUM($AU$4:AU43)</f>
        <v>2384.0000000000005</v>
      </c>
      <c r="BI43" s="80">
        <f>SUMIFS($AU$3:AU44,$Q$3:Q44,"F")</f>
        <v>544</v>
      </c>
      <c r="BJ43" s="80">
        <f>SUMIFS($AU$3:AU44,$Q$3:Q44,"S")</f>
        <v>400.00000000000068</v>
      </c>
      <c r="BK43" s="87">
        <f>SUMIFS($AU$3:AU44,$P$3:P44,"W")</f>
        <v>400.00000000000068</v>
      </c>
      <c r="BL43" s="87">
        <f>SUMIFS($AU$3:AU44,$P$3:P44,"R")</f>
        <v>544</v>
      </c>
      <c r="BM43" s="87">
        <f>SUMIFS($AU$3:AU44,$AQ$3:AQ44,"M")</f>
        <v>784.00000000000023</v>
      </c>
      <c r="BN43" s="87">
        <f>SUMIFS($AU$3:AU44,$AQ$3:AQ44,"H")</f>
        <v>-319.99999999999955</v>
      </c>
      <c r="BO43" s="87">
        <f>SUMIFS($AU$3:AU44,$AQ$3:AQ44,"D")</f>
        <v>224</v>
      </c>
      <c r="BP43" s="87">
        <f>SUMIFS($AU$3:AU46,$AQ$3:AQ46,"W")</f>
        <v>256</v>
      </c>
      <c r="BQ43" s="87">
        <f>SUMIFS($AU$3:AU44,$Q$3:Q44,"O")</f>
        <v>0</v>
      </c>
      <c r="BR43" s="87">
        <f>SUMIFS($AU$3:AU44,$AA$3:AA44,"*")</f>
        <v>1008.0000000000011</v>
      </c>
      <c r="BS43" s="87">
        <f>SUMIFS($AU$3:AU44,$AB$3:AB44,"*")</f>
        <v>543.99999999999989</v>
      </c>
      <c r="BT43" s="87">
        <f>SUMIFS($AU$3:AU44,$AC$3:AC44,"*")</f>
        <v>224.00000000000011</v>
      </c>
      <c r="BU43" s="87">
        <f>SUMIFS($AU$3:AU44,$AA$3:AA44,"*",$AB$3:AB44,"*")</f>
        <v>272.00000000000006</v>
      </c>
      <c r="BV43" s="87">
        <f>SUMIFS($AU$3:AU44,$AA$3:AA44,"*",$AC$3:AC44,"*")</f>
        <v>560.00000000000011</v>
      </c>
      <c r="BW43" s="87">
        <f>SUMIFS($AU$3:AU44,$AB$3:AB44,"*",$AC$3:AC44,"*")</f>
        <v>272.00000000000006</v>
      </c>
      <c r="BX43" s="87">
        <f>SUMIFS($AV$3:AV44,$Q$3:Q44,"F")</f>
        <v>23.314285714285717</v>
      </c>
      <c r="BY43" s="87">
        <f>SUMIFS($AV$3:AV44,$Q$3:Q44,"S")</f>
        <v>71.632302565294935</v>
      </c>
      <c r="BZ43" s="87">
        <f>SUMIFS($AV$3:AV44,$Q$3:Q44,"O")</f>
        <v>0</v>
      </c>
    </row>
    <row r="44" spans="1:78" ht="18" customHeight="1">
      <c r="A44" s="45" t="s">
        <v>96</v>
      </c>
      <c r="B44" s="59">
        <v>45307</v>
      </c>
      <c r="C44" s="46" t="s">
        <v>281</v>
      </c>
      <c r="D44" s="46" t="s">
        <v>98</v>
      </c>
      <c r="E44" s="66"/>
      <c r="F44" s="47"/>
      <c r="G44" s="109" t="s">
        <v>99</v>
      </c>
      <c r="H44" s="49"/>
      <c r="I44" s="49"/>
      <c r="J44" s="49"/>
      <c r="K44" s="50"/>
      <c r="L44" s="49">
        <v>1</v>
      </c>
      <c r="M44" s="49"/>
      <c r="N44" s="49"/>
      <c r="O44" s="50" t="s">
        <v>100</v>
      </c>
      <c r="P44" s="50" t="s">
        <v>101</v>
      </c>
      <c r="Q44" s="50" t="s">
        <v>102</v>
      </c>
      <c r="R44" s="50">
        <v>23</v>
      </c>
      <c r="S44" s="50">
        <v>14</v>
      </c>
      <c r="T44" s="50">
        <v>7</v>
      </c>
      <c r="U44" s="50" t="s">
        <v>102</v>
      </c>
      <c r="V44" s="50"/>
      <c r="W44" s="50"/>
      <c r="X44" s="50"/>
      <c r="Y44" s="51">
        <f t="shared" si="2"/>
        <v>0.01</v>
      </c>
      <c r="Z44" s="52">
        <f t="shared" si="3"/>
        <v>1600</v>
      </c>
      <c r="AA44" s="52" t="s">
        <v>282</v>
      </c>
      <c r="AB44" s="52"/>
      <c r="AC44" s="52"/>
      <c r="AD44" s="231">
        <f>((-0.12*7)+(-0.09*16))/23</f>
        <v>-9.913043478260869E-2</v>
      </c>
      <c r="AE44" s="49"/>
      <c r="AF44" s="84"/>
      <c r="AG44" s="49"/>
      <c r="AH44" s="49"/>
      <c r="AI44" s="49"/>
      <c r="AJ44" s="226"/>
      <c r="AK44" s="49"/>
      <c r="AL44" s="113">
        <f t="shared" ref="AL44" si="7">-0.03*Z44</f>
        <v>-48</v>
      </c>
      <c r="AM44" s="113">
        <f>AL44*(R44-S44)</f>
        <v>-432</v>
      </c>
      <c r="AN44" s="218"/>
      <c r="AO44" s="49"/>
      <c r="AP44" s="49" t="s">
        <v>283</v>
      </c>
      <c r="AQ44" s="84" t="s">
        <v>142</v>
      </c>
      <c r="AR44" s="49" t="s">
        <v>284</v>
      </c>
      <c r="AS44" s="55">
        <v>-0.06</v>
      </c>
      <c r="AT44" s="55">
        <f t="shared" si="4"/>
        <v>-3.9130434782608692E-2</v>
      </c>
      <c r="AU44" s="54">
        <f t="shared" si="5"/>
        <v>-1439.9999999999998</v>
      </c>
      <c r="AV44" s="56">
        <f t="shared" si="6"/>
        <v>-62.608695652173907</v>
      </c>
      <c r="AW44" s="57" t="s">
        <v>121</v>
      </c>
      <c r="AX44" s="96" t="s">
        <v>274</v>
      </c>
      <c r="AY44" s="96" t="s">
        <v>285</v>
      </c>
      <c r="AZ44" s="96"/>
      <c r="BA44" s="96"/>
      <c r="BB44" s="96"/>
      <c r="BC44" s="96"/>
      <c r="BD44" s="96"/>
      <c r="BE44" s="96"/>
      <c r="BF44" s="100"/>
      <c r="BG44" s="94">
        <f>SUM($AV$4:AV44)</f>
        <v>94.946588279580652</v>
      </c>
      <c r="BH44" s="95">
        <f>SUM($AU$4:AU44)</f>
        <v>944.00000000000068</v>
      </c>
      <c r="BI44" s="80">
        <f>SUMIFS($AU$3:AU45,$Q$3:Q45,"F")</f>
        <v>544</v>
      </c>
      <c r="BJ44" s="80">
        <f>SUMIFS($AU$3:AU45,$Q$3:Q45,"S")</f>
        <v>400.00000000000068</v>
      </c>
      <c r="BK44" s="87">
        <f>SUMIFS($AU$3:AU45,$P$3:P45,"W")</f>
        <v>400.00000000000068</v>
      </c>
      <c r="BL44" s="87">
        <f>SUMIFS($AU$3:AU45,$P$3:P45,"R")</f>
        <v>544</v>
      </c>
      <c r="BM44" s="87">
        <f>SUMIFS($AU$3:AU45,$AQ$3:AQ45,"M")</f>
        <v>784.00000000000023</v>
      </c>
      <c r="BN44" s="87">
        <f>SUMIFS($AU$3:AU45,$AQ$3:AQ45,"H")</f>
        <v>-224</v>
      </c>
      <c r="BO44" s="87">
        <f>SUMIFS($AU$3:AU45,$AQ$3:AQ45,"D")</f>
        <v>224</v>
      </c>
      <c r="BP44" s="87">
        <f>SUMIFS($AU$3:AU47,$AQ$3:AQ47,"W")</f>
        <v>256</v>
      </c>
      <c r="BQ44" s="87">
        <f>SUMIFS($AU$3:AU45,$Q$3:Q45,"O")</f>
        <v>0</v>
      </c>
      <c r="BR44" s="87">
        <f>SUMIFS($AU$3:AU45,$AA$3:AA45,"*")</f>
        <v>1104.0000000000007</v>
      </c>
      <c r="BS44" s="87">
        <f>SUMIFS($AU$3:AU45,$AB$3:AB45,"*")</f>
        <v>639.99999999999943</v>
      </c>
      <c r="BT44" s="87">
        <f>SUMIFS($AU$3:AU45,$AC$3:AC45,"*")</f>
        <v>224.00000000000011</v>
      </c>
      <c r="BU44" s="87">
        <f>SUMIFS($AU$3:AU45,$AA$3:AA45,"*",$AB$3:AB45,"*")</f>
        <v>367.9999999999996</v>
      </c>
      <c r="BV44" s="87">
        <f>SUMIFS($AU$3:AU45,$AA$3:AA45,"*",$AC$3:AC45,"*")</f>
        <v>560.00000000000011</v>
      </c>
      <c r="BW44" s="87">
        <f>SUMIFS($AU$3:AU45,$AB$3:AB45,"*",$AC$3:AC45,"*")</f>
        <v>272.00000000000006</v>
      </c>
      <c r="BX44" s="87">
        <f>SUMIFS($AV$3:AV45,$Q$3:Q45,"F")</f>
        <v>23.314285714285717</v>
      </c>
      <c r="BY44" s="87">
        <f>SUMIFS($AV$3:AV45,$Q$3:Q45,"S")</f>
        <v>71.632302565294935</v>
      </c>
      <c r="BZ44" s="87">
        <f>SUMIFS($AV$3:AV45,$Q$3:Q45,"O")</f>
        <v>0</v>
      </c>
    </row>
    <row r="45" spans="1:78" ht="18" customHeight="1">
      <c r="A45" s="45" t="s">
        <v>96</v>
      </c>
      <c r="B45" s="59">
        <v>45307</v>
      </c>
      <c r="C45" s="46" t="s">
        <v>286</v>
      </c>
      <c r="D45" s="46" t="s">
        <v>98</v>
      </c>
      <c r="E45" s="66"/>
      <c r="F45" s="47"/>
      <c r="G45" s="71" t="s">
        <v>287</v>
      </c>
      <c r="H45" s="49"/>
      <c r="I45" s="49"/>
      <c r="J45" s="49"/>
      <c r="K45" s="50"/>
      <c r="L45" s="49">
        <v>1</v>
      </c>
      <c r="M45" s="49">
        <v>1</v>
      </c>
      <c r="N45" s="49"/>
      <c r="O45" s="50" t="s">
        <v>288</v>
      </c>
      <c r="P45" s="50" t="s">
        <v>197</v>
      </c>
      <c r="Q45" s="50"/>
      <c r="R45" s="50">
        <v>2</v>
      </c>
      <c r="S45" s="50">
        <v>1</v>
      </c>
      <c r="T45" s="50">
        <v>1</v>
      </c>
      <c r="U45" s="50" t="s">
        <v>102</v>
      </c>
      <c r="V45" s="50"/>
      <c r="W45" s="50"/>
      <c r="X45" s="50"/>
      <c r="Y45" s="51">
        <f t="shared" si="2"/>
        <v>0.01</v>
      </c>
      <c r="Z45" s="52">
        <f t="shared" si="3"/>
        <v>4800</v>
      </c>
      <c r="AA45" s="52" t="s">
        <v>289</v>
      </c>
      <c r="AB45" s="52" t="s">
        <v>290</v>
      </c>
      <c r="AC45" s="52"/>
      <c r="AD45" s="231">
        <f>(0.475+0.48)/2</f>
        <v>0.47749999999999998</v>
      </c>
      <c r="AE45" s="49"/>
      <c r="AF45" s="84"/>
      <c r="AG45" s="49"/>
      <c r="AH45" s="49">
        <v>43</v>
      </c>
      <c r="AI45" s="49"/>
      <c r="AJ45" s="226"/>
      <c r="AK45" s="49"/>
      <c r="AL45" s="113">
        <f>-0.05*Z45</f>
        <v>-240</v>
      </c>
      <c r="AM45" s="113">
        <f>AL45*(R45-S45)</f>
        <v>-240</v>
      </c>
      <c r="AN45" s="218"/>
      <c r="AO45" s="49"/>
      <c r="AP45" s="49" t="s">
        <v>283</v>
      </c>
      <c r="AQ45" s="84" t="s">
        <v>142</v>
      </c>
      <c r="AR45" s="49" t="s">
        <v>291</v>
      </c>
      <c r="AS45" s="55">
        <f>(0.46+0.475)/2</f>
        <v>0.46750000000000003</v>
      </c>
      <c r="AT45" s="55">
        <f t="shared" si="4"/>
        <v>9.9999999999999534E-3</v>
      </c>
      <c r="AU45" s="54">
        <f t="shared" si="5"/>
        <v>95.999999999999545</v>
      </c>
      <c r="AV45" s="56">
        <f t="shared" si="6"/>
        <v>47.999999999999773</v>
      </c>
      <c r="AW45" s="57" t="s">
        <v>101</v>
      </c>
      <c r="AX45" s="96" t="s">
        <v>292</v>
      </c>
      <c r="AY45" s="96"/>
      <c r="AZ45" s="96"/>
      <c r="BA45" s="96"/>
      <c r="BB45" s="96"/>
      <c r="BC45" s="96"/>
      <c r="BD45" s="96"/>
      <c r="BE45" s="96"/>
      <c r="BF45" s="100"/>
      <c r="BG45" s="94">
        <f>SUM($AV$4:AV45)</f>
        <v>142.94658827958042</v>
      </c>
      <c r="BH45" s="95">
        <f>SUM($AU$4:AU45)</f>
        <v>1040.0000000000002</v>
      </c>
      <c r="BI45" s="80">
        <f>SUMIFS($AU$3:AU46,$Q$3:Q46,"F")</f>
        <v>544</v>
      </c>
      <c r="BJ45" s="80">
        <f>SUMIFS($AU$3:AU46,$Q$3:Q46,"S")</f>
        <v>496.00000000000063</v>
      </c>
      <c r="BK45" s="87">
        <f>SUMIFS($AU$3:AU46,$P$3:P46,"W")</f>
        <v>496.00000000000063</v>
      </c>
      <c r="BL45" s="87">
        <f>SUMIFS($AU$3:AU46,$P$3:P46,"R")</f>
        <v>544</v>
      </c>
      <c r="BM45" s="87">
        <f>SUMIFS($AU$3:AU46,$AQ$3:AQ46,"M")</f>
        <v>784.00000000000023</v>
      </c>
      <c r="BN45" s="87">
        <f>SUMIFS($AU$3:AU46,$AQ$3:AQ46,"H")</f>
        <v>-128.00000000000006</v>
      </c>
      <c r="BO45" s="87">
        <f>SUMIFS($AU$3:AU46,$AQ$3:AQ46,"D")</f>
        <v>224</v>
      </c>
      <c r="BP45" s="87">
        <f>SUMIFS($AU$3:AU48,$AQ$3:AQ48,"W")</f>
        <v>256</v>
      </c>
      <c r="BQ45" s="87">
        <f>SUMIFS($AU$3:AU46,$Q$3:Q46,"O")</f>
        <v>0</v>
      </c>
      <c r="BR45" s="87">
        <f>SUMIFS($AU$3:AU46,$AA$3:AA46,"*")</f>
        <v>1200.0000000000007</v>
      </c>
      <c r="BS45" s="87">
        <f>SUMIFS($AU$3:AU46,$AB$3:AB46,"*")</f>
        <v>639.99999999999943</v>
      </c>
      <c r="BT45" s="87">
        <f>SUMIFS($AU$3:AU46,$AC$3:AC46,"*")</f>
        <v>224.00000000000011</v>
      </c>
      <c r="BU45" s="87">
        <f>SUMIFS($AU$3:AU46,$AA$3:AA46,"*",$AB$3:AB46,"*")</f>
        <v>367.9999999999996</v>
      </c>
      <c r="BV45" s="87">
        <f>SUMIFS($AU$3:AU46,$AA$3:AA46,"*",$AC$3:AC46,"*")</f>
        <v>560.00000000000011</v>
      </c>
      <c r="BW45" s="87">
        <f>SUMIFS($AU$3:AU46,$AB$3:AB46,"*",$AC$3:AC46,"*")</f>
        <v>272.00000000000006</v>
      </c>
      <c r="BX45" s="87">
        <f>SUMIFS($AV$3:AV46,$Q$3:Q46,"F")</f>
        <v>23.314285714285717</v>
      </c>
      <c r="BY45" s="87">
        <f>SUMIFS($AV$3:AV46,$Q$3:Q46,"S")</f>
        <v>87.632302565294935</v>
      </c>
      <c r="BZ45" s="87">
        <f>SUMIFS($AV$3:AV46,$Q$3:Q46,"O")</f>
        <v>0</v>
      </c>
    </row>
    <row r="46" spans="1:78" ht="18" customHeight="1">
      <c r="A46" s="45" t="s">
        <v>96</v>
      </c>
      <c r="B46" s="59">
        <v>45307</v>
      </c>
      <c r="C46" s="46" t="s">
        <v>293</v>
      </c>
      <c r="D46" s="46" t="s">
        <v>98</v>
      </c>
      <c r="E46" s="66"/>
      <c r="F46" s="47"/>
      <c r="G46" s="71" t="s">
        <v>181</v>
      </c>
      <c r="H46" s="49"/>
      <c r="I46" s="49"/>
      <c r="J46" s="49"/>
      <c r="K46" s="50"/>
      <c r="L46" s="49">
        <v>1</v>
      </c>
      <c r="M46" s="49"/>
      <c r="N46" s="49"/>
      <c r="O46" s="50" t="s">
        <v>100</v>
      </c>
      <c r="P46" s="50" t="s">
        <v>101</v>
      </c>
      <c r="Q46" s="50" t="s">
        <v>102</v>
      </c>
      <c r="R46" s="50">
        <v>6</v>
      </c>
      <c r="S46" s="50">
        <v>0</v>
      </c>
      <c r="T46" s="50">
        <v>1</v>
      </c>
      <c r="U46" s="50" t="s">
        <v>102</v>
      </c>
      <c r="V46" s="50"/>
      <c r="W46" s="50"/>
      <c r="X46" s="50"/>
      <c r="Y46" s="51">
        <f t="shared" si="2"/>
        <v>0.01</v>
      </c>
      <c r="Z46" s="52">
        <f t="shared" si="3"/>
        <v>1600</v>
      </c>
      <c r="AA46" s="52" t="s">
        <v>282</v>
      </c>
      <c r="AB46" s="52"/>
      <c r="AC46" s="52"/>
      <c r="AD46" s="231">
        <v>-0.11</v>
      </c>
      <c r="AE46" s="49"/>
      <c r="AF46" s="84"/>
      <c r="AG46" s="49"/>
      <c r="AH46" s="49"/>
      <c r="AI46" s="49"/>
      <c r="AJ46" s="226"/>
      <c r="AK46" s="49"/>
      <c r="AL46" s="113"/>
      <c r="AM46" s="113"/>
      <c r="AN46" s="218"/>
      <c r="AO46" s="49"/>
      <c r="AP46" s="49"/>
      <c r="AQ46" s="84" t="s">
        <v>142</v>
      </c>
      <c r="AR46" s="49"/>
      <c r="AS46" s="55">
        <v>-0.12</v>
      </c>
      <c r="AT46" s="55">
        <f t="shared" si="4"/>
        <v>9.999999999999995E-3</v>
      </c>
      <c r="AU46" s="54">
        <f t="shared" si="5"/>
        <v>95.999999999999957</v>
      </c>
      <c r="AV46" s="56">
        <f t="shared" si="6"/>
        <v>15.999999999999993</v>
      </c>
      <c r="AW46" s="57" t="s">
        <v>101</v>
      </c>
      <c r="AX46" s="96"/>
      <c r="AY46" s="96"/>
      <c r="AZ46" s="96"/>
      <c r="BA46" s="96"/>
      <c r="BB46" s="96"/>
      <c r="BC46" s="96"/>
      <c r="BD46" s="96"/>
      <c r="BE46" s="96"/>
      <c r="BF46" s="100"/>
      <c r="BG46" s="94">
        <f>SUM($AV$4:AV46)</f>
        <v>158.94658827958042</v>
      </c>
      <c r="BH46" s="95">
        <f>SUM($AU$4:AU46)</f>
        <v>1136.0000000000002</v>
      </c>
      <c r="BI46" s="80">
        <f>SUMIFS($AU$3:AU47,$Q$3:Q47,"F")</f>
        <v>544</v>
      </c>
      <c r="BJ46" s="80">
        <f>SUMIFS($AU$3:AU47,$Q$3:Q47,"S")</f>
        <v>496.00000000000063</v>
      </c>
      <c r="BK46" s="87">
        <f>SUMIFS($AU$3:AU47,$P$3:P47,"W")</f>
        <v>496.00000000000063</v>
      </c>
      <c r="BL46" s="87">
        <f>SUMIFS($AU$3:AU47,$P$3:P47,"R")</f>
        <v>544</v>
      </c>
      <c r="BM46" s="87">
        <f>SUMIFS($AU$3:AU47,$AQ$3:AQ47,"M")</f>
        <v>784.00000000000023</v>
      </c>
      <c r="BN46" s="87">
        <f>SUMIFS($AU$3:AU47,$AQ$3:AQ47,"H")</f>
        <v>-128.00000000000006</v>
      </c>
      <c r="BO46" s="87">
        <f>SUMIFS($AU$3:AU47,$AQ$3:AQ47,"D")</f>
        <v>224</v>
      </c>
      <c r="BP46" s="87">
        <f>SUMIFS($AU$3:AU49,$AQ$3:AQ49,"W")</f>
        <v>447.99999999999989</v>
      </c>
      <c r="BQ46" s="87">
        <f>SUMIFS($AU$3:AU47,$Q$3:Q47,"O")</f>
        <v>0</v>
      </c>
      <c r="BR46" s="87">
        <f>SUMIFS($AU$3:AU47,$AA$3:AA47,"*")</f>
        <v>1200.0000000000007</v>
      </c>
      <c r="BS46" s="87">
        <f>SUMIFS($AU$3:AU47,$AB$3:AB47,"*")</f>
        <v>639.99999999999943</v>
      </c>
      <c r="BT46" s="87">
        <f>SUMIFS($AU$3:AU47,$AC$3:AC47,"*")</f>
        <v>224.00000000000011</v>
      </c>
      <c r="BU46" s="87">
        <f>SUMIFS($AU$3:AU47,$AA$3:AA47,"*",$AB$3:AB47,"*")</f>
        <v>367.9999999999996</v>
      </c>
      <c r="BV46" s="87">
        <f>SUMIFS($AU$3:AU47,$AA$3:AA47,"*",$AC$3:AC47,"*")</f>
        <v>560.00000000000011</v>
      </c>
      <c r="BW46" s="87">
        <f>SUMIFS($AU$3:AU47,$AB$3:AB47,"*",$AC$3:AC47,"*")</f>
        <v>272.00000000000006</v>
      </c>
      <c r="BX46" s="87">
        <f>SUMIFS($AV$3:AV47,$Q$3:Q47,"F")</f>
        <v>23.314285714285717</v>
      </c>
      <c r="BY46" s="87">
        <f>SUMIFS($AV$3:AV47,$Q$3:Q47,"S")</f>
        <v>87.632302565294935</v>
      </c>
      <c r="BZ46" s="87">
        <f>SUMIFS($AV$3:AV47,$Q$3:Q47,"O")</f>
        <v>0</v>
      </c>
    </row>
    <row r="47" spans="1:78" ht="18" customHeight="1">
      <c r="A47" s="45" t="s">
        <v>96</v>
      </c>
      <c r="B47" s="59">
        <v>45307</v>
      </c>
      <c r="C47" s="46" t="s">
        <v>294</v>
      </c>
      <c r="D47" s="46" t="s">
        <v>98</v>
      </c>
      <c r="E47" s="66"/>
      <c r="F47" s="47"/>
      <c r="G47" s="71" t="s">
        <v>295</v>
      </c>
      <c r="H47" s="49"/>
      <c r="I47" s="49"/>
      <c r="J47" s="49"/>
      <c r="K47" s="50"/>
      <c r="L47" s="49">
        <v>1</v>
      </c>
      <c r="M47" s="49"/>
      <c r="N47" s="49"/>
      <c r="O47" s="50" t="s">
        <v>100</v>
      </c>
      <c r="P47" s="50" t="s">
        <v>101</v>
      </c>
      <c r="Q47" s="50" t="s">
        <v>102</v>
      </c>
      <c r="R47" s="50">
        <v>5</v>
      </c>
      <c r="S47" s="50">
        <v>0</v>
      </c>
      <c r="T47" s="50">
        <v>5</v>
      </c>
      <c r="U47" s="50" t="s">
        <v>22</v>
      </c>
      <c r="V47" s="50"/>
      <c r="W47" s="50"/>
      <c r="X47" s="50"/>
      <c r="Y47" s="51">
        <f t="shared" si="2"/>
        <v>0.01</v>
      </c>
      <c r="Z47" s="52">
        <f t="shared" si="3"/>
        <v>1600</v>
      </c>
      <c r="AA47" s="52" t="s">
        <v>282</v>
      </c>
      <c r="AB47" s="52"/>
      <c r="AC47" s="52" t="s">
        <v>296</v>
      </c>
      <c r="AD47" s="231">
        <v>-0.05</v>
      </c>
      <c r="AE47" s="49"/>
      <c r="AF47" s="84"/>
      <c r="AG47" s="49"/>
      <c r="AH47" s="49"/>
      <c r="AI47" s="49"/>
      <c r="AJ47" s="226"/>
      <c r="AK47" s="49"/>
      <c r="AL47" s="113">
        <f>-0.025*Z47</f>
        <v>-40</v>
      </c>
      <c r="AM47" s="113">
        <f>AL47*(R47-S47)</f>
        <v>-200</v>
      </c>
      <c r="AN47" s="218"/>
      <c r="AO47" s="49"/>
      <c r="AP47" s="49" t="s">
        <v>297</v>
      </c>
      <c r="AQ47" s="84" t="s">
        <v>155</v>
      </c>
      <c r="AR47" s="49" t="s">
        <v>298</v>
      </c>
      <c r="AS47" s="55">
        <v>-0.05</v>
      </c>
      <c r="AT47" s="55">
        <f t="shared" si="4"/>
        <v>0</v>
      </c>
      <c r="AU47" s="54">
        <f t="shared" si="5"/>
        <v>0</v>
      </c>
      <c r="AV47" s="56">
        <f t="shared" si="6"/>
        <v>0</v>
      </c>
      <c r="AW47" s="57" t="s">
        <v>155</v>
      </c>
      <c r="AX47" s="96"/>
      <c r="AY47" s="96"/>
      <c r="AZ47" s="96"/>
      <c r="BA47" s="96"/>
      <c r="BB47" s="96"/>
      <c r="BC47" s="96"/>
      <c r="BD47" s="96"/>
      <c r="BE47" s="96"/>
      <c r="BF47" s="100"/>
      <c r="BG47" s="94">
        <f>SUM($AV$4:AV47)</f>
        <v>158.94658827958042</v>
      </c>
      <c r="BH47" s="95">
        <f>SUM($AU$4:AU47)</f>
        <v>1136.0000000000002</v>
      </c>
      <c r="BI47" s="80">
        <f>SUMIFS($AU$3:AU48,$Q$3:Q48,"F")</f>
        <v>544</v>
      </c>
      <c r="BJ47" s="80">
        <f>SUMIFS($AU$3:AU48,$Q$3:Q48,"S")</f>
        <v>496.00000000000063</v>
      </c>
      <c r="BK47" s="87">
        <f>SUMIFS($AU$3:AU48,$P$3:P48,"W")</f>
        <v>496.00000000000063</v>
      </c>
      <c r="BL47" s="87">
        <f>SUMIFS($AU$3:AU48,$P$3:P48,"R")</f>
        <v>544</v>
      </c>
      <c r="BM47" s="87">
        <f>SUMIFS($AU$3:AU48,$AQ$3:AQ48,"M")</f>
        <v>784.00000000000023</v>
      </c>
      <c r="BN47" s="87">
        <f>SUMIFS($AU$3:AU48,$AQ$3:AQ48,"H")</f>
        <v>-128.00000000000006</v>
      </c>
      <c r="BO47" s="87">
        <f>SUMIFS($AU$3:AU48,$AQ$3:AQ48,"D")</f>
        <v>224</v>
      </c>
      <c r="BP47" s="87">
        <f>SUMIFS($AU$3:AU50,$AQ$3:AQ50,"W")</f>
        <v>447.99999999999989</v>
      </c>
      <c r="BQ47" s="87">
        <f>SUMIFS($AU$3:AU48,$Q$3:Q48,"O")</f>
        <v>0</v>
      </c>
      <c r="BR47" s="87">
        <f>SUMIFS($AU$3:AU48,$AA$3:AA48,"*")</f>
        <v>1200.0000000000007</v>
      </c>
      <c r="BS47" s="87">
        <f>SUMIFS($AU$3:AU48,$AB$3:AB48,"*")</f>
        <v>639.99999999999943</v>
      </c>
      <c r="BT47" s="87">
        <f>SUMIFS($AU$3:AU48,$AC$3:AC48,"*")</f>
        <v>224.00000000000011</v>
      </c>
      <c r="BU47" s="87">
        <f>SUMIFS($AU$3:AU48,$AA$3:AA48,"*",$AB$3:AB48,"*")</f>
        <v>367.9999999999996</v>
      </c>
      <c r="BV47" s="87">
        <f>SUMIFS($AU$3:AU48,$AA$3:AA48,"*",$AC$3:AC48,"*")</f>
        <v>560.00000000000011</v>
      </c>
      <c r="BW47" s="87">
        <f>SUMIFS($AU$3:AU48,$AB$3:AB48,"*",$AC$3:AC48,"*")</f>
        <v>272.00000000000006</v>
      </c>
      <c r="BX47" s="87">
        <f>SUMIFS($AV$3:AV48,$Q$3:Q48,"F")</f>
        <v>23.314285714285717</v>
      </c>
      <c r="BY47" s="87">
        <f>SUMIFS($AV$3:AV48,$Q$3:Q48,"S")</f>
        <v>87.632302565294935</v>
      </c>
      <c r="BZ47" s="87">
        <f>SUMIFS($AV$3:AV48,$Q$3:Q48,"O")</f>
        <v>0</v>
      </c>
    </row>
    <row r="48" spans="1:78" ht="18" customHeight="1">
      <c r="A48" s="45" t="s">
        <v>96</v>
      </c>
      <c r="B48" s="59">
        <v>45307</v>
      </c>
      <c r="C48" s="46" t="s">
        <v>299</v>
      </c>
      <c r="D48" s="46" t="s">
        <v>98</v>
      </c>
      <c r="E48" s="66"/>
      <c r="F48" s="47"/>
      <c r="G48" s="109" t="s">
        <v>99</v>
      </c>
      <c r="H48" s="49"/>
      <c r="I48" s="49"/>
      <c r="J48" s="49"/>
      <c r="K48" s="50"/>
      <c r="L48" s="49">
        <v>1</v>
      </c>
      <c r="M48" s="49"/>
      <c r="N48" s="49"/>
      <c r="O48" s="50" t="s">
        <v>100</v>
      </c>
      <c r="P48" s="50" t="s">
        <v>101</v>
      </c>
      <c r="Q48" s="50" t="s">
        <v>102</v>
      </c>
      <c r="R48" s="50">
        <v>32</v>
      </c>
      <c r="S48" s="50">
        <v>10</v>
      </c>
      <c r="T48" s="50">
        <v>22</v>
      </c>
      <c r="U48" s="50" t="s">
        <v>102</v>
      </c>
      <c r="V48" s="50"/>
      <c r="W48" s="50"/>
      <c r="X48" s="50"/>
      <c r="Y48" s="51">
        <f t="shared" si="2"/>
        <v>0.01</v>
      </c>
      <c r="Z48" s="52">
        <f t="shared" si="3"/>
        <v>1600</v>
      </c>
      <c r="AA48" s="52" t="s">
        <v>300</v>
      </c>
      <c r="AB48" s="52"/>
      <c r="AC48" s="52"/>
      <c r="AD48" s="231">
        <f>((-0.06*22)+(-0.07*10))/32</f>
        <v>-6.3125000000000001E-2</v>
      </c>
      <c r="AE48" s="49"/>
      <c r="AF48" s="84"/>
      <c r="AG48" s="49"/>
      <c r="AH48" s="49"/>
      <c r="AI48" s="49"/>
      <c r="AJ48" s="226"/>
      <c r="AK48" s="49"/>
      <c r="AL48" s="113">
        <f>-0.03*Z48</f>
        <v>-48</v>
      </c>
      <c r="AM48" s="113">
        <f>AL48*(R48-S48)</f>
        <v>-1056</v>
      </c>
      <c r="AN48" s="218"/>
      <c r="AO48" s="49"/>
      <c r="AP48" s="49" t="s">
        <v>301</v>
      </c>
      <c r="AQ48" s="84" t="str">
        <f>UPPER(RIGHT(Journal_Live[[#This Row],[DURATION ]]))</f>
        <v>H</v>
      </c>
      <c r="AR48" s="49" t="s">
        <v>302</v>
      </c>
      <c r="AS48" s="55">
        <f>((-0.07*10)+(-0.06*22))/32</f>
        <v>-6.3125000000000001E-2</v>
      </c>
      <c r="AT48" s="55">
        <f t="shared" si="4"/>
        <v>0</v>
      </c>
      <c r="AU48" s="54">
        <f t="shared" si="5"/>
        <v>0</v>
      </c>
      <c r="AV48" s="56">
        <f t="shared" si="6"/>
        <v>0</v>
      </c>
      <c r="AW48" s="57" t="s">
        <v>155</v>
      </c>
      <c r="AX48" s="96" t="s">
        <v>303</v>
      </c>
      <c r="AY48" s="97" t="s">
        <v>304</v>
      </c>
      <c r="AZ48" s="96" t="s">
        <v>305</v>
      </c>
      <c r="BA48" s="96" t="s">
        <v>306</v>
      </c>
      <c r="BB48" s="96" t="s">
        <v>307</v>
      </c>
      <c r="BC48" s="96"/>
      <c r="BD48" s="96"/>
      <c r="BE48" s="96"/>
      <c r="BF48" s="100"/>
      <c r="BG48" s="94">
        <f>SUM($AV$4:AV48)</f>
        <v>158.94658827958042</v>
      </c>
      <c r="BH48" s="95">
        <f>SUM($AU$4:AU48)</f>
        <v>1136.0000000000002</v>
      </c>
      <c r="BI48" s="80">
        <f>SUMIFS($AU$3:AU49,$Q$3:Q49,"F")</f>
        <v>735.99999999999989</v>
      </c>
      <c r="BJ48" s="80">
        <f>SUMIFS($AU$3:AU49,$Q$3:Q49,"S")</f>
        <v>496.00000000000063</v>
      </c>
      <c r="BK48" s="87">
        <f>SUMIFS($AU$3:AU49,$P$3:P49,"W")</f>
        <v>688.00000000000045</v>
      </c>
      <c r="BL48" s="87">
        <f>SUMIFS($AU$3:AU49,$P$3:P49,"R")</f>
        <v>544</v>
      </c>
      <c r="BM48" s="87">
        <f>SUMIFS($AU$3:AU49,$AQ$3:AQ49,"M")</f>
        <v>784.00000000000023</v>
      </c>
      <c r="BN48" s="87">
        <f>SUMIFS($AU$3:AU49,$AQ$3:AQ49,"H")</f>
        <v>-128.00000000000006</v>
      </c>
      <c r="BO48" s="87">
        <f>SUMIFS($AU$3:AU49,$AQ$3:AQ49,"D")</f>
        <v>224</v>
      </c>
      <c r="BP48" s="87">
        <f>SUMIFS($AU$3:AU51,$AQ$3:AQ51,"W")</f>
        <v>1062.3999999999999</v>
      </c>
      <c r="BQ48" s="87">
        <f>SUMIFS($AU$3:AU49,$Q$3:Q49,"O")</f>
        <v>0</v>
      </c>
      <c r="BR48" s="87">
        <f>SUMIFS($AU$3:AU49,$AA$3:AA49,"*")</f>
        <v>1200.0000000000007</v>
      </c>
      <c r="BS48" s="87">
        <f>SUMIFS($AU$3:AU49,$AB$3:AB49,"*")</f>
        <v>639.99999999999943</v>
      </c>
      <c r="BT48" s="87">
        <f>SUMIFS($AU$3:AU49,$AC$3:AC49,"*")</f>
        <v>416</v>
      </c>
      <c r="BU48" s="87">
        <f>SUMIFS($AU$3:AU49,$AA$3:AA49,"*",$AB$3:AB49,"*")</f>
        <v>367.9999999999996</v>
      </c>
      <c r="BV48" s="87">
        <f>SUMIFS($AU$3:AU49,$AA$3:AA49,"*",$AC$3:AC49,"*")</f>
        <v>560.00000000000011</v>
      </c>
      <c r="BW48" s="87">
        <f>SUMIFS($AU$3:AU49,$AB$3:AB49,"*",$AC$3:AC49,"*")</f>
        <v>272.00000000000006</v>
      </c>
      <c r="BX48" s="87">
        <f>SUMIFS($AV$3:AV49,$Q$3:Q49,"F")</f>
        <v>29.714285714285712</v>
      </c>
      <c r="BY48" s="87">
        <f>SUMIFS($AV$3:AV49,$Q$3:Q49,"S")</f>
        <v>87.632302565294935</v>
      </c>
      <c r="BZ48" s="87">
        <f>SUMIFS($AV$3:AV49,$Q$3:Q49,"O")</f>
        <v>0</v>
      </c>
    </row>
    <row r="49" spans="1:78" ht="18" customHeight="1">
      <c r="A49" s="45" t="s">
        <v>96</v>
      </c>
      <c r="B49" s="59">
        <v>45307</v>
      </c>
      <c r="C49" s="46" t="s">
        <v>308</v>
      </c>
      <c r="D49" s="46" t="s">
        <v>98</v>
      </c>
      <c r="E49" s="66"/>
      <c r="F49" s="47"/>
      <c r="G49" s="71" t="s">
        <v>240</v>
      </c>
      <c r="H49" s="49"/>
      <c r="I49" s="49"/>
      <c r="J49" s="49"/>
      <c r="K49" s="50"/>
      <c r="L49" s="49">
        <v>1</v>
      </c>
      <c r="M49" s="49"/>
      <c r="N49" s="49"/>
      <c r="O49" s="50" t="s">
        <v>100</v>
      </c>
      <c r="P49" s="50" t="s">
        <v>101</v>
      </c>
      <c r="Q49" s="50" t="s">
        <v>127</v>
      </c>
      <c r="R49" s="50">
        <v>30</v>
      </c>
      <c r="S49" s="50">
        <v>24</v>
      </c>
      <c r="T49" s="50">
        <v>10</v>
      </c>
      <c r="U49" s="50" t="s">
        <v>102</v>
      </c>
      <c r="V49" s="50"/>
      <c r="W49" s="50"/>
      <c r="X49" s="50"/>
      <c r="Y49" s="51">
        <f t="shared" si="2"/>
        <v>0.01</v>
      </c>
      <c r="Z49" s="52">
        <f t="shared" si="3"/>
        <v>1600</v>
      </c>
      <c r="AA49" s="52"/>
      <c r="AB49" s="52"/>
      <c r="AC49" s="52" t="s">
        <v>309</v>
      </c>
      <c r="AD49" s="231">
        <v>5.3999999999999999E-2</v>
      </c>
      <c r="AE49" s="49"/>
      <c r="AF49" s="84"/>
      <c r="AG49" s="49"/>
      <c r="AH49" s="49"/>
      <c r="AI49" s="49"/>
      <c r="AJ49" s="226"/>
      <c r="AK49" s="49"/>
      <c r="AL49" s="113">
        <f>-0.04*Z49</f>
        <v>-64</v>
      </c>
      <c r="AM49" s="113">
        <f>AL49*(R49-S49)</f>
        <v>-384</v>
      </c>
      <c r="AN49" s="218"/>
      <c r="AO49" s="49"/>
      <c r="AP49" s="49" t="s">
        <v>310</v>
      </c>
      <c r="AQ49" s="84" t="s">
        <v>101</v>
      </c>
      <c r="AR49" s="49" t="s">
        <v>311</v>
      </c>
      <c r="AS49" s="55">
        <f>((0.05*21+0.05*9))/30</f>
        <v>0.05</v>
      </c>
      <c r="AT49" s="55">
        <f t="shared" si="4"/>
        <v>3.9999999999999966E-3</v>
      </c>
      <c r="AU49" s="54">
        <f t="shared" si="5"/>
        <v>191.99999999999986</v>
      </c>
      <c r="AV49" s="56">
        <f t="shared" si="6"/>
        <v>6.399999999999995</v>
      </c>
      <c r="AW49" s="57" t="s">
        <v>101</v>
      </c>
      <c r="AX49" s="96" t="s">
        <v>312</v>
      </c>
      <c r="AY49" s="96" t="s">
        <v>313</v>
      </c>
      <c r="AZ49" s="96" t="s">
        <v>314</v>
      </c>
      <c r="BA49" s="96" t="s">
        <v>315</v>
      </c>
      <c r="BB49" s="96"/>
      <c r="BC49" s="96"/>
      <c r="BD49" s="96"/>
      <c r="BE49" s="96"/>
      <c r="BF49" s="100"/>
      <c r="BG49" s="94">
        <f>SUM($AV$4:AV49)</f>
        <v>165.34658827958043</v>
      </c>
      <c r="BH49" s="95">
        <f>SUM($AU$4:AU49)</f>
        <v>1328</v>
      </c>
      <c r="BI49" s="80">
        <f>SUMIFS($AU$3:AU50,$Q$3:Q50,"F")</f>
        <v>735.99999999999989</v>
      </c>
      <c r="BJ49" s="80">
        <f>SUMIFS($AU$3:AU50,$Q$3:Q50,"S")</f>
        <v>496.00000000000063</v>
      </c>
      <c r="BK49" s="87">
        <f>SUMIFS($AU$3:AU50,$P$3:P50,"W")</f>
        <v>688.00000000000045</v>
      </c>
      <c r="BL49" s="87">
        <f>SUMIFS($AU$3:AU50,$P$3:P50,"R")</f>
        <v>544</v>
      </c>
      <c r="BM49" s="87">
        <f>SUMIFS($AU$3:AU50,$AQ$3:AQ50,"M")</f>
        <v>784.00000000000023</v>
      </c>
      <c r="BN49" s="87">
        <f>SUMIFS($AU$3:AU50,$AQ$3:AQ50,"H")</f>
        <v>-128.00000000000006</v>
      </c>
      <c r="BO49" s="87">
        <f>SUMIFS($AU$3:AU50,$AQ$3:AQ50,"D")</f>
        <v>224</v>
      </c>
      <c r="BP49" s="87">
        <f>SUMIFS($AU$3:AU52,$AQ$3:AQ52,"W")</f>
        <v>1062.3999999999999</v>
      </c>
      <c r="BQ49" s="87">
        <f>SUMIFS($AU$3:AU50,$Q$3:Q50,"O")</f>
        <v>0</v>
      </c>
      <c r="BR49" s="87">
        <f>SUMIFS($AU$3:AU50,$AA$3:AA50,"*")</f>
        <v>1200.0000000000007</v>
      </c>
      <c r="BS49" s="87">
        <f>SUMIFS($AU$3:AU50,$AB$3:AB50,"*")</f>
        <v>639.99999999999943</v>
      </c>
      <c r="BT49" s="87">
        <f>SUMIFS($AU$3:AU50,$AC$3:AC50,"*")</f>
        <v>416</v>
      </c>
      <c r="BU49" s="87">
        <f>SUMIFS($AU$3:AU50,$AA$3:AA50,"*",$AB$3:AB50,"*")</f>
        <v>367.9999999999996</v>
      </c>
      <c r="BV49" s="87">
        <f>SUMIFS($AU$3:AU50,$AA$3:AA50,"*",$AC$3:AC50,"*")</f>
        <v>560.00000000000011</v>
      </c>
      <c r="BW49" s="87">
        <f>SUMIFS($AU$3:AU50,$AB$3:AB50,"*",$AC$3:AC50,"*")</f>
        <v>272.00000000000006</v>
      </c>
      <c r="BX49" s="87">
        <f>SUMIFS($AV$3:AV50,$Q$3:Q50,"F")</f>
        <v>29.714285714285712</v>
      </c>
      <c r="BY49" s="87">
        <f>SUMIFS($AV$3:AV50,$Q$3:Q50,"S")</f>
        <v>87.632302565294935</v>
      </c>
      <c r="BZ49" s="87">
        <f>SUMIFS($AV$3:AV50,$Q$3:Q50,"O")</f>
        <v>0</v>
      </c>
    </row>
    <row r="50" spans="1:78" ht="18" customHeight="1">
      <c r="A50" s="45" t="s">
        <v>96</v>
      </c>
      <c r="B50" s="59">
        <v>45307</v>
      </c>
      <c r="C50" s="46" t="s">
        <v>308</v>
      </c>
      <c r="D50" s="46" t="s">
        <v>98</v>
      </c>
      <c r="E50" s="66"/>
      <c r="F50" s="47"/>
      <c r="G50" s="48" t="s">
        <v>276</v>
      </c>
      <c r="H50" s="49"/>
      <c r="I50" s="49"/>
      <c r="J50" s="49"/>
      <c r="K50" s="50"/>
      <c r="L50" s="49"/>
      <c r="M50" s="49"/>
      <c r="N50" s="49"/>
      <c r="O50" s="50"/>
      <c r="P50" s="50"/>
      <c r="Q50" s="50"/>
      <c r="R50" s="50"/>
      <c r="S50" s="50"/>
      <c r="T50" s="50"/>
      <c r="U50" s="50"/>
      <c r="V50" s="50"/>
      <c r="W50" s="50"/>
      <c r="X50" s="50"/>
      <c r="Y50" s="51"/>
      <c r="Z50" s="52"/>
      <c r="AA50" s="52"/>
      <c r="AB50" s="52"/>
      <c r="AC50" s="52"/>
      <c r="AD50" s="231"/>
      <c r="AE50" s="49"/>
      <c r="AF50" s="84"/>
      <c r="AG50" s="49"/>
      <c r="AH50" s="49"/>
      <c r="AI50" s="49"/>
      <c r="AJ50" s="226"/>
      <c r="AK50" s="49"/>
      <c r="AL50" s="113">
        <f>-0.02*Z50</f>
        <v>0</v>
      </c>
      <c r="AM50" s="113">
        <f>AL50*(R50-S50)</f>
        <v>0</v>
      </c>
      <c r="AN50" s="218"/>
      <c r="AO50" s="49"/>
      <c r="AP50" s="49"/>
      <c r="AQ50" s="84" t="str">
        <f>UPPER(RIGHT(Journal_Live[[#This Row],[DURATION ]]))</f>
        <v/>
      </c>
      <c r="AR50" s="49"/>
      <c r="AS50" s="55"/>
      <c r="AT50" s="55"/>
      <c r="AU50" s="54"/>
      <c r="AV50" s="56"/>
      <c r="AW50" s="57"/>
      <c r="AX50" s="96" t="s">
        <v>316</v>
      </c>
      <c r="AY50" s="96"/>
      <c r="AZ50" s="96"/>
      <c r="BA50" s="96"/>
      <c r="BB50" s="96"/>
      <c r="BC50" s="96"/>
      <c r="BD50" s="96"/>
      <c r="BE50" s="96"/>
      <c r="BF50" s="100"/>
      <c r="BG50" s="94">
        <f>SUM($AV$4:AV50)</f>
        <v>165.34658827958043</v>
      </c>
      <c r="BH50" s="95">
        <f>SUM($AU$4:AU50)</f>
        <v>1328</v>
      </c>
      <c r="BI50" s="80">
        <f>SUMIFS($AU$3:AU51,$Q$3:Q51,"F")</f>
        <v>1350.3999999999999</v>
      </c>
      <c r="BJ50" s="80">
        <f>SUMIFS($AU$3:AU51,$Q$3:Q51,"S")</f>
        <v>496.00000000000063</v>
      </c>
      <c r="BK50" s="87">
        <f>SUMIFS($AU$3:AU51,$P$3:P51,"W")</f>
        <v>1302.4000000000005</v>
      </c>
      <c r="BL50" s="87">
        <f>SUMIFS($AU$3:AU51,$P$3:P51,"R")</f>
        <v>544</v>
      </c>
      <c r="BM50" s="87">
        <f>SUMIFS($AU$3:AU51,$AQ$3:AQ51,"M")</f>
        <v>784.00000000000023</v>
      </c>
      <c r="BN50" s="87">
        <f>SUMIFS($AU$3:AU51,$AQ$3:AQ51,"H")</f>
        <v>-128.00000000000006</v>
      </c>
      <c r="BO50" s="87">
        <f>SUMIFS($AU$3:AU51,$AQ$3:AQ51,"D")</f>
        <v>224</v>
      </c>
      <c r="BP50" s="87">
        <f>SUMIFS($AU$3:AU53,$AQ$3:AQ53,"W")</f>
        <v>1062.3999999999999</v>
      </c>
      <c r="BQ50" s="87">
        <f>SUMIFS($AU$3:AU51,$Q$3:Q51,"O")</f>
        <v>0</v>
      </c>
      <c r="BR50" s="87">
        <f>SUMIFS($AU$3:AU51,$AA$3:AA51,"*")</f>
        <v>1814.4000000000005</v>
      </c>
      <c r="BS50" s="87">
        <f>SUMIFS($AU$3:AU51,$AB$3:AB51,"*")</f>
        <v>639.99999999999943</v>
      </c>
      <c r="BT50" s="87">
        <f>SUMIFS($AU$3:AU51,$AC$3:AC51,"*")</f>
        <v>1030.4000000000001</v>
      </c>
      <c r="BU50" s="87">
        <f>SUMIFS($AU$3:AU51,$AA$3:AA51,"*",$AB$3:AB51,"*")</f>
        <v>367.9999999999996</v>
      </c>
      <c r="BV50" s="87">
        <f>SUMIFS($AU$3:AU51,$AA$3:AA51,"*",$AC$3:AC51,"*")</f>
        <v>1174.4000000000001</v>
      </c>
      <c r="BW50" s="87">
        <f>SUMIFS($AU$3:AU51,$AB$3:AB51,"*",$AC$3:AC51,"*")</f>
        <v>272.00000000000006</v>
      </c>
      <c r="BX50" s="87">
        <f>SUMIFS($AV$3:AV51,$Q$3:Q51,"F")</f>
        <v>68.114285714285714</v>
      </c>
      <c r="BY50" s="87">
        <f>SUMIFS($AV$3:AV51,$Q$3:Q51,"S")</f>
        <v>87.632302565294935</v>
      </c>
      <c r="BZ50" s="87">
        <f>SUMIFS($AV$3:AV51,$Q$3:Q51,"O")</f>
        <v>0</v>
      </c>
    </row>
    <row r="51" spans="1:78" ht="18" customHeight="1">
      <c r="A51" s="45" t="s">
        <v>96</v>
      </c>
      <c r="B51" s="59">
        <v>45307</v>
      </c>
      <c r="C51" s="46"/>
      <c r="D51" s="46"/>
      <c r="E51" s="66"/>
      <c r="F51" s="47"/>
      <c r="G51" s="106" t="s">
        <v>317</v>
      </c>
      <c r="H51" s="49"/>
      <c r="I51" s="49"/>
      <c r="J51" s="49"/>
      <c r="K51" s="50"/>
      <c r="L51" s="49">
        <v>1</v>
      </c>
      <c r="M51" s="49"/>
      <c r="N51" s="49"/>
      <c r="O51" s="50" t="s">
        <v>100</v>
      </c>
      <c r="P51" s="50" t="s">
        <v>101</v>
      </c>
      <c r="Q51" s="50" t="s">
        <v>127</v>
      </c>
      <c r="R51" s="50">
        <v>16</v>
      </c>
      <c r="S51" s="50">
        <v>7</v>
      </c>
      <c r="T51" s="50">
        <v>5</v>
      </c>
      <c r="U51" s="50" t="s">
        <v>102</v>
      </c>
      <c r="V51" s="50"/>
      <c r="W51" s="50"/>
      <c r="X51" s="50"/>
      <c r="Y51" s="51">
        <f>IF(ISBLANK(O51),"",(IF(O51=UPPER("IB"),0.005,0.01)))</f>
        <v>0.01</v>
      </c>
      <c r="Z51" s="52">
        <f>IF(ISBLANK(O51),"",IF(O51="IB",8.63*200,IF(O51="IR",16*100,IF(O51="YT",20*100,IF(O51="YT-XT",24*200,IF(O51="TED",80*100))))))</f>
        <v>1600</v>
      </c>
      <c r="AA51" s="52" t="s">
        <v>318</v>
      </c>
      <c r="AB51" s="52"/>
      <c r="AC51" s="52" t="s">
        <v>319</v>
      </c>
      <c r="AD51" s="231">
        <v>4.3999999999999997E-2</v>
      </c>
      <c r="AE51" s="49"/>
      <c r="AF51" s="84"/>
      <c r="AG51" s="49"/>
      <c r="AH51" s="49"/>
      <c r="AI51" s="49"/>
      <c r="AJ51" s="226"/>
      <c r="AK51" s="49"/>
      <c r="AL51" s="113">
        <f>-0.03*Z51</f>
        <v>-48</v>
      </c>
      <c r="AM51" s="113">
        <f>AL51*(R51-S51)</f>
        <v>-432</v>
      </c>
      <c r="AN51" s="218" t="s">
        <v>320</v>
      </c>
      <c r="AO51" s="49"/>
      <c r="AP51" s="49" t="s">
        <v>310</v>
      </c>
      <c r="AQ51" s="84" t="s">
        <v>101</v>
      </c>
      <c r="AR51" s="74">
        <v>45314</v>
      </c>
      <c r="AS51" s="55">
        <v>0.02</v>
      </c>
      <c r="AT51" s="55">
        <f>IF(ISBLANK(AS51),,IF(U51="S",AD51-AS51,AS51-AD51))</f>
        <v>2.3999999999999997E-2</v>
      </c>
      <c r="AU51" s="54">
        <f>AV51*R51</f>
        <v>614.4</v>
      </c>
      <c r="AV51" s="56">
        <f>IF(ISBLANK(AS51),,(AT51*Z51))</f>
        <v>38.4</v>
      </c>
      <c r="AW51" s="57" t="s">
        <v>101</v>
      </c>
      <c r="AX51" s="97" t="s">
        <v>321</v>
      </c>
      <c r="AY51" s="97" t="s">
        <v>322</v>
      </c>
      <c r="AZ51" s="96" t="s">
        <v>323</v>
      </c>
      <c r="BA51" s="96" t="s">
        <v>324</v>
      </c>
      <c r="BB51" s="97" t="s">
        <v>325</v>
      </c>
      <c r="BC51" s="96"/>
      <c r="BD51" s="96"/>
      <c r="BE51" s="96"/>
      <c r="BF51" s="100"/>
      <c r="BG51" s="94">
        <f>SUM($AV$4:AV51)</f>
        <v>203.74658827958044</v>
      </c>
      <c r="BH51" s="95">
        <f>SUM($AU$4:AU51)</f>
        <v>1942.4</v>
      </c>
      <c r="BI51" s="80">
        <f>SUMIFS($AU$3:AU52,$Q$3:Q52,"F")</f>
        <v>1350.3999999999999</v>
      </c>
      <c r="BJ51" s="80">
        <f>SUMIFS($AU$3:AU52,$Q$3:Q52,"S")</f>
        <v>496.00000000000063</v>
      </c>
      <c r="BK51" s="87">
        <f>SUMIFS($AU$3:AU52,$P$3:P52,"W")</f>
        <v>1302.4000000000005</v>
      </c>
      <c r="BL51" s="87">
        <f>SUMIFS($AU$3:AU52,$P$3:P52,"R")</f>
        <v>544</v>
      </c>
      <c r="BM51" s="87">
        <f>SUMIFS($AU$3:AU52,$AQ$3:AQ52,"M")</f>
        <v>784.00000000000023</v>
      </c>
      <c r="BN51" s="87">
        <f>SUMIFS($AU$3:AU52,$AQ$3:AQ52,"H")</f>
        <v>-128.00000000000006</v>
      </c>
      <c r="BO51" s="87">
        <f>SUMIFS($AU$3:AU52,$AQ$3:AQ52,"D")</f>
        <v>224</v>
      </c>
      <c r="BP51" s="87">
        <f>SUMIFS($AU$3:AU54,$AQ$3:AQ54,"W")</f>
        <v>1062.3999999999999</v>
      </c>
      <c r="BQ51" s="87">
        <f>SUMIFS($AU$3:AU52,$Q$3:Q52,"O")</f>
        <v>0</v>
      </c>
      <c r="BR51" s="87">
        <f>SUMIFS($AU$3:AU52,$AA$3:AA52,"*")</f>
        <v>1814.4000000000005</v>
      </c>
      <c r="BS51" s="87">
        <f>SUMIFS($AU$3:AU52,$AB$3:AB52,"*")</f>
        <v>639.99999999999943</v>
      </c>
      <c r="BT51" s="87">
        <f>SUMIFS($AU$3:AU52,$AC$3:AC52,"*")</f>
        <v>1030.4000000000001</v>
      </c>
      <c r="BU51" s="87">
        <f>SUMIFS($AU$3:AU52,$AA$3:AA52,"*",$AB$3:AB52,"*")</f>
        <v>367.9999999999996</v>
      </c>
      <c r="BV51" s="87">
        <f>SUMIFS($AU$3:AU52,$AA$3:AA52,"*",$AC$3:AC52,"*")</f>
        <v>1174.4000000000001</v>
      </c>
      <c r="BW51" s="87">
        <f>SUMIFS($AU$3:AU52,$AB$3:AB52,"*",$AC$3:AC52,"*")</f>
        <v>272.00000000000006</v>
      </c>
      <c r="BX51" s="87">
        <f>SUMIFS($AV$3:AV52,$Q$3:Q52,"F")</f>
        <v>68.114285714285714</v>
      </c>
      <c r="BY51" s="87">
        <f>SUMIFS($AV$3:AV52,$Q$3:Q52,"S")</f>
        <v>87.632302565294935</v>
      </c>
      <c r="BZ51" s="87">
        <f>SUMIFS($AV$3:AV52,$Q$3:Q52,"O")</f>
        <v>0</v>
      </c>
    </row>
    <row r="52" spans="1:78" ht="18" customHeight="1">
      <c r="A52" s="45" t="s">
        <v>96</v>
      </c>
      <c r="B52" s="59"/>
      <c r="C52" s="46"/>
      <c r="D52" s="46"/>
      <c r="E52" s="66"/>
      <c r="F52" s="47"/>
      <c r="G52" s="48"/>
      <c r="H52" s="49"/>
      <c r="I52" s="49"/>
      <c r="J52" s="49"/>
      <c r="K52" s="50"/>
      <c r="L52" s="49"/>
      <c r="M52" s="49"/>
      <c r="N52" s="49"/>
      <c r="O52" s="50"/>
      <c r="P52" s="50"/>
      <c r="Q52" s="50"/>
      <c r="R52" s="50"/>
      <c r="S52" s="50"/>
      <c r="T52" s="50"/>
      <c r="U52" s="50"/>
      <c r="V52" s="50"/>
      <c r="W52" s="50"/>
      <c r="X52" s="50"/>
      <c r="Y52" s="50"/>
      <c r="Z52" s="50"/>
      <c r="AA52" s="52"/>
      <c r="AB52" s="52"/>
      <c r="AC52" s="52"/>
      <c r="AD52" s="231"/>
      <c r="AE52" s="49"/>
      <c r="AF52" s="84"/>
      <c r="AG52" s="49"/>
      <c r="AH52" s="49"/>
      <c r="AI52" s="49"/>
      <c r="AJ52" s="226"/>
      <c r="AK52" s="49"/>
      <c r="AL52" s="113"/>
      <c r="AM52" s="113"/>
      <c r="AN52" s="218"/>
      <c r="AO52" s="49"/>
      <c r="AP52" s="49"/>
      <c r="AQ52" s="84" t="str">
        <f>UPPER(RIGHT(Journal_Live[[#This Row],[DURATION ]]))</f>
        <v/>
      </c>
      <c r="AR52" s="49"/>
      <c r="AS52" s="55"/>
      <c r="AT52" s="55"/>
      <c r="AU52" s="54"/>
      <c r="AV52" s="56"/>
      <c r="AW52" s="57"/>
      <c r="AX52" s="97" t="s">
        <v>326</v>
      </c>
      <c r="AY52" s="96" t="s">
        <v>327</v>
      </c>
      <c r="AZ52" s="96" t="s">
        <v>328</v>
      </c>
      <c r="BA52" s="96" t="s">
        <v>329</v>
      </c>
      <c r="BB52" s="97" t="s">
        <v>330</v>
      </c>
      <c r="BC52" s="97" t="s">
        <v>331</v>
      </c>
      <c r="BD52" s="96" t="s">
        <v>332</v>
      </c>
      <c r="BE52" s="96"/>
      <c r="BF52" s="100"/>
      <c r="BG52" s="94">
        <f>SUM($AV$4:AV52)</f>
        <v>203.74658827958044</v>
      </c>
      <c r="BH52" s="95">
        <f>SUM($AU$4:AU52)</f>
        <v>1942.4</v>
      </c>
      <c r="BI52" s="80">
        <f>SUMIFS($AU$3:AU53,$Q$3:Q53,"F")</f>
        <v>2134.4</v>
      </c>
      <c r="BJ52" s="80">
        <f>SUMIFS($AU$3:AU53,$Q$3:Q53,"S")</f>
        <v>496.00000000000063</v>
      </c>
      <c r="BK52" s="87">
        <f>SUMIFS($AU$3:AU53,$P$3:P53,"W")</f>
        <v>1302.4000000000005</v>
      </c>
      <c r="BL52" s="87">
        <f>SUMIFS($AU$3:AU53,$P$3:P53,"R")</f>
        <v>1328.0000000000002</v>
      </c>
      <c r="BM52" s="87">
        <f>SUMIFS($AU$3:AU53,$AQ$3:AQ53,"M")</f>
        <v>784.00000000000023</v>
      </c>
      <c r="BN52" s="87">
        <f>SUMIFS($AU$3:AU53,$AQ$3:AQ53,"H")</f>
        <v>-128.00000000000006</v>
      </c>
      <c r="BO52" s="87">
        <f>SUMIFS($AU$3:AU53,$AQ$3:AQ53,"D")</f>
        <v>1008.0000000000002</v>
      </c>
      <c r="BP52" s="87">
        <f>SUMIFS($AU$3:AU55,$AQ$3:AQ55,"W")</f>
        <v>1062.3999999999999</v>
      </c>
      <c r="BQ52" s="87">
        <f>SUMIFS($AU$3:AU53,$Q$3:Q53,"O")</f>
        <v>0</v>
      </c>
      <c r="BR52" s="87">
        <f>SUMIFS($AU$3:AU53,$AA$3:AA53,"*")</f>
        <v>2598.4000000000005</v>
      </c>
      <c r="BS52" s="87">
        <f>SUMIFS($AU$3:AU53,$AB$3:AB53,"*")</f>
        <v>639.99999999999943</v>
      </c>
      <c r="BT52" s="87">
        <f>SUMIFS($AU$3:AU53,$AC$3:AC53,"*")</f>
        <v>1030.4000000000001</v>
      </c>
      <c r="BU52" s="87">
        <f>SUMIFS($AU$3:AU53,$AA$3:AA53,"*",$AB$3:AB53,"*")</f>
        <v>367.9999999999996</v>
      </c>
      <c r="BV52" s="87">
        <f>SUMIFS($AU$3:AU53,$AA$3:AA53,"*",$AC$3:AC53,"*")</f>
        <v>1174.4000000000001</v>
      </c>
      <c r="BW52" s="87">
        <f>SUMIFS($AU$3:AU53,$AB$3:AB53,"*",$AC$3:AC53,"*")</f>
        <v>272.00000000000006</v>
      </c>
      <c r="BX52" s="87">
        <f>SUMIFS($AV$3:AV53,$Q$3:Q53,"F")</f>
        <v>84.114285714285714</v>
      </c>
      <c r="BY52" s="87">
        <f>SUMIFS($AV$3:AV53,$Q$3:Q53,"S")</f>
        <v>87.632302565294935</v>
      </c>
      <c r="BZ52" s="87">
        <f>SUMIFS($AV$3:AV53,$Q$3:Q53,"O")</f>
        <v>0</v>
      </c>
    </row>
    <row r="53" spans="1:78" ht="18" customHeight="1">
      <c r="A53" s="45" t="s">
        <v>96</v>
      </c>
      <c r="B53" s="59">
        <v>45308</v>
      </c>
      <c r="C53" s="46" t="s">
        <v>333</v>
      </c>
      <c r="D53" s="46" t="s">
        <v>186</v>
      </c>
      <c r="E53" s="66"/>
      <c r="F53" s="47"/>
      <c r="G53" s="71" t="s">
        <v>255</v>
      </c>
      <c r="H53" s="49"/>
      <c r="I53" s="49"/>
      <c r="J53" s="49"/>
      <c r="K53" s="50"/>
      <c r="L53" s="49">
        <v>1</v>
      </c>
      <c r="M53" s="49"/>
      <c r="N53" s="49"/>
      <c r="O53" s="50" t="s">
        <v>100</v>
      </c>
      <c r="P53" s="50" t="s">
        <v>126</v>
      </c>
      <c r="Q53" s="50" t="s">
        <v>127</v>
      </c>
      <c r="R53" s="50">
        <v>49</v>
      </c>
      <c r="S53" s="50">
        <v>31</v>
      </c>
      <c r="T53" s="50">
        <v>33</v>
      </c>
      <c r="U53" s="50" t="s">
        <v>22</v>
      </c>
      <c r="V53" s="50"/>
      <c r="W53" s="50"/>
      <c r="X53" s="50"/>
      <c r="Y53" s="51">
        <f>IF(ISBLANK(O53),"",(IF(O53=UPPER("IB"),0.005,0.01)))</f>
        <v>0.01</v>
      </c>
      <c r="Z53" s="52">
        <f>IF(ISBLANK(O53),"",IF(O53="IB",8.63*200,IF(O53="IR",16*100,IF(O53="YT",20*100,IF(O53="YT-XT",24*200,IF(O53="TED",80*100))))))</f>
        <v>1600</v>
      </c>
      <c r="AA53" s="52" t="s">
        <v>256</v>
      </c>
      <c r="AB53" s="52"/>
      <c r="AC53" s="52"/>
      <c r="AD53" s="231">
        <v>-0.04</v>
      </c>
      <c r="AE53" s="49"/>
      <c r="AF53" s="84"/>
      <c r="AG53" s="49"/>
      <c r="AH53" s="49"/>
      <c r="AI53" s="49"/>
      <c r="AJ53" s="226"/>
      <c r="AK53" s="49"/>
      <c r="AL53" s="113">
        <f>-0.02*Z53</f>
        <v>-32</v>
      </c>
      <c r="AM53" s="113">
        <f>AL53*(R53-S53)</f>
        <v>-576</v>
      </c>
      <c r="AN53" s="218"/>
      <c r="AO53" s="49"/>
      <c r="AP53" s="49" t="s">
        <v>297</v>
      </c>
      <c r="AQ53" s="84" t="s">
        <v>155</v>
      </c>
      <c r="AR53" s="49" t="s">
        <v>334</v>
      </c>
      <c r="AS53" s="55">
        <f>-0.03</f>
        <v>-0.03</v>
      </c>
      <c r="AT53" s="55">
        <f>IF(ISBLANK(AS53),,IF(U53="S",AD53-AS53,AS53-AD53))</f>
        <v>1.0000000000000002E-2</v>
      </c>
      <c r="AU53" s="54">
        <f>AV53*R53</f>
        <v>784.00000000000023</v>
      </c>
      <c r="AV53" s="56">
        <f>IF(ISBLANK(AS53),,(AT53*Z53))</f>
        <v>16.000000000000004</v>
      </c>
      <c r="AW53" s="57" t="s">
        <v>101</v>
      </c>
      <c r="AX53" s="96"/>
      <c r="AY53" s="96"/>
      <c r="AZ53" s="96"/>
      <c r="BA53" s="96"/>
      <c r="BB53" s="96"/>
      <c r="BC53" s="96"/>
      <c r="BD53" s="96"/>
      <c r="BE53" s="96"/>
      <c r="BF53" s="100"/>
      <c r="BG53" s="94">
        <f>SUM($AV$4:AV53)</f>
        <v>219.74658827958044</v>
      </c>
      <c r="BH53" s="95">
        <f>SUM($AU$4:AU53)</f>
        <v>2726.4000000000005</v>
      </c>
      <c r="BI53" s="80">
        <f>SUMIFS($AU$3:AU54,$Q$3:Q54,"F")</f>
        <v>2134.4</v>
      </c>
      <c r="BJ53" s="80">
        <f>SUMIFS($AU$3:AU54,$Q$3:Q54,"S")</f>
        <v>496.00000000000063</v>
      </c>
      <c r="BK53" s="87">
        <f>SUMIFS($AU$3:AU54,$P$3:P54,"W")</f>
        <v>1302.4000000000005</v>
      </c>
      <c r="BL53" s="87">
        <f>SUMIFS($AU$3:AU54,$P$3:P54,"R")</f>
        <v>1328.0000000000002</v>
      </c>
      <c r="BM53" s="87">
        <f>SUMIFS($AU$3:AU54,$AQ$3:AQ54,"M")</f>
        <v>784.00000000000023</v>
      </c>
      <c r="BN53" s="87">
        <f>SUMIFS($AU$3:AU54,$AQ$3:AQ54,"H")</f>
        <v>-128.00000000000006</v>
      </c>
      <c r="BO53" s="87">
        <f>SUMIFS($AU$3:AU54,$AQ$3:AQ54,"D")</f>
        <v>1008.0000000000002</v>
      </c>
      <c r="BP53" s="87">
        <f>SUMIFS($AU$3:AU56,$AQ$3:AQ56,"W")</f>
        <v>1062.3999999999999</v>
      </c>
      <c r="BQ53" s="87">
        <f>SUMIFS($AU$3:AU54,$Q$3:Q54,"O")</f>
        <v>0</v>
      </c>
      <c r="BR53" s="87">
        <f>SUMIFS($AU$3:AU54,$AA$3:AA54,"*")</f>
        <v>2598.4000000000005</v>
      </c>
      <c r="BS53" s="87">
        <f>SUMIFS($AU$3:AU54,$AB$3:AB54,"*")</f>
        <v>639.99999999999943</v>
      </c>
      <c r="BT53" s="87">
        <f>SUMIFS($AU$3:AU54,$AC$3:AC54,"*")</f>
        <v>1030.4000000000001</v>
      </c>
      <c r="BU53" s="87">
        <f>SUMIFS($AU$3:AU54,$AA$3:AA54,"*",$AB$3:AB54,"*")</f>
        <v>367.9999999999996</v>
      </c>
      <c r="BV53" s="87">
        <f>SUMIFS($AU$3:AU54,$AA$3:AA54,"*",$AC$3:AC54,"*")</f>
        <v>1174.4000000000001</v>
      </c>
      <c r="BW53" s="87">
        <f>SUMIFS($AU$3:AU54,$AB$3:AB54,"*",$AC$3:AC54,"*")</f>
        <v>272.00000000000006</v>
      </c>
      <c r="BX53" s="87">
        <f>SUMIFS($AV$3:AV54,$Q$3:Q54,"F")</f>
        <v>84.114285714285714</v>
      </c>
      <c r="BY53" s="87">
        <f>SUMIFS($AV$3:AV54,$Q$3:Q54,"S")</f>
        <v>87.632302565294935</v>
      </c>
      <c r="BZ53" s="87">
        <f>SUMIFS($AV$3:AV54,$Q$3:Q54,"O")</f>
        <v>0</v>
      </c>
    </row>
    <row r="54" spans="1:78" ht="18" customHeight="1">
      <c r="A54" s="45" t="s">
        <v>96</v>
      </c>
      <c r="B54" s="59">
        <v>45308</v>
      </c>
      <c r="C54" s="46" t="s">
        <v>139</v>
      </c>
      <c r="D54" s="46" t="s">
        <v>186</v>
      </c>
      <c r="E54" s="66" t="s">
        <v>335</v>
      </c>
      <c r="F54" s="47" t="s">
        <v>336</v>
      </c>
      <c r="G54" s="48"/>
      <c r="H54" s="49">
        <v>1</v>
      </c>
      <c r="I54" s="49"/>
      <c r="J54" s="49"/>
      <c r="K54" s="50" t="s">
        <v>142</v>
      </c>
      <c r="L54" s="49"/>
      <c r="M54" s="49"/>
      <c r="N54" s="49"/>
      <c r="O54" s="50"/>
      <c r="P54" s="50"/>
      <c r="Q54" s="50"/>
      <c r="R54" s="50"/>
      <c r="S54" s="50"/>
      <c r="T54" s="50"/>
      <c r="U54" s="50"/>
      <c r="V54" s="50"/>
      <c r="W54" s="50"/>
      <c r="X54" s="50"/>
      <c r="Y54" s="50"/>
      <c r="Z54" s="50"/>
      <c r="AA54" s="52"/>
      <c r="AB54" s="52"/>
      <c r="AC54" s="52"/>
      <c r="AD54" s="231"/>
      <c r="AE54" s="49"/>
      <c r="AF54" s="84"/>
      <c r="AG54" s="49"/>
      <c r="AH54" s="49"/>
      <c r="AI54" s="49"/>
      <c r="AJ54" s="226"/>
      <c r="AK54" s="49"/>
      <c r="AL54" s="113"/>
      <c r="AM54" s="113"/>
      <c r="AN54" s="218"/>
      <c r="AO54" s="49"/>
      <c r="AP54" s="49"/>
      <c r="AQ54" s="84" t="str">
        <f>UPPER(RIGHT(Journal_Live[[#This Row],[DURATION ]]))</f>
        <v/>
      </c>
      <c r="AR54" s="49"/>
      <c r="AS54" s="55"/>
      <c r="AT54" s="55"/>
      <c r="AU54" s="54"/>
      <c r="AV54" s="56"/>
      <c r="AW54" s="57"/>
      <c r="AX54" s="96" t="s">
        <v>337</v>
      </c>
      <c r="AY54" s="96" t="s">
        <v>338</v>
      </c>
      <c r="AZ54" s="96"/>
      <c r="BA54" s="96"/>
      <c r="BB54" s="96"/>
      <c r="BC54" s="96"/>
      <c r="BD54" s="96"/>
      <c r="BE54" s="96"/>
      <c r="BF54" s="100"/>
      <c r="BG54" s="94">
        <f>SUM($AV$4:AV54)</f>
        <v>219.74658827958044</v>
      </c>
      <c r="BH54" s="95">
        <f>SUM($AU$4:AU54)</f>
        <v>2726.4000000000005</v>
      </c>
      <c r="BI54" s="80">
        <f>SUMIFS($AU$3:AU55,$Q$3:Q55,"F")</f>
        <v>2134.4</v>
      </c>
      <c r="BJ54" s="80">
        <f>SUMIFS($AU$3:AU55,$Q$3:Q55,"S")</f>
        <v>496.00000000000063</v>
      </c>
      <c r="BK54" s="87">
        <f>SUMIFS($AU$3:AU55,$P$3:P55,"W")</f>
        <v>1302.4000000000005</v>
      </c>
      <c r="BL54" s="87">
        <f>SUMIFS($AU$3:AU55,$P$3:P55,"R")</f>
        <v>1328.0000000000002</v>
      </c>
      <c r="BM54" s="87">
        <f>SUMIFS($AU$3:AU55,$AQ$3:AQ55,"M")</f>
        <v>784.00000000000023</v>
      </c>
      <c r="BN54" s="87">
        <f>SUMIFS($AU$3:AU55,$AQ$3:AQ55,"H")</f>
        <v>-128.00000000000006</v>
      </c>
      <c r="BO54" s="87">
        <f>SUMIFS($AU$3:AU55,$AQ$3:AQ55,"D")</f>
        <v>1008.0000000000002</v>
      </c>
      <c r="BP54" s="87">
        <f>SUMIFS($AU$3:AU57,$AQ$3:AQ57,"W")</f>
        <v>1062.3999999999999</v>
      </c>
      <c r="BQ54" s="87">
        <f>SUMIFS($AU$3:AU55,$Q$3:Q55,"O")</f>
        <v>0</v>
      </c>
      <c r="BR54" s="87">
        <f>SUMIFS($AU$3:AU55,$AA$3:AA55,"*")</f>
        <v>2598.4000000000005</v>
      </c>
      <c r="BS54" s="87">
        <f>SUMIFS($AU$3:AU55,$AB$3:AB55,"*")</f>
        <v>639.99999999999943</v>
      </c>
      <c r="BT54" s="87">
        <f>SUMIFS($AU$3:AU55,$AC$3:AC55,"*")</f>
        <v>1030.4000000000001</v>
      </c>
      <c r="BU54" s="87">
        <f>SUMIFS($AU$3:AU55,$AA$3:AA55,"*",$AB$3:AB55,"*")</f>
        <v>367.9999999999996</v>
      </c>
      <c r="BV54" s="87">
        <f>SUMIFS($AU$3:AU55,$AA$3:AA55,"*",$AC$3:AC55,"*")</f>
        <v>1174.4000000000001</v>
      </c>
      <c r="BW54" s="87">
        <f>SUMIFS($AU$3:AU55,$AB$3:AB55,"*",$AC$3:AC55,"*")</f>
        <v>272.00000000000006</v>
      </c>
      <c r="BX54" s="87">
        <f>SUMIFS($AV$3:AV55,$Q$3:Q55,"F")</f>
        <v>84.114285714285714</v>
      </c>
      <c r="BY54" s="87">
        <f>SUMIFS($AV$3:AV55,$Q$3:Q55,"S")</f>
        <v>87.632302565294935</v>
      </c>
      <c r="BZ54" s="87">
        <f>SUMIFS($AV$3:AV55,$Q$3:Q55,"O")</f>
        <v>0</v>
      </c>
    </row>
    <row r="55" spans="1:78" ht="18" customHeight="1">
      <c r="A55" s="45" t="s">
        <v>96</v>
      </c>
      <c r="B55" s="59">
        <v>45308</v>
      </c>
      <c r="C55" s="46" t="s">
        <v>339</v>
      </c>
      <c r="D55" s="46" t="s">
        <v>186</v>
      </c>
      <c r="E55" s="66"/>
      <c r="F55" s="47"/>
      <c r="G55" s="71" t="s">
        <v>99</v>
      </c>
      <c r="H55" s="49"/>
      <c r="I55" s="49"/>
      <c r="J55" s="49"/>
      <c r="K55" s="50"/>
      <c r="L55" s="49">
        <v>1</v>
      </c>
      <c r="M55" s="49">
        <v>1</v>
      </c>
      <c r="N55" s="49"/>
      <c r="O55" s="50" t="s">
        <v>100</v>
      </c>
      <c r="P55" s="50" t="s">
        <v>101</v>
      </c>
      <c r="Q55" s="50" t="s">
        <v>102</v>
      </c>
      <c r="R55" s="50">
        <v>24</v>
      </c>
      <c r="S55" s="50">
        <v>0</v>
      </c>
      <c r="T55" s="50">
        <v>24</v>
      </c>
      <c r="U55" s="50" t="s">
        <v>102</v>
      </c>
      <c r="V55" s="50"/>
      <c r="W55" s="50"/>
      <c r="X55" s="50"/>
      <c r="Y55" s="51">
        <f>IF(ISBLANK(O55),"",(IF(O55=UPPER("IB"),0.005,0.01)))</f>
        <v>0.01</v>
      </c>
      <c r="Z55" s="52">
        <f>IF(ISBLANK(O55),"",IF(O55="IB",8.63*200,IF(O55="IR",16*100,IF(O55="YT",20*100,IF(O55="YT-XT",24*200,IF(O55="TED",80*100))))))</f>
        <v>1600</v>
      </c>
      <c r="AA55" s="52" t="s">
        <v>300</v>
      </c>
      <c r="AB55" s="52"/>
      <c r="AC55" s="52"/>
      <c r="AD55" s="231">
        <v>-0.02</v>
      </c>
      <c r="AE55" s="49"/>
      <c r="AF55" s="84"/>
      <c r="AG55" s="49"/>
      <c r="AH55" s="49"/>
      <c r="AI55" s="49"/>
      <c r="AJ55" s="226"/>
      <c r="AK55" s="49"/>
      <c r="AL55" s="113">
        <f t="shared" ref="AL55:AL61" si="8">-0.02*Z55</f>
        <v>-32</v>
      </c>
      <c r="AM55" s="113">
        <f>AL55*(R55-S55)</f>
        <v>-768</v>
      </c>
      <c r="AN55" s="218"/>
      <c r="AO55" s="49"/>
      <c r="AP55" s="49"/>
      <c r="AQ55" s="84" t="s">
        <v>142</v>
      </c>
      <c r="AR55" s="49" t="s">
        <v>340</v>
      </c>
      <c r="AS55" s="55">
        <v>-0.02</v>
      </c>
      <c r="AT55" s="55">
        <f>IF(ISBLANK(AS55),,IF(U55="S",AD55-AS55,AS55-AD55))</f>
        <v>0</v>
      </c>
      <c r="AU55" s="54">
        <f>AV55*R55</f>
        <v>0</v>
      </c>
      <c r="AV55" s="56">
        <f>IF(ISBLANK(AS55),,(AT55*Z55))</f>
        <v>0</v>
      </c>
      <c r="AW55" s="57" t="s">
        <v>155</v>
      </c>
      <c r="AX55" s="96" t="s">
        <v>341</v>
      </c>
      <c r="AY55" s="96" t="s">
        <v>342</v>
      </c>
      <c r="AZ55" s="96"/>
      <c r="BA55" s="96"/>
      <c r="BB55" s="96"/>
      <c r="BC55" s="96"/>
      <c r="BD55" s="96"/>
      <c r="BE55" s="96"/>
      <c r="BF55" s="100"/>
      <c r="BG55" s="94">
        <f>SUM($AV$4:AV55)</f>
        <v>219.74658827958044</v>
      </c>
      <c r="BH55" s="95">
        <f>SUM($AU$4:AU55)</f>
        <v>2726.4000000000005</v>
      </c>
      <c r="BI55" s="80">
        <f>SUMIFS($AU$3:AU56,$Q$3:Q56,"F")</f>
        <v>2134.4</v>
      </c>
      <c r="BJ55" s="80">
        <f>SUMIFS($AU$3:AU56,$Q$3:Q56,"S")</f>
        <v>848.00000000000091</v>
      </c>
      <c r="BK55" s="87">
        <f>SUMIFS($AU$3:AU56,$P$3:P56,"W")</f>
        <v>1654.400000000001</v>
      </c>
      <c r="BL55" s="87">
        <f>SUMIFS($AU$3:AU56,$P$3:P56,"R")</f>
        <v>1328.0000000000002</v>
      </c>
      <c r="BM55" s="87">
        <f>SUMIFS($AU$3:AU56,$AQ$3:AQ56,"M")</f>
        <v>784.00000000000023</v>
      </c>
      <c r="BN55" s="87">
        <f>SUMIFS($AU$3:AU56,$AQ$3:AQ56,"H")</f>
        <v>-128.00000000000006</v>
      </c>
      <c r="BO55" s="87">
        <f>SUMIFS($AU$3:AU56,$AQ$3:AQ56,"D")</f>
        <v>1360.0000000000005</v>
      </c>
      <c r="BP55" s="87">
        <f>SUMIFS($AU$3:AU58,$AQ$3:AQ58,"W")</f>
        <v>1062.3999999999999</v>
      </c>
      <c r="BQ55" s="87">
        <f>SUMIFS($AU$3:AU56,$Q$3:Q56,"O")</f>
        <v>0</v>
      </c>
      <c r="BR55" s="87">
        <f>SUMIFS($AU$3:AU56,$AA$3:AA56,"*")</f>
        <v>2950.400000000001</v>
      </c>
      <c r="BS55" s="87">
        <f>SUMIFS($AU$3:AU56,$AB$3:AB56,"*")</f>
        <v>639.99999999999943</v>
      </c>
      <c r="BT55" s="87">
        <f>SUMIFS($AU$3:AU56,$AC$3:AC56,"*")</f>
        <v>1030.4000000000001</v>
      </c>
      <c r="BU55" s="87">
        <f>SUMIFS($AU$3:AU56,$AA$3:AA56,"*",$AB$3:AB56,"*")</f>
        <v>367.9999999999996</v>
      </c>
      <c r="BV55" s="87">
        <f>SUMIFS($AU$3:AU56,$AA$3:AA56,"*",$AC$3:AC56,"*")</f>
        <v>1174.4000000000001</v>
      </c>
      <c r="BW55" s="87">
        <f>SUMIFS($AU$3:AU56,$AB$3:AB56,"*",$AC$3:AC56,"*")</f>
        <v>272.00000000000006</v>
      </c>
      <c r="BX55" s="87">
        <f>SUMIFS($AV$3:AV56,$Q$3:Q56,"F")</f>
        <v>84.114285714285714</v>
      </c>
      <c r="BY55" s="87">
        <f>SUMIFS($AV$3:AV56,$Q$3:Q56,"S")</f>
        <v>103.63230256529495</v>
      </c>
      <c r="BZ55" s="87">
        <f>SUMIFS($AV$3:AV56,$Q$3:Q56,"O")</f>
        <v>0</v>
      </c>
    </row>
    <row r="56" spans="1:78" ht="18" customHeight="1">
      <c r="A56" s="45" t="s">
        <v>96</v>
      </c>
      <c r="B56" s="59">
        <v>45308</v>
      </c>
      <c r="C56" s="46" t="s">
        <v>343</v>
      </c>
      <c r="D56" s="46" t="s">
        <v>186</v>
      </c>
      <c r="E56" s="66"/>
      <c r="F56" s="47"/>
      <c r="G56" s="71" t="s">
        <v>227</v>
      </c>
      <c r="H56" s="49"/>
      <c r="I56" s="49"/>
      <c r="J56" s="49"/>
      <c r="K56" s="50"/>
      <c r="L56" s="49">
        <v>1</v>
      </c>
      <c r="M56" s="49">
        <v>1</v>
      </c>
      <c r="N56" s="49"/>
      <c r="O56" s="50" t="s">
        <v>100</v>
      </c>
      <c r="P56" s="50" t="s">
        <v>101</v>
      </c>
      <c r="Q56" s="50" t="s">
        <v>102</v>
      </c>
      <c r="R56" s="50">
        <v>22</v>
      </c>
      <c r="S56" s="50">
        <v>0</v>
      </c>
      <c r="T56" s="50">
        <v>22</v>
      </c>
      <c r="U56" s="50" t="s">
        <v>102</v>
      </c>
      <c r="V56" s="50"/>
      <c r="W56" s="50"/>
      <c r="X56" s="50"/>
      <c r="Y56" s="51">
        <f>IF(ISBLANK(O56),"",(IF(O56=UPPER("IB"),0.005,0.01)))</f>
        <v>0.01</v>
      </c>
      <c r="Z56" s="52">
        <f>IF(ISBLANK(O56),"",IF(O56="IB",8.63*200,IF(O56="IR",16*100,IF(O56="YT",20*100,IF(O56="YT-XT",24*200,IF(O56="TED",80*100))))))</f>
        <v>1600</v>
      </c>
      <c r="AA56" s="52" t="s">
        <v>344</v>
      </c>
      <c r="AB56" s="52"/>
      <c r="AC56" s="52"/>
      <c r="AD56" s="231">
        <v>-0.12</v>
      </c>
      <c r="AE56" s="49"/>
      <c r="AF56" s="84"/>
      <c r="AG56" s="49"/>
      <c r="AH56" s="49"/>
      <c r="AI56" s="49"/>
      <c r="AJ56" s="226"/>
      <c r="AK56" s="49"/>
      <c r="AL56" s="113">
        <f t="shared" si="8"/>
        <v>-32</v>
      </c>
      <c r="AM56" s="113">
        <f>AL56*(R56-S56)</f>
        <v>-704</v>
      </c>
      <c r="AN56" s="218"/>
      <c r="AO56" s="49"/>
      <c r="AP56" s="49" t="s">
        <v>297</v>
      </c>
      <c r="AQ56" s="84" t="s">
        <v>155</v>
      </c>
      <c r="AR56" s="49" t="s">
        <v>147</v>
      </c>
      <c r="AS56" s="55">
        <v>-0.13</v>
      </c>
      <c r="AT56" s="55">
        <f>IF(ISBLANK(AS56),,IF(U56="S",AD56-AS56,AS56-AD56))</f>
        <v>1.0000000000000009E-2</v>
      </c>
      <c r="AU56" s="54">
        <f>AV56*R56</f>
        <v>352.00000000000034</v>
      </c>
      <c r="AV56" s="56">
        <f>IF(ISBLANK(AS56),,(AT56*Z56))</f>
        <v>16.000000000000014</v>
      </c>
      <c r="AW56" s="57" t="s">
        <v>101</v>
      </c>
      <c r="AX56" s="96"/>
      <c r="AY56" s="96"/>
      <c r="AZ56" s="96"/>
      <c r="BA56" s="96"/>
      <c r="BB56" s="96"/>
      <c r="BC56" s="96"/>
      <c r="BD56" s="96"/>
      <c r="BE56" s="96"/>
      <c r="BF56" s="100"/>
      <c r="BG56" s="94">
        <f>SUM($AV$4:AV56)</f>
        <v>235.74658827958046</v>
      </c>
      <c r="BH56" s="95">
        <f>SUM($AU$4:AU56)</f>
        <v>3078.400000000001</v>
      </c>
      <c r="BI56" s="80">
        <f>SUMIFS($AU$3:AU57,$Q$3:Q57,"F")</f>
        <v>2134.4</v>
      </c>
      <c r="BJ56" s="80">
        <f>SUMIFS($AU$3:AU57,$Q$3:Q57,"S")</f>
        <v>848.00000000000091</v>
      </c>
      <c r="BK56" s="87">
        <f>SUMIFS($AU$3:AU57,$P$3:P57,"W")</f>
        <v>1654.400000000001</v>
      </c>
      <c r="BL56" s="87">
        <f>SUMIFS($AU$3:AU57,$P$3:P57,"R")</f>
        <v>1328.0000000000002</v>
      </c>
      <c r="BM56" s="87">
        <f>SUMIFS($AU$3:AU57,$AQ$3:AQ57,"M")</f>
        <v>784.00000000000023</v>
      </c>
      <c r="BN56" s="87">
        <f>SUMIFS($AU$3:AU57,$AQ$3:AQ57,"H")</f>
        <v>-128.00000000000006</v>
      </c>
      <c r="BO56" s="87">
        <f>SUMIFS($AU$3:AU57,$AQ$3:AQ57,"D")</f>
        <v>1360.0000000000005</v>
      </c>
      <c r="BP56" s="87">
        <f>SUMIFS($AU$3:AU59,$AQ$3:AQ59,"W")</f>
        <v>1062.3999999999999</v>
      </c>
      <c r="BQ56" s="87">
        <f>SUMIFS($AU$3:AU57,$Q$3:Q57,"O")</f>
        <v>0</v>
      </c>
      <c r="BR56" s="87">
        <f>SUMIFS($AU$3:AU57,$AA$3:AA57,"*")</f>
        <v>2950.400000000001</v>
      </c>
      <c r="BS56" s="87">
        <f>SUMIFS($AU$3:AU57,$AB$3:AB57,"*")</f>
        <v>639.99999999999943</v>
      </c>
      <c r="BT56" s="87">
        <f>SUMIFS($AU$3:AU57,$AC$3:AC57,"*")</f>
        <v>1030.4000000000001</v>
      </c>
      <c r="BU56" s="87">
        <f>SUMIFS($AU$3:AU57,$AA$3:AA57,"*",$AB$3:AB57,"*")</f>
        <v>367.9999999999996</v>
      </c>
      <c r="BV56" s="87">
        <f>SUMIFS($AU$3:AU57,$AA$3:AA57,"*",$AC$3:AC57,"*")</f>
        <v>1174.4000000000001</v>
      </c>
      <c r="BW56" s="87">
        <f>SUMIFS($AU$3:AU57,$AB$3:AB57,"*",$AC$3:AC57,"*")</f>
        <v>272.00000000000006</v>
      </c>
      <c r="BX56" s="87">
        <f>SUMIFS($AV$3:AV57,$Q$3:Q57,"F")</f>
        <v>84.114285714285714</v>
      </c>
      <c r="BY56" s="87">
        <f>SUMIFS($AV$3:AV57,$Q$3:Q57,"S")</f>
        <v>103.63230256529495</v>
      </c>
      <c r="BZ56" s="87">
        <f>SUMIFS($AV$3:AV57,$Q$3:Q57,"O")</f>
        <v>0</v>
      </c>
    </row>
    <row r="57" spans="1:78" ht="18" customHeight="1">
      <c r="A57" s="45" t="s">
        <v>96</v>
      </c>
      <c r="B57" s="59">
        <v>45308</v>
      </c>
      <c r="C57" s="46" t="s">
        <v>345</v>
      </c>
      <c r="D57" s="46" t="s">
        <v>186</v>
      </c>
      <c r="E57" s="66"/>
      <c r="F57" s="47"/>
      <c r="G57" s="48" t="s">
        <v>295</v>
      </c>
      <c r="H57" s="49"/>
      <c r="I57" s="49"/>
      <c r="J57" s="49"/>
      <c r="K57" s="50"/>
      <c r="L57" s="49"/>
      <c r="M57" s="49"/>
      <c r="N57" s="49"/>
      <c r="O57" s="50"/>
      <c r="P57" s="50"/>
      <c r="Q57" s="50"/>
      <c r="R57" s="50"/>
      <c r="S57" s="50"/>
      <c r="T57" s="50"/>
      <c r="U57" s="50"/>
      <c r="V57" s="50"/>
      <c r="W57" s="50"/>
      <c r="X57" s="50"/>
      <c r="Y57" s="51"/>
      <c r="Z57" s="52"/>
      <c r="AA57" s="52"/>
      <c r="AB57" s="52"/>
      <c r="AC57" s="52"/>
      <c r="AD57" s="231"/>
      <c r="AE57" s="49"/>
      <c r="AF57" s="84"/>
      <c r="AG57" s="49"/>
      <c r="AH57" s="49"/>
      <c r="AI57" s="49"/>
      <c r="AJ57" s="226"/>
      <c r="AK57" s="49"/>
      <c r="AL57" s="113">
        <f t="shared" si="8"/>
        <v>0</v>
      </c>
      <c r="AM57" s="113">
        <f>AL57*(R57-S57)</f>
        <v>0</v>
      </c>
      <c r="AN57" s="218"/>
      <c r="AO57" s="49"/>
      <c r="AP57" s="49"/>
      <c r="AQ57" s="84" t="str">
        <f>UPPER(RIGHT(Journal_Live[[#This Row],[DURATION ]]))</f>
        <v/>
      </c>
      <c r="AR57" s="49"/>
      <c r="AS57" s="55"/>
      <c r="AT57" s="55"/>
      <c r="AU57" s="54"/>
      <c r="AV57" s="56"/>
      <c r="AW57" s="57"/>
      <c r="AX57" s="96"/>
      <c r="AY57" s="96"/>
      <c r="AZ57" s="96"/>
      <c r="BA57" s="96"/>
      <c r="BB57" s="96"/>
      <c r="BC57" s="96"/>
      <c r="BD57" s="96"/>
      <c r="BE57" s="96"/>
      <c r="BF57" s="100"/>
      <c r="BG57" s="94">
        <f>SUM($AV$4:AV57)</f>
        <v>235.74658827958046</v>
      </c>
      <c r="BH57" s="95">
        <f>SUM($AU$4:AU57)</f>
        <v>3078.400000000001</v>
      </c>
      <c r="BI57" s="80">
        <f>SUMIFS($AU$3:AU58,$Q$3:Q58,"F")</f>
        <v>2134.4</v>
      </c>
      <c r="BJ57" s="80">
        <f>SUMIFS($AU$3:AU58,$Q$3:Q58,"S")</f>
        <v>848.00000000000091</v>
      </c>
      <c r="BK57" s="87">
        <f>SUMIFS($AU$3:AU58,$P$3:P58,"W")</f>
        <v>1654.400000000001</v>
      </c>
      <c r="BL57" s="87">
        <f>SUMIFS($AU$3:AU58,$P$3:P58,"R")</f>
        <v>1328.0000000000002</v>
      </c>
      <c r="BM57" s="87">
        <f>SUMIFS($AU$3:AU58,$AQ$3:AQ58,"M")</f>
        <v>784.00000000000023</v>
      </c>
      <c r="BN57" s="87">
        <f>SUMIFS($AU$3:AU58,$AQ$3:AQ58,"H")</f>
        <v>-128.00000000000006</v>
      </c>
      <c r="BO57" s="87">
        <f>SUMIFS($AU$3:AU58,$AQ$3:AQ58,"D")</f>
        <v>1360.0000000000005</v>
      </c>
      <c r="BP57" s="87">
        <f>SUMIFS($AU$3:AU60,$AQ$3:AQ60,"W")</f>
        <v>1062.3999999999999</v>
      </c>
      <c r="BQ57" s="87">
        <f>SUMIFS($AU$3:AU58,$Q$3:Q58,"O")</f>
        <v>0</v>
      </c>
      <c r="BR57" s="87">
        <f>SUMIFS($AU$3:AU58,$AA$3:AA58,"*")</f>
        <v>2950.400000000001</v>
      </c>
      <c r="BS57" s="87">
        <f>SUMIFS($AU$3:AU58,$AB$3:AB58,"*")</f>
        <v>639.99999999999943</v>
      </c>
      <c r="BT57" s="87">
        <f>SUMIFS($AU$3:AU58,$AC$3:AC58,"*")</f>
        <v>1030.4000000000001</v>
      </c>
      <c r="BU57" s="87">
        <f>SUMIFS($AU$3:AU58,$AA$3:AA58,"*",$AB$3:AB58,"*")</f>
        <v>367.9999999999996</v>
      </c>
      <c r="BV57" s="87">
        <f>SUMIFS($AU$3:AU58,$AA$3:AA58,"*",$AC$3:AC58,"*")</f>
        <v>1174.4000000000001</v>
      </c>
      <c r="BW57" s="87">
        <f>SUMIFS($AU$3:AU58,$AB$3:AB58,"*",$AC$3:AC58,"*")</f>
        <v>272.00000000000006</v>
      </c>
      <c r="BX57" s="87">
        <f>SUMIFS($AV$3:AV58,$Q$3:Q58,"F")</f>
        <v>84.114285714285714</v>
      </c>
      <c r="BY57" s="87">
        <f>SUMIFS($AV$3:AV58,$Q$3:Q58,"S")</f>
        <v>103.63230256529495</v>
      </c>
      <c r="BZ57" s="87">
        <f>SUMIFS($AV$3:AV58,$Q$3:Q58,"O")</f>
        <v>0</v>
      </c>
    </row>
    <row r="58" spans="1:78" ht="18" customHeight="1">
      <c r="A58" s="45" t="s">
        <v>96</v>
      </c>
      <c r="B58" s="59">
        <v>45309</v>
      </c>
      <c r="C58" s="46" t="s">
        <v>179</v>
      </c>
      <c r="D58" s="46" t="s">
        <v>107</v>
      </c>
      <c r="E58" s="66" t="s">
        <v>346</v>
      </c>
      <c r="F58" s="47"/>
      <c r="G58" s="48"/>
      <c r="H58" s="49"/>
      <c r="I58" s="49">
        <v>1</v>
      </c>
      <c r="J58" s="49"/>
      <c r="K58" s="50"/>
      <c r="L58" s="49"/>
      <c r="M58" s="49"/>
      <c r="N58" s="49"/>
      <c r="O58" s="50"/>
      <c r="P58" s="50"/>
      <c r="Q58" s="50"/>
      <c r="R58" s="50"/>
      <c r="S58" s="50"/>
      <c r="T58" s="50"/>
      <c r="U58" s="50"/>
      <c r="V58" s="50"/>
      <c r="W58" s="50"/>
      <c r="X58" s="50"/>
      <c r="Y58" s="51" t="str">
        <f>IF(ISBLANK(O58),"",(IF(O58=UPPER("IB"),0.005,0.01)))</f>
        <v/>
      </c>
      <c r="Z58" s="52" t="str">
        <f>IF(ISBLANK(O58),"",IF(O58="IB",8.63*200,IF(O58="IR",16*100,IF(O58="YT",20*100,IF(O58="YT-XT",24*200,IF(O58="TED",80*100))))))</f>
        <v/>
      </c>
      <c r="AA58" s="52"/>
      <c r="AB58" s="52"/>
      <c r="AC58" s="52"/>
      <c r="AD58" s="231"/>
      <c r="AE58" s="49"/>
      <c r="AF58" s="84"/>
      <c r="AG58" s="49"/>
      <c r="AH58" s="49"/>
      <c r="AI58" s="49"/>
      <c r="AJ58" s="226"/>
      <c r="AK58" s="49"/>
      <c r="AL58" s="113"/>
      <c r="AM58" s="113"/>
      <c r="AN58" s="218"/>
      <c r="AO58" s="49"/>
      <c r="AP58" s="49"/>
      <c r="AQ58" s="84" t="str">
        <f>UPPER(RIGHT(Journal_Live[[#This Row],[DURATION ]]))</f>
        <v/>
      </c>
      <c r="AR58" s="49"/>
      <c r="AS58" s="55"/>
      <c r="AT58" s="55"/>
      <c r="AU58" s="54"/>
      <c r="AV58" s="56"/>
      <c r="AW58" s="57"/>
      <c r="AX58" s="96"/>
      <c r="AY58" s="96"/>
      <c r="AZ58" s="96"/>
      <c r="BA58" s="96"/>
      <c r="BB58" s="96"/>
      <c r="BC58" s="96"/>
      <c r="BD58" s="96"/>
      <c r="BE58" s="96"/>
      <c r="BF58" s="100"/>
      <c r="BG58" s="94">
        <f>SUM($AV$4:AV58)</f>
        <v>235.74658827958046</v>
      </c>
      <c r="BH58" s="95">
        <f>SUM($AU$4:AU58)</f>
        <v>3078.400000000001</v>
      </c>
      <c r="BI58" s="80">
        <f>SUMIFS($AU$3:AU59,$Q$3:Q59,"F")</f>
        <v>2134.4</v>
      </c>
      <c r="BJ58" s="80">
        <f>SUMIFS($AU$3:AU59,$Q$3:Q59,"S")</f>
        <v>848.00000000000091</v>
      </c>
      <c r="BK58" s="87">
        <f>SUMIFS($AU$3:AU59,$P$3:P59,"W")</f>
        <v>1654.400000000001</v>
      </c>
      <c r="BL58" s="87">
        <f>SUMIFS($AU$3:AU59,$P$3:P59,"R")</f>
        <v>1328.0000000000002</v>
      </c>
      <c r="BM58" s="87">
        <f>SUMIFS($AU$3:AU59,$AQ$3:AQ59,"M")</f>
        <v>784.00000000000023</v>
      </c>
      <c r="BN58" s="87">
        <f>SUMIFS($AU$3:AU59,$AQ$3:AQ59,"H")</f>
        <v>-128.00000000000006</v>
      </c>
      <c r="BO58" s="87">
        <f>SUMIFS($AU$3:AU59,$AQ$3:AQ59,"D")</f>
        <v>1360.0000000000005</v>
      </c>
      <c r="BP58" s="87">
        <f>SUMIFS($AU$3:AU61,$AQ$3:AQ61,"W")</f>
        <v>1062.3999999999999</v>
      </c>
      <c r="BQ58" s="87">
        <f>SUMIFS($AU$3:AU59,$Q$3:Q59,"O")</f>
        <v>0</v>
      </c>
      <c r="BR58" s="87">
        <f>SUMIFS($AU$3:AU59,$AA$3:AA59,"*")</f>
        <v>2950.400000000001</v>
      </c>
      <c r="BS58" s="87">
        <f>SUMIFS($AU$3:AU59,$AB$3:AB59,"*")</f>
        <v>639.99999999999943</v>
      </c>
      <c r="BT58" s="87">
        <f>SUMIFS($AU$3:AU59,$AC$3:AC59,"*")</f>
        <v>1030.4000000000001</v>
      </c>
      <c r="BU58" s="87">
        <f>SUMIFS($AU$3:AU59,$AA$3:AA59,"*",$AB$3:AB59,"*")</f>
        <v>367.9999999999996</v>
      </c>
      <c r="BV58" s="87">
        <f>SUMIFS($AU$3:AU59,$AA$3:AA59,"*",$AC$3:AC59,"*")</f>
        <v>1174.4000000000001</v>
      </c>
      <c r="BW58" s="87">
        <f>SUMIFS($AU$3:AU59,$AB$3:AB59,"*",$AC$3:AC59,"*")</f>
        <v>272.00000000000006</v>
      </c>
      <c r="BX58" s="87">
        <f>SUMIFS($AV$3:AV59,$Q$3:Q59,"F")</f>
        <v>84.114285714285714</v>
      </c>
      <c r="BY58" s="87">
        <f>SUMIFS($AV$3:AV59,$Q$3:Q59,"S")</f>
        <v>103.63230256529495</v>
      </c>
      <c r="BZ58" s="87">
        <f>SUMIFS($AV$3:AV59,$Q$3:Q59,"O")</f>
        <v>0</v>
      </c>
    </row>
    <row r="59" spans="1:78" ht="18" customHeight="1">
      <c r="A59" s="45" t="s">
        <v>96</v>
      </c>
      <c r="B59" s="59"/>
      <c r="C59" s="46"/>
      <c r="D59" s="46"/>
      <c r="E59" s="66" t="s">
        <v>347</v>
      </c>
      <c r="F59" s="47"/>
      <c r="G59" s="48"/>
      <c r="H59" s="49"/>
      <c r="I59" s="49"/>
      <c r="J59" s="49">
        <v>1</v>
      </c>
      <c r="K59" s="50" t="s">
        <v>155</v>
      </c>
      <c r="L59" s="49"/>
      <c r="M59" s="49"/>
      <c r="N59" s="49"/>
      <c r="O59" s="50"/>
      <c r="P59" s="50"/>
      <c r="Q59" s="50"/>
      <c r="R59" s="50"/>
      <c r="S59" s="50"/>
      <c r="T59" s="50"/>
      <c r="U59" s="50"/>
      <c r="V59" s="50"/>
      <c r="W59" s="50"/>
      <c r="X59" s="50"/>
      <c r="Y59" s="51" t="str">
        <f>IF(ISBLANK(O59),"",(IF(O59=UPPER("IB"),0.005,0.01)))</f>
        <v/>
      </c>
      <c r="Z59" s="52" t="str">
        <f>IF(ISBLANK(O59),"",IF(O59="IB",8.63*200,IF(O59="IR",16*100,IF(O59="YT",20*100,IF(O59="YT-XT",24*200,IF(O59="TED",80*100))))))</f>
        <v/>
      </c>
      <c r="AA59" s="52"/>
      <c r="AB59" s="52"/>
      <c r="AC59" s="52"/>
      <c r="AD59" s="231"/>
      <c r="AE59" s="49"/>
      <c r="AF59" s="84"/>
      <c r="AG59" s="49"/>
      <c r="AH59" s="49"/>
      <c r="AI59" s="49"/>
      <c r="AJ59" s="226"/>
      <c r="AK59" s="49"/>
      <c r="AL59" s="113"/>
      <c r="AM59" s="113"/>
      <c r="AN59" s="218"/>
      <c r="AO59" s="49"/>
      <c r="AP59" s="49"/>
      <c r="AQ59" s="84" t="str">
        <f>UPPER(RIGHT(Journal_Live[[#This Row],[DURATION ]]))</f>
        <v/>
      </c>
      <c r="AR59" s="49"/>
      <c r="AS59" s="55"/>
      <c r="AT59" s="55"/>
      <c r="AU59" s="54"/>
      <c r="AV59" s="56"/>
      <c r="AW59" s="57"/>
      <c r="AX59" s="96"/>
      <c r="AY59" s="96"/>
      <c r="AZ59" s="96"/>
      <c r="BA59" s="96"/>
      <c r="BB59" s="96"/>
      <c r="BC59" s="96"/>
      <c r="BD59" s="96"/>
      <c r="BE59" s="96"/>
      <c r="BF59" s="100"/>
      <c r="BG59" s="94">
        <f>SUM($AV$4:AV59)</f>
        <v>235.74658827958046</v>
      </c>
      <c r="BH59" s="95">
        <f>SUM($AU$4:AU59)</f>
        <v>3078.400000000001</v>
      </c>
      <c r="BI59" s="80">
        <f>SUMIFS($AU$3:AU60,$Q$3:Q60,"F")</f>
        <v>2134.4</v>
      </c>
      <c r="BJ59" s="80">
        <f>SUMIFS($AU$3:AU60,$Q$3:Q60,"S")</f>
        <v>848.00000000000091</v>
      </c>
      <c r="BK59" s="87">
        <f>SUMIFS($AU$3:AU60,$P$3:P60,"W")</f>
        <v>1654.400000000001</v>
      </c>
      <c r="BL59" s="87">
        <f>SUMIFS($AU$3:AU60,$P$3:P60,"R")</f>
        <v>1328.0000000000002</v>
      </c>
      <c r="BM59" s="87">
        <f>SUMIFS($AU$3:AU60,$AQ$3:AQ60,"M")</f>
        <v>784.00000000000023</v>
      </c>
      <c r="BN59" s="87">
        <f>SUMIFS($AU$3:AU60,$AQ$3:AQ60,"H")</f>
        <v>-128.00000000000006</v>
      </c>
      <c r="BO59" s="87">
        <f>SUMIFS($AU$3:AU60,$AQ$3:AQ60,"D")</f>
        <v>1360.0000000000005</v>
      </c>
      <c r="BP59" s="87">
        <f>SUMIFS($AU$3:AU62,$AQ$3:AQ62,"W")</f>
        <v>1062.3999999999999</v>
      </c>
      <c r="BQ59" s="87">
        <f>SUMIFS($AU$3:AU60,$Q$3:Q60,"O")</f>
        <v>0</v>
      </c>
      <c r="BR59" s="87">
        <f>SUMIFS($AU$3:AU60,$AA$3:AA60,"*")</f>
        <v>2950.400000000001</v>
      </c>
      <c r="BS59" s="87">
        <f>SUMIFS($AU$3:AU60,$AB$3:AB60,"*")</f>
        <v>639.99999999999943</v>
      </c>
      <c r="BT59" s="87">
        <f>SUMIFS($AU$3:AU60,$AC$3:AC60,"*")</f>
        <v>1030.4000000000001</v>
      </c>
      <c r="BU59" s="87">
        <f>SUMIFS($AU$3:AU60,$AA$3:AA60,"*",$AB$3:AB60,"*")</f>
        <v>367.9999999999996</v>
      </c>
      <c r="BV59" s="87">
        <f>SUMIFS($AU$3:AU60,$AA$3:AA60,"*",$AC$3:AC60,"*")</f>
        <v>1174.4000000000001</v>
      </c>
      <c r="BW59" s="87">
        <f>SUMIFS($AU$3:AU60,$AB$3:AB60,"*",$AC$3:AC60,"*")</f>
        <v>272.00000000000006</v>
      </c>
      <c r="BX59" s="87">
        <f>SUMIFS($AV$3:AV60,$Q$3:Q60,"F")</f>
        <v>84.114285714285714</v>
      </c>
      <c r="BY59" s="87">
        <f>SUMIFS($AV$3:AV60,$Q$3:Q60,"S")</f>
        <v>103.63230256529495</v>
      </c>
      <c r="BZ59" s="87">
        <f>SUMIFS($AV$3:AV60,$Q$3:Q60,"O")</f>
        <v>0</v>
      </c>
    </row>
    <row r="60" spans="1:78" ht="18" customHeight="1">
      <c r="A60" s="45" t="s">
        <v>96</v>
      </c>
      <c r="B60" s="59">
        <v>45309</v>
      </c>
      <c r="C60" s="46" t="s">
        <v>147</v>
      </c>
      <c r="D60" s="46" t="s">
        <v>107</v>
      </c>
      <c r="E60" s="66"/>
      <c r="F60" s="47"/>
      <c r="G60" s="71" t="s">
        <v>348</v>
      </c>
      <c r="H60" s="49"/>
      <c r="I60" s="49"/>
      <c r="J60" s="49"/>
      <c r="K60" s="50"/>
      <c r="L60" s="49">
        <v>2</v>
      </c>
      <c r="M60" s="49"/>
      <c r="N60" s="49"/>
      <c r="O60" s="50" t="s">
        <v>100</v>
      </c>
      <c r="P60" s="50" t="s">
        <v>126</v>
      </c>
      <c r="Q60" s="50" t="s">
        <v>198</v>
      </c>
      <c r="R60" s="50">
        <v>4</v>
      </c>
      <c r="S60" s="50">
        <v>0</v>
      </c>
      <c r="T60" s="50">
        <v>4</v>
      </c>
      <c r="U60" s="50" t="s">
        <v>22</v>
      </c>
      <c r="V60" s="50"/>
      <c r="W60" s="50"/>
      <c r="X60" s="50"/>
      <c r="Y60" s="51">
        <f>IF(ISBLANK(O60),"",(IF(O60=UPPER("IB"),0.005,0.01)))</f>
        <v>0.01</v>
      </c>
      <c r="Z60" s="52">
        <f>IF(ISBLANK(O60),"",IF(O60="IB",8.63*200,IF(O60="IR",16*100,IF(O60="YT",20*100,IF(O60="YT-XT",24*200,IF(O60="TED",80*100))))))</f>
        <v>1600</v>
      </c>
      <c r="AA60" s="52" t="s">
        <v>349</v>
      </c>
      <c r="AB60" s="52"/>
      <c r="AC60" s="52"/>
      <c r="AD60" s="231">
        <v>96.12</v>
      </c>
      <c r="AE60" s="49"/>
      <c r="AF60" s="84"/>
      <c r="AG60" s="49"/>
      <c r="AH60" s="49"/>
      <c r="AI60" s="49"/>
      <c r="AJ60" s="226"/>
      <c r="AK60" s="49"/>
      <c r="AL60" s="113"/>
      <c r="AM60" s="113"/>
      <c r="AN60" s="218"/>
      <c r="AO60" s="49"/>
      <c r="AP60" s="49" t="s">
        <v>218</v>
      </c>
      <c r="AQ60" s="84" t="s">
        <v>350</v>
      </c>
      <c r="AR60" s="49" t="s">
        <v>351</v>
      </c>
      <c r="AS60" s="55">
        <v>96.12</v>
      </c>
      <c r="AT60" s="55">
        <f>IF(ISBLANK(AS60),,IF(U60="S",AD60-AS60,AS60-AD60))</f>
        <v>0</v>
      </c>
      <c r="AU60" s="54">
        <f>AV60*R60</f>
        <v>0</v>
      </c>
      <c r="AV60" s="56">
        <f>IF(ISBLANK(AS60),,(AT60*Z60))</f>
        <v>0</v>
      </c>
      <c r="AW60" s="57" t="s">
        <v>155</v>
      </c>
      <c r="AX60" s="96" t="s">
        <v>352</v>
      </c>
      <c r="AY60" s="96"/>
      <c r="AZ60" s="96"/>
      <c r="BA60" s="96"/>
      <c r="BB60" s="96"/>
      <c r="BC60" s="96"/>
      <c r="BD60" s="96"/>
      <c r="BE60" s="96"/>
      <c r="BF60" s="100"/>
      <c r="BG60" s="94">
        <f>SUM($AV$4:AV60)</f>
        <v>235.74658827958046</v>
      </c>
      <c r="BH60" s="95">
        <f>SUM($AU$4:AU60)</f>
        <v>3078.400000000001</v>
      </c>
      <c r="BI60" s="80">
        <f>SUMIFS($AU$3:AU61,$Q$3:Q61,"F")</f>
        <v>2134.4</v>
      </c>
      <c r="BJ60" s="80">
        <f>SUMIFS($AU$3:AU61,$Q$3:Q61,"S")</f>
        <v>848.00000000000091</v>
      </c>
      <c r="BK60" s="87">
        <f>SUMIFS($AU$3:AU61,$P$3:P61,"W")</f>
        <v>1654.400000000001</v>
      </c>
      <c r="BL60" s="87">
        <f>SUMIFS($AU$3:AU61,$P$3:P61,"R")</f>
        <v>1328.0000000000002</v>
      </c>
      <c r="BM60" s="87">
        <f>SUMIFS($AU$3:AU61,$AQ$3:AQ61,"M")</f>
        <v>784.00000000000023</v>
      </c>
      <c r="BN60" s="87">
        <f>SUMIFS($AU$3:AU61,$AQ$3:AQ61,"H")</f>
        <v>-128.00000000000006</v>
      </c>
      <c r="BO60" s="87">
        <f>SUMIFS($AU$3:AU61,$AQ$3:AQ61,"D")</f>
        <v>1360.0000000000005</v>
      </c>
      <c r="BP60" s="87">
        <f>SUMIFS($AU$3:AU63,$AQ$3:AQ63,"W")</f>
        <v>1062.3999999999999</v>
      </c>
      <c r="BQ60" s="87">
        <f>SUMIFS($AU$3:AU61,$Q$3:Q61,"O")</f>
        <v>0</v>
      </c>
      <c r="BR60" s="87">
        <f>SUMIFS($AU$3:AU61,$AA$3:AA61,"*")</f>
        <v>2950.400000000001</v>
      </c>
      <c r="BS60" s="87">
        <f>SUMIFS($AU$3:AU61,$AB$3:AB61,"*")</f>
        <v>639.99999999999943</v>
      </c>
      <c r="BT60" s="87">
        <f>SUMIFS($AU$3:AU61,$AC$3:AC61,"*")</f>
        <v>1030.4000000000001</v>
      </c>
      <c r="BU60" s="87">
        <f>SUMIFS($AU$3:AU61,$AA$3:AA61,"*",$AB$3:AB61,"*")</f>
        <v>367.9999999999996</v>
      </c>
      <c r="BV60" s="87">
        <f>SUMIFS($AU$3:AU61,$AA$3:AA61,"*",$AC$3:AC61,"*")</f>
        <v>1174.4000000000001</v>
      </c>
      <c r="BW60" s="87">
        <f>SUMIFS($AU$3:AU61,$AB$3:AB61,"*",$AC$3:AC61,"*")</f>
        <v>272.00000000000006</v>
      </c>
      <c r="BX60" s="87">
        <f>SUMIFS($AV$3:AV61,$Q$3:Q61,"F")</f>
        <v>84.114285714285714</v>
      </c>
      <c r="BY60" s="87">
        <f>SUMIFS($AV$3:AV61,$Q$3:Q61,"S")</f>
        <v>103.63230256529495</v>
      </c>
      <c r="BZ60" s="87">
        <f>SUMIFS($AV$3:AV61,$Q$3:Q61,"O")</f>
        <v>0</v>
      </c>
    </row>
    <row r="61" spans="1:78" ht="18" customHeight="1">
      <c r="A61" s="45" t="s">
        <v>96</v>
      </c>
      <c r="B61" s="59">
        <v>45309</v>
      </c>
      <c r="C61" s="46" t="s">
        <v>147</v>
      </c>
      <c r="D61" s="46" t="s">
        <v>107</v>
      </c>
      <c r="E61" s="66"/>
      <c r="F61" s="47"/>
      <c r="G61" s="71" t="s">
        <v>111</v>
      </c>
      <c r="H61" s="49"/>
      <c r="I61" s="49"/>
      <c r="J61" s="49"/>
      <c r="K61" s="50"/>
      <c r="L61" s="49">
        <v>1</v>
      </c>
      <c r="M61" s="49">
        <v>1</v>
      </c>
      <c r="N61" s="49"/>
      <c r="O61" s="50" t="s">
        <v>100</v>
      </c>
      <c r="P61" s="50" t="s">
        <v>101</v>
      </c>
      <c r="Q61" s="50" t="s">
        <v>102</v>
      </c>
      <c r="R61" s="50">
        <v>22</v>
      </c>
      <c r="S61" s="50">
        <v>0</v>
      </c>
      <c r="T61" s="50">
        <v>22</v>
      </c>
      <c r="U61" s="50" t="s">
        <v>22</v>
      </c>
      <c r="V61" s="50"/>
      <c r="W61" s="50"/>
      <c r="X61" s="50"/>
      <c r="Y61" s="51">
        <f>IF(ISBLANK(O61),"",(IF(O61=UPPER("IB"),0.005,0.01)))</f>
        <v>0.01</v>
      </c>
      <c r="Z61" s="52">
        <f>IF(ISBLANK(O61),"",IF(O61="IB",8.63*200,IF(O61="IR",16*100,IF(O61="YT",20*100,IF(O61="YT-XT",24*200,IF(O61="TED",80*100))))))</f>
        <v>1600</v>
      </c>
      <c r="AA61" s="52" t="s">
        <v>353</v>
      </c>
      <c r="AB61" s="52"/>
      <c r="AC61" s="52" t="s">
        <v>354</v>
      </c>
      <c r="AD61" s="231">
        <v>-0.1</v>
      </c>
      <c r="AE61" s="49"/>
      <c r="AF61" s="84"/>
      <c r="AG61" s="49"/>
      <c r="AH61" s="49"/>
      <c r="AI61" s="49"/>
      <c r="AJ61" s="226"/>
      <c r="AK61" s="49"/>
      <c r="AL61" s="113">
        <f t="shared" si="8"/>
        <v>-32</v>
      </c>
      <c r="AM61" s="113">
        <f>AL61*(R61-S61)</f>
        <v>-704</v>
      </c>
      <c r="AN61" s="218"/>
      <c r="AO61" s="49"/>
      <c r="AP61" s="49"/>
      <c r="AQ61" s="84" t="s">
        <v>142</v>
      </c>
      <c r="AR61" s="49" t="s">
        <v>355</v>
      </c>
      <c r="AS61" s="55">
        <v>-0.1</v>
      </c>
      <c r="AT61" s="55">
        <f>IF(ISBLANK(AS61),,IF(U61="S",AD61-AS61,AS61-AD61))</f>
        <v>0</v>
      </c>
      <c r="AU61" s="54">
        <f>AV61*R61</f>
        <v>0</v>
      </c>
      <c r="AV61" s="56">
        <f>IF(ISBLANK(AS61),,(AT61*Z61))</f>
        <v>0</v>
      </c>
      <c r="AW61" s="57" t="s">
        <v>155</v>
      </c>
      <c r="AX61" s="96" t="s">
        <v>356</v>
      </c>
      <c r="AY61" s="96"/>
      <c r="AZ61" s="96"/>
      <c r="BA61" s="96"/>
      <c r="BB61" s="96"/>
      <c r="BC61" s="96"/>
      <c r="BD61" s="96"/>
      <c r="BE61" s="96"/>
      <c r="BF61" s="100"/>
      <c r="BG61" s="94">
        <f>SUM($AV$4:AV61)</f>
        <v>235.74658827958046</v>
      </c>
      <c r="BH61" s="95">
        <f>SUM($AU$4:AU61)</f>
        <v>3078.400000000001</v>
      </c>
      <c r="BI61" s="80">
        <f>SUMIFS($AU$3:AU62,$Q$3:Q62,"F")</f>
        <v>2134.4</v>
      </c>
      <c r="BJ61" s="80">
        <f>SUMIFS($AU$3:AU62,$Q$3:Q62,"S")</f>
        <v>848.00000000000091</v>
      </c>
      <c r="BK61" s="87">
        <f>SUMIFS($AU$3:AU62,$P$3:P62,"W")</f>
        <v>1654.400000000001</v>
      </c>
      <c r="BL61" s="87">
        <f>SUMIFS($AU$3:AU62,$P$3:P62,"R")</f>
        <v>1328.0000000000002</v>
      </c>
      <c r="BM61" s="87">
        <f>SUMIFS($AU$3:AU62,$AQ$3:AQ62,"M")</f>
        <v>784.00000000000023</v>
      </c>
      <c r="BN61" s="87">
        <f>SUMIFS($AU$3:AU62,$AQ$3:AQ62,"H")</f>
        <v>-128.00000000000006</v>
      </c>
      <c r="BO61" s="87">
        <f>SUMIFS($AU$3:AU62,$AQ$3:AQ62,"D")</f>
        <v>1360.0000000000005</v>
      </c>
      <c r="BP61" s="87">
        <f>SUMIFS($AU$3:AU64,$AQ$3:AQ64,"W")</f>
        <v>1062.3999999999999</v>
      </c>
      <c r="BQ61" s="87">
        <f>SUMIFS($AU$3:AU62,$Q$3:Q62,"O")</f>
        <v>0</v>
      </c>
      <c r="BR61" s="87">
        <f>SUMIFS($AU$3:AU62,$AA$3:AA62,"*")</f>
        <v>2950.400000000001</v>
      </c>
      <c r="BS61" s="87">
        <f>SUMIFS($AU$3:AU62,$AB$3:AB62,"*")</f>
        <v>639.99999999999943</v>
      </c>
      <c r="BT61" s="87">
        <f>SUMIFS($AU$3:AU62,$AC$3:AC62,"*")</f>
        <v>1030.4000000000001</v>
      </c>
      <c r="BU61" s="87">
        <f>SUMIFS($AU$3:AU62,$AA$3:AA62,"*",$AB$3:AB62,"*")</f>
        <v>367.9999999999996</v>
      </c>
      <c r="BV61" s="87">
        <f>SUMIFS($AU$3:AU62,$AA$3:AA62,"*",$AC$3:AC62,"*")</f>
        <v>1174.4000000000001</v>
      </c>
      <c r="BW61" s="87">
        <f>SUMIFS($AU$3:AU62,$AB$3:AB62,"*",$AC$3:AC62,"*")</f>
        <v>272.00000000000006</v>
      </c>
      <c r="BX61" s="87">
        <f>SUMIFS($AV$3:AV62,$Q$3:Q62,"F")</f>
        <v>84.114285714285714</v>
      </c>
      <c r="BY61" s="87">
        <f>SUMIFS($AV$3:AV62,$Q$3:Q62,"S")</f>
        <v>103.63230256529495</v>
      </c>
      <c r="BZ61" s="87">
        <f>SUMIFS($AV$3:AV62,$Q$3:Q62,"O")</f>
        <v>0</v>
      </c>
    </row>
    <row r="62" spans="1:78" ht="18" customHeight="1">
      <c r="A62" s="45" t="s">
        <v>96</v>
      </c>
      <c r="B62" s="59"/>
      <c r="C62" s="46"/>
      <c r="D62" s="46"/>
      <c r="E62" s="66"/>
      <c r="F62" s="47"/>
      <c r="G62" s="48"/>
      <c r="H62" s="49"/>
      <c r="I62" s="49"/>
      <c r="J62" s="49"/>
      <c r="K62" s="50"/>
      <c r="L62" s="49"/>
      <c r="M62" s="49"/>
      <c r="N62" s="49"/>
      <c r="O62" s="50"/>
      <c r="P62" s="50"/>
      <c r="Q62" s="50"/>
      <c r="R62" s="50"/>
      <c r="S62" s="50"/>
      <c r="T62" s="50"/>
      <c r="U62" s="50"/>
      <c r="V62" s="50"/>
      <c r="W62" s="50"/>
      <c r="X62" s="50"/>
      <c r="Y62" s="51"/>
      <c r="Z62" s="52"/>
      <c r="AA62" s="97"/>
      <c r="AB62" s="52"/>
      <c r="AC62" s="52"/>
      <c r="AD62" s="231"/>
      <c r="AE62" s="49"/>
      <c r="AF62" s="84"/>
      <c r="AG62" s="49"/>
      <c r="AH62" s="103" t="s">
        <v>357</v>
      </c>
      <c r="AI62" s="49"/>
      <c r="AJ62" s="226"/>
      <c r="AK62" s="49"/>
      <c r="AL62" s="113"/>
      <c r="AM62" s="113"/>
      <c r="AN62" s="218"/>
      <c r="AO62" s="49"/>
      <c r="AP62" s="49"/>
      <c r="AQ62" s="84" t="str">
        <f>UPPER(RIGHT(Journal_Live[[#This Row],[DURATION ]]))</f>
        <v/>
      </c>
      <c r="AR62" s="49"/>
      <c r="AS62" s="55"/>
      <c r="AT62" s="55"/>
      <c r="AU62" s="54"/>
      <c r="AV62" s="56"/>
      <c r="AW62" s="57"/>
      <c r="AX62" s="96"/>
      <c r="AY62" s="96"/>
      <c r="AZ62" s="96"/>
      <c r="BA62" s="96"/>
      <c r="BB62" s="96"/>
      <c r="BC62" s="96"/>
      <c r="BD62" s="96"/>
      <c r="BE62" s="96"/>
      <c r="BF62" s="100"/>
      <c r="BG62" s="94">
        <f>SUM($AV$4:AV62)</f>
        <v>235.74658827958046</v>
      </c>
      <c r="BH62" s="95">
        <f>SUM($AU$4:AU62)</f>
        <v>3078.400000000001</v>
      </c>
      <c r="BI62" s="80">
        <f>SUMIFS($AU$3:AU63,$Q$3:Q63,"F")</f>
        <v>2134.4</v>
      </c>
      <c r="BJ62" s="80">
        <f>SUMIFS($AU$3:AU63,$Q$3:Q63,"S")</f>
        <v>848.00000000000091</v>
      </c>
      <c r="BK62" s="87">
        <f>SUMIFS($AU$3:AU63,$P$3:P63,"W")</f>
        <v>1654.400000000001</v>
      </c>
      <c r="BL62" s="87">
        <f>SUMIFS($AU$3:AU63,$P$3:P63,"R")</f>
        <v>1328.0000000000002</v>
      </c>
      <c r="BM62" s="87">
        <f>SUMIFS($AU$3:AU63,$AQ$3:AQ63,"M")</f>
        <v>784.00000000000023</v>
      </c>
      <c r="BN62" s="87">
        <f>SUMIFS($AU$3:AU63,$AQ$3:AQ63,"H")</f>
        <v>-128.00000000000006</v>
      </c>
      <c r="BO62" s="87">
        <f>SUMIFS($AU$3:AU63,$AQ$3:AQ63,"D")</f>
        <v>1360.0000000000005</v>
      </c>
      <c r="BP62" s="87">
        <f>SUMIFS($AU$3:AU65,$AQ$3:AQ65,"W")</f>
        <v>1062.3999999999999</v>
      </c>
      <c r="BQ62" s="87">
        <f>SUMIFS($AU$3:AU63,$Q$3:Q63,"O")</f>
        <v>0</v>
      </c>
      <c r="BR62" s="87">
        <f>SUMIFS($AU$3:AU63,$AA$3:AA63,"*")</f>
        <v>2950.400000000001</v>
      </c>
      <c r="BS62" s="87">
        <f>SUMIFS($AU$3:AU63,$AB$3:AB63,"*")</f>
        <v>639.99999999999943</v>
      </c>
      <c r="BT62" s="87">
        <f>SUMIFS($AU$3:AU63,$AC$3:AC63,"*")</f>
        <v>1030.4000000000001</v>
      </c>
      <c r="BU62" s="87">
        <f>SUMIFS($AU$3:AU63,$AA$3:AA63,"*",$AB$3:AB63,"*")</f>
        <v>367.9999999999996</v>
      </c>
      <c r="BV62" s="87">
        <f>SUMIFS($AU$3:AU63,$AA$3:AA63,"*",$AC$3:AC63,"*")</f>
        <v>1174.4000000000001</v>
      </c>
      <c r="BW62" s="87">
        <f>SUMIFS($AU$3:AU63,$AB$3:AB63,"*",$AC$3:AC63,"*")</f>
        <v>272.00000000000006</v>
      </c>
      <c r="BX62" s="87">
        <f>SUMIFS($AV$3:AV63,$Q$3:Q63,"F")</f>
        <v>84.114285714285714</v>
      </c>
      <c r="BY62" s="87">
        <f>SUMIFS($AV$3:AV63,$Q$3:Q63,"S")</f>
        <v>103.63230256529495</v>
      </c>
      <c r="BZ62" s="87">
        <f>SUMIFS($AV$3:AV63,$Q$3:Q63,"O")</f>
        <v>0</v>
      </c>
    </row>
    <row r="63" spans="1:78" ht="18" customHeight="1">
      <c r="A63" s="45" t="s">
        <v>96</v>
      </c>
      <c r="B63" s="59"/>
      <c r="C63" s="46"/>
      <c r="D63" s="46"/>
      <c r="E63" s="66"/>
      <c r="F63" s="47"/>
      <c r="G63" s="48"/>
      <c r="H63" s="49"/>
      <c r="I63" s="49"/>
      <c r="J63" s="49"/>
      <c r="K63" s="50"/>
      <c r="L63" s="49"/>
      <c r="M63" s="49"/>
      <c r="N63" s="49"/>
      <c r="O63" s="50"/>
      <c r="P63" s="50"/>
      <c r="Q63" s="50"/>
      <c r="R63" s="50"/>
      <c r="S63" s="50"/>
      <c r="T63" s="50"/>
      <c r="U63" s="50"/>
      <c r="V63" s="50"/>
      <c r="W63" s="50"/>
      <c r="X63" s="50"/>
      <c r="Y63" s="50"/>
      <c r="Z63" s="50"/>
      <c r="AA63" s="52"/>
      <c r="AB63" s="52"/>
      <c r="AC63" s="52"/>
      <c r="AD63" s="231"/>
      <c r="AE63" s="49"/>
      <c r="AF63" s="84"/>
      <c r="AG63" s="49"/>
      <c r="AH63" s="49"/>
      <c r="AI63" s="49"/>
      <c r="AJ63" s="226"/>
      <c r="AK63" s="49"/>
      <c r="AL63" s="113"/>
      <c r="AM63" s="113"/>
      <c r="AN63" s="218"/>
      <c r="AO63" s="49"/>
      <c r="AP63" s="49"/>
      <c r="AQ63" s="84" t="str">
        <f>UPPER(RIGHT(Journal_Live[[#This Row],[DURATION ]]))</f>
        <v/>
      </c>
      <c r="AR63" s="49"/>
      <c r="AS63" s="55"/>
      <c r="AT63" s="55"/>
      <c r="AU63" s="54"/>
      <c r="AV63" s="56"/>
      <c r="AW63" s="57"/>
      <c r="AX63" s="96" t="s">
        <v>358</v>
      </c>
      <c r="AY63" s="96" t="s">
        <v>359</v>
      </c>
      <c r="AZ63" s="96" t="s">
        <v>360</v>
      </c>
      <c r="BA63" s="96"/>
      <c r="BB63" s="96"/>
      <c r="BC63" s="96"/>
      <c r="BD63" s="96"/>
      <c r="BE63" s="96"/>
      <c r="BF63" s="100"/>
      <c r="BG63" s="94">
        <f>SUM($AV$4:AV63)</f>
        <v>235.74658827958046</v>
      </c>
      <c r="BH63" s="95">
        <f>SUM($AU$4:AU63)</f>
        <v>3078.400000000001</v>
      </c>
      <c r="BI63" s="80">
        <f>SUMIFS($AU$3:AU64,$Q$3:Q64,"F")</f>
        <v>2134.4</v>
      </c>
      <c r="BJ63" s="80">
        <f>SUMIFS($AU$3:AU64,$Q$3:Q64,"S")</f>
        <v>848.00000000000091</v>
      </c>
      <c r="BK63" s="87">
        <f>SUMIFS($AU$3:AU64,$P$3:P64,"W")</f>
        <v>1654.400000000001</v>
      </c>
      <c r="BL63" s="87">
        <f>SUMIFS($AU$3:AU64,$P$3:P64,"R")</f>
        <v>1408.0000000000002</v>
      </c>
      <c r="BM63" s="87">
        <f>SUMIFS($AU$3:AU64,$AQ$3:AQ64,"M")</f>
        <v>784.00000000000023</v>
      </c>
      <c r="BN63" s="87">
        <f>SUMIFS($AU$3:AU64,$AQ$3:AQ64,"H")</f>
        <v>-48.000000000000057</v>
      </c>
      <c r="BO63" s="87">
        <f>SUMIFS($AU$3:AU64,$AQ$3:AQ64,"D")</f>
        <v>1360.0000000000005</v>
      </c>
      <c r="BP63" s="87">
        <f>SUMIFS($AU$3:AU66,$AQ$3:AQ66,"W")</f>
        <v>1062.3999999999999</v>
      </c>
      <c r="BQ63" s="87">
        <f>SUMIFS($AU$3:AU64,$Q$3:Q64,"O")</f>
        <v>0</v>
      </c>
      <c r="BR63" s="87">
        <f>SUMIFS($AU$3:AU64,$AA$3:AA64,"*")</f>
        <v>3030.400000000001</v>
      </c>
      <c r="BS63" s="87">
        <f>SUMIFS($AU$3:AU64,$AB$3:AB64,"*")</f>
        <v>639.99999999999943</v>
      </c>
      <c r="BT63" s="87">
        <f>SUMIFS($AU$3:AU64,$AC$3:AC64,"*")</f>
        <v>1030.4000000000001</v>
      </c>
      <c r="BU63" s="87">
        <f>SUMIFS($AU$3:AU64,$AA$3:AA64,"*",$AB$3:AB64,"*")</f>
        <v>367.9999999999996</v>
      </c>
      <c r="BV63" s="87">
        <f>SUMIFS($AU$3:AU64,$AA$3:AA64,"*",$AC$3:AC64,"*")</f>
        <v>1174.4000000000001</v>
      </c>
      <c r="BW63" s="87">
        <f>SUMIFS($AU$3:AU64,$AB$3:AB64,"*",$AC$3:AC64,"*")</f>
        <v>272.00000000000006</v>
      </c>
      <c r="BX63" s="87">
        <f>SUMIFS($AV$3:AV64,$Q$3:Q64,"F")</f>
        <v>84.114285714285714</v>
      </c>
      <c r="BY63" s="87">
        <f>SUMIFS($AV$3:AV64,$Q$3:Q64,"S")</f>
        <v>103.63230256529495</v>
      </c>
      <c r="BZ63" s="87">
        <f>SUMIFS($AV$3:AV64,$Q$3:Q64,"O")</f>
        <v>0</v>
      </c>
    </row>
    <row r="64" spans="1:78" ht="18" customHeight="1">
      <c r="A64" s="45" t="s">
        <v>96</v>
      </c>
      <c r="B64" s="59">
        <v>45309</v>
      </c>
      <c r="C64" s="46" t="s">
        <v>361</v>
      </c>
      <c r="D64" s="46" t="s">
        <v>107</v>
      </c>
      <c r="E64" s="66"/>
      <c r="F64" s="47"/>
      <c r="G64" s="71" t="s">
        <v>362</v>
      </c>
      <c r="H64" s="49"/>
      <c r="I64" s="49"/>
      <c r="J64" s="49"/>
      <c r="K64" s="50"/>
      <c r="L64" s="49">
        <v>1</v>
      </c>
      <c r="M64" s="49">
        <v>1</v>
      </c>
      <c r="N64" s="49"/>
      <c r="O64" s="50" t="s">
        <v>363</v>
      </c>
      <c r="P64" s="50" t="s">
        <v>126</v>
      </c>
      <c r="Q64" s="50"/>
      <c r="R64" s="50">
        <v>1</v>
      </c>
      <c r="S64" s="50">
        <v>0</v>
      </c>
      <c r="T64" s="50">
        <v>1</v>
      </c>
      <c r="U64" s="50" t="s">
        <v>22</v>
      </c>
      <c r="V64" s="50"/>
      <c r="W64" s="50"/>
      <c r="X64" s="50"/>
      <c r="Y64" s="51">
        <f>IF(ISBLANK(O64),"",(IF(O64=UPPER("IB"),0.005,0.01)))</f>
        <v>0.01</v>
      </c>
      <c r="Z64" s="52">
        <f>IF(ISBLANK(O64),"",IF(O64="IB",8.63*200,IF(O64="IR",16*100,IF(O64="YT",20*100,IF(O64="YT-XT",24*200,IF(O64="TED",80*100))))))</f>
        <v>8000</v>
      </c>
      <c r="AA64" s="52" t="s">
        <v>364</v>
      </c>
      <c r="AB64" s="52"/>
      <c r="AC64" s="52"/>
      <c r="AD64" s="231">
        <v>-0.01</v>
      </c>
      <c r="AE64" s="49"/>
      <c r="AF64" s="84"/>
      <c r="AG64" s="49"/>
      <c r="AH64" s="49"/>
      <c r="AI64" s="49"/>
      <c r="AJ64" s="226"/>
      <c r="AK64" s="49"/>
      <c r="AL64" s="113">
        <f t="shared" ref="AL64" si="9">-0.02*Z64</f>
        <v>-160</v>
      </c>
      <c r="AM64" s="113">
        <f>AL64*(R64-S64)</f>
        <v>-160</v>
      </c>
      <c r="AN64" s="218"/>
      <c r="AO64" s="49"/>
      <c r="AP64" s="49" t="s">
        <v>365</v>
      </c>
      <c r="AQ64" s="84" t="s">
        <v>142</v>
      </c>
      <c r="AR64" s="49" t="s">
        <v>366</v>
      </c>
      <c r="AS64" s="55">
        <v>0</v>
      </c>
      <c r="AT64" s="55">
        <f>IF(ISBLANK(AS64),,IF(U64="S",AD64-AS64,AS64-AD64))</f>
        <v>0.01</v>
      </c>
      <c r="AU64" s="54">
        <f>AV64*R64</f>
        <v>80</v>
      </c>
      <c r="AV64" s="56">
        <f>IF(ISBLANK(AS64),,(AT64*Z64))</f>
        <v>80</v>
      </c>
      <c r="AW64" s="57" t="s">
        <v>101</v>
      </c>
      <c r="AX64" s="96"/>
      <c r="AY64" s="96"/>
      <c r="AZ64" s="96"/>
      <c r="BA64" s="96"/>
      <c r="BB64" s="96"/>
      <c r="BC64" s="96"/>
      <c r="BD64" s="96"/>
      <c r="BE64" s="96"/>
      <c r="BF64" s="100"/>
      <c r="BG64" s="94">
        <f>SUM($AV$4:AV64)</f>
        <v>315.74658827958046</v>
      </c>
      <c r="BH64" s="95">
        <f>SUM($AU$4:AU64)</f>
        <v>3158.400000000001</v>
      </c>
      <c r="BI64" s="80">
        <f>SUMIFS($AU$3:AU65,$Q$3:Q65,"F")</f>
        <v>2134.4</v>
      </c>
      <c r="BJ64" s="80">
        <f>SUMIFS($AU$3:AU65,$Q$3:Q65,"S")</f>
        <v>1040.0000000000009</v>
      </c>
      <c r="BK64" s="87">
        <f>SUMIFS($AU$3:AU65,$P$3:P65,"W")</f>
        <v>1846.400000000001</v>
      </c>
      <c r="BL64" s="87">
        <f>SUMIFS($AU$3:AU65,$P$3:P65,"R")</f>
        <v>1408.0000000000002</v>
      </c>
      <c r="BM64" s="87">
        <f>SUMIFS($AU$3:AU65,$AQ$3:AQ65,"M")</f>
        <v>976.00000000000023</v>
      </c>
      <c r="BN64" s="87">
        <f>SUMIFS($AU$3:AU65,$AQ$3:AQ65,"H")</f>
        <v>-48.000000000000057</v>
      </c>
      <c r="BO64" s="87">
        <f>SUMIFS($AU$3:AU65,$AQ$3:AQ65,"D")</f>
        <v>1360.0000000000005</v>
      </c>
      <c r="BP64" s="87">
        <f>SUMIFS($AU$3:AU67,$AQ$3:AQ67,"W")</f>
        <v>1062.3999999999999</v>
      </c>
      <c r="BQ64" s="87">
        <f>SUMIFS($AU$3:AU65,$Q$3:Q65,"O")</f>
        <v>0</v>
      </c>
      <c r="BR64" s="87">
        <f>SUMIFS($AU$3:AU65,$AA$3:AA65,"*")</f>
        <v>3222.400000000001</v>
      </c>
      <c r="BS64" s="87">
        <f>SUMIFS($AU$3:AU65,$AB$3:AB65,"*")</f>
        <v>639.99999999999943</v>
      </c>
      <c r="BT64" s="87">
        <f>SUMIFS($AU$3:AU65,$AC$3:AC65,"*")</f>
        <v>1030.4000000000001</v>
      </c>
      <c r="BU64" s="87">
        <f>SUMIFS($AU$3:AU65,$AA$3:AA65,"*",$AB$3:AB65,"*")</f>
        <v>367.9999999999996</v>
      </c>
      <c r="BV64" s="87">
        <f>SUMIFS($AU$3:AU65,$AA$3:AA65,"*",$AC$3:AC65,"*")</f>
        <v>1174.4000000000001</v>
      </c>
      <c r="BW64" s="87">
        <f>SUMIFS($AU$3:AU65,$AB$3:AB65,"*",$AC$3:AC65,"*")</f>
        <v>272.00000000000006</v>
      </c>
      <c r="BX64" s="87">
        <f>SUMIFS($AV$3:AV65,$Q$3:Q65,"F")</f>
        <v>84.114285714285714</v>
      </c>
      <c r="BY64" s="87">
        <f>SUMIFS($AV$3:AV65,$Q$3:Q65,"S")</f>
        <v>119.63230256529495</v>
      </c>
      <c r="BZ64" s="87">
        <f>SUMIFS($AV$3:AV65,$Q$3:Q65,"O")</f>
        <v>0</v>
      </c>
    </row>
    <row r="65" spans="1:78" ht="18" customHeight="1">
      <c r="A65" s="45" t="s">
        <v>96</v>
      </c>
      <c r="B65" s="59">
        <v>45310</v>
      </c>
      <c r="C65" s="46" t="s">
        <v>367</v>
      </c>
      <c r="D65" s="46" t="s">
        <v>115</v>
      </c>
      <c r="E65" s="66"/>
      <c r="F65" s="47"/>
      <c r="G65" s="48" t="s">
        <v>99</v>
      </c>
      <c r="H65" s="49"/>
      <c r="I65" s="49"/>
      <c r="J65" s="49"/>
      <c r="K65" s="50"/>
      <c r="L65" s="49">
        <v>1</v>
      </c>
      <c r="M65" s="49">
        <v>1</v>
      </c>
      <c r="N65" s="49"/>
      <c r="O65" s="50" t="s">
        <v>100</v>
      </c>
      <c r="P65" s="50" t="s">
        <v>101</v>
      </c>
      <c r="Q65" s="50" t="s">
        <v>102</v>
      </c>
      <c r="R65" s="50">
        <v>12</v>
      </c>
      <c r="S65" s="50">
        <v>0</v>
      </c>
      <c r="T65" s="50">
        <v>12</v>
      </c>
      <c r="U65" s="50" t="s">
        <v>102</v>
      </c>
      <c r="V65" s="50"/>
      <c r="W65" s="50"/>
      <c r="X65" s="50"/>
      <c r="Y65" s="51">
        <f>IF(ISBLANK(O65),"",(IF(O65=UPPER("IB"),0.005,0.01)))</f>
        <v>0.01</v>
      </c>
      <c r="Z65" s="52">
        <f>IF(ISBLANK(O65),"",IF(O65="IB",8.63*200,IF(O65="IR",16*100,IF(O65="YT",20*100,IF(O65="YT-XT",24*200,IF(O65="TED",80*100))))))</f>
        <v>1600</v>
      </c>
      <c r="AA65" s="52" t="s">
        <v>368</v>
      </c>
      <c r="AB65" s="52"/>
      <c r="AC65" s="52"/>
      <c r="AD65" s="231">
        <v>-0.02</v>
      </c>
      <c r="AE65" s="49"/>
      <c r="AF65" s="84"/>
      <c r="AG65" s="49"/>
      <c r="AH65" s="49"/>
      <c r="AI65" s="49"/>
      <c r="AJ65" s="226"/>
      <c r="AK65" s="49"/>
      <c r="AL65" s="113">
        <f t="shared" ref="AL65:AL139" si="10">-0.02*Z65</f>
        <v>-32</v>
      </c>
      <c r="AM65" s="113">
        <f>AL65*(R65-S65)</f>
        <v>-384</v>
      </c>
      <c r="AN65" s="218"/>
      <c r="AO65" s="49"/>
      <c r="AP65" s="49" t="s">
        <v>369</v>
      </c>
      <c r="AQ65" s="84" t="s">
        <v>350</v>
      </c>
      <c r="AR65" s="49" t="s">
        <v>370</v>
      </c>
      <c r="AS65" s="55">
        <v>-0.03</v>
      </c>
      <c r="AT65" s="55">
        <f>IF(ISBLANK(AS65),,IF(U65="S",AD65-AS65,AS65-AD65))</f>
        <v>9.9999999999999985E-3</v>
      </c>
      <c r="AU65" s="54">
        <f>AV65*R65</f>
        <v>191.99999999999997</v>
      </c>
      <c r="AV65" s="56">
        <f>IF(ISBLANK(AS65),,(AT65*Z65))</f>
        <v>15.999999999999998</v>
      </c>
      <c r="AW65" s="57" t="s">
        <v>101</v>
      </c>
      <c r="AX65" s="96"/>
      <c r="AY65" s="96"/>
      <c r="AZ65" s="96"/>
      <c r="BA65" s="96"/>
      <c r="BB65" s="96"/>
      <c r="BC65" s="96"/>
      <c r="BD65" s="96"/>
      <c r="BE65" s="96"/>
      <c r="BF65" s="100"/>
      <c r="BG65" s="94">
        <f>SUM($AV$4:AV65)</f>
        <v>331.74658827958046</v>
      </c>
      <c r="BH65" s="95">
        <f>SUM($AU$4:AU65)</f>
        <v>3350.400000000001</v>
      </c>
      <c r="BI65" s="80">
        <f>SUMIFS($AU$3:AU66,$Q$3:Q66,"F")</f>
        <v>2134.4</v>
      </c>
      <c r="BJ65" s="80">
        <f>SUMIFS($AU$3:AU66,$Q$3:Q66,"S")</f>
        <v>1296.0000000000009</v>
      </c>
      <c r="BK65" s="87">
        <f>SUMIFS($AU$3:AU66,$P$3:P66,"W")</f>
        <v>2102.400000000001</v>
      </c>
      <c r="BL65" s="87">
        <f>SUMIFS($AU$3:AU66,$P$3:P66,"R")</f>
        <v>1408.0000000000002</v>
      </c>
      <c r="BM65" s="87">
        <f>SUMIFS($AU$3:AU66,$AQ$3:AQ66,"M")</f>
        <v>976.00000000000023</v>
      </c>
      <c r="BN65" s="87">
        <f>SUMIFS($AU$3:AU66,$AQ$3:AQ66,"H")</f>
        <v>-48.000000000000057</v>
      </c>
      <c r="BO65" s="87">
        <f>SUMIFS($AU$3:AU66,$AQ$3:AQ66,"D")</f>
        <v>1616.0000000000005</v>
      </c>
      <c r="BP65" s="87">
        <f>SUMIFS($AU$3:AU68,$AQ$3:AQ68,"W")</f>
        <v>1062.3999999999999</v>
      </c>
      <c r="BQ65" s="87">
        <f>SUMIFS($AU$3:AU66,$Q$3:Q66,"O")</f>
        <v>0</v>
      </c>
      <c r="BR65" s="87">
        <f>SUMIFS($AU$3:AU66,$AA$3:AA66,"*")</f>
        <v>3478.400000000001</v>
      </c>
      <c r="BS65" s="87">
        <f>SUMIFS($AU$3:AU66,$AB$3:AB66,"*")</f>
        <v>639.99999999999943</v>
      </c>
      <c r="BT65" s="87">
        <f>SUMIFS($AU$3:AU66,$AC$3:AC66,"*")</f>
        <v>1030.4000000000001</v>
      </c>
      <c r="BU65" s="87">
        <f>SUMIFS($AU$3:AU66,$AA$3:AA66,"*",$AB$3:AB66,"*")</f>
        <v>367.9999999999996</v>
      </c>
      <c r="BV65" s="87">
        <f>SUMIFS($AU$3:AU66,$AA$3:AA66,"*",$AC$3:AC66,"*")</f>
        <v>1174.4000000000001</v>
      </c>
      <c r="BW65" s="87">
        <f>SUMIFS($AU$3:AU66,$AB$3:AB66,"*",$AC$3:AC66,"*")</f>
        <v>272.00000000000006</v>
      </c>
      <c r="BX65" s="87">
        <f>SUMIFS($AV$3:AV66,$Q$3:Q66,"F")</f>
        <v>84.114285714285714</v>
      </c>
      <c r="BY65" s="87">
        <f>SUMIFS($AV$3:AV66,$Q$3:Q66,"S")</f>
        <v>135.63230256529494</v>
      </c>
      <c r="BZ65" s="87">
        <f>SUMIFS($AV$3:AV66,$Q$3:Q66,"O")</f>
        <v>0</v>
      </c>
    </row>
    <row r="66" spans="1:78" ht="18" customHeight="1">
      <c r="A66" s="45" t="s">
        <v>96</v>
      </c>
      <c r="B66" s="59">
        <v>45310</v>
      </c>
      <c r="C66" s="46" t="s">
        <v>371</v>
      </c>
      <c r="D66" s="46" t="s">
        <v>115</v>
      </c>
      <c r="E66" s="66"/>
      <c r="F66" s="47"/>
      <c r="G66" s="71" t="s">
        <v>181</v>
      </c>
      <c r="H66" s="49"/>
      <c r="I66" s="49"/>
      <c r="J66" s="49"/>
      <c r="K66" s="50"/>
      <c r="L66" s="49">
        <v>1</v>
      </c>
      <c r="M66" s="49">
        <v>1</v>
      </c>
      <c r="N66" s="49"/>
      <c r="O66" s="50" t="s">
        <v>100</v>
      </c>
      <c r="P66" s="50" t="s">
        <v>101</v>
      </c>
      <c r="Q66" s="50" t="s">
        <v>102</v>
      </c>
      <c r="R66" s="50">
        <v>16</v>
      </c>
      <c r="S66" s="50">
        <v>0</v>
      </c>
      <c r="T66" s="50">
        <v>16</v>
      </c>
      <c r="U66" s="50" t="s">
        <v>102</v>
      </c>
      <c r="V66" s="50"/>
      <c r="W66" s="50"/>
      <c r="X66" s="50"/>
      <c r="Y66" s="51">
        <f>IF(ISBLANK(O66),"",(IF(O66=UPPER("IB"),0.005,0.01)))</f>
        <v>0.01</v>
      </c>
      <c r="Z66" s="52">
        <f>IF(ISBLANK(O66),"",IF(O66="IB",8.63*200,IF(O66="IR",16*100,IF(O66="YT",20*100,IF(O66="YT-XT",24*200,IF(O66="TED",80*100))))))</f>
        <v>1600</v>
      </c>
      <c r="AA66" s="52" t="s">
        <v>277</v>
      </c>
      <c r="AB66" s="52"/>
      <c r="AC66" s="52"/>
      <c r="AD66" s="231">
        <v>-0.1</v>
      </c>
      <c r="AE66" s="49"/>
      <c r="AF66" s="84"/>
      <c r="AG66" s="49"/>
      <c r="AH66" s="49"/>
      <c r="AI66" s="49"/>
      <c r="AJ66" s="226"/>
      <c r="AK66" s="49"/>
      <c r="AL66" s="113">
        <f t="shared" si="10"/>
        <v>-32</v>
      </c>
      <c r="AM66" s="113">
        <f>AL66*(R66-S66)</f>
        <v>-512</v>
      </c>
      <c r="AN66" s="218"/>
      <c r="AO66" s="49"/>
      <c r="AP66" s="49" t="s">
        <v>297</v>
      </c>
      <c r="AQ66" s="84" t="s">
        <v>155</v>
      </c>
      <c r="AR66" s="49" t="s">
        <v>372</v>
      </c>
      <c r="AS66" s="55">
        <v>-0.11</v>
      </c>
      <c r="AT66" s="55">
        <f>IF(ISBLANK(AS66),,IF(U66="S",AD66-AS66,AS66-AD66))</f>
        <v>9.999999999999995E-3</v>
      </c>
      <c r="AU66" s="54">
        <f>AV66*R66</f>
        <v>255.99999999999989</v>
      </c>
      <c r="AV66" s="56">
        <f>IF(ISBLANK(AS66),,(AT66*Z66))</f>
        <v>15.999999999999993</v>
      </c>
      <c r="AW66" s="57" t="s">
        <v>101</v>
      </c>
      <c r="AX66" s="96"/>
      <c r="AY66" s="96"/>
      <c r="AZ66" s="96"/>
      <c r="BA66" s="96"/>
      <c r="BB66" s="96"/>
      <c r="BC66" s="96"/>
      <c r="BD66" s="96"/>
      <c r="BE66" s="96"/>
      <c r="BF66" s="100"/>
      <c r="BG66" s="94">
        <f>SUM($AV$4:AV66)</f>
        <v>347.74658827958046</v>
      </c>
      <c r="BH66" s="95">
        <f>SUM($AU$4:AU66)</f>
        <v>3606.400000000001</v>
      </c>
      <c r="BI66" s="80">
        <f>SUMIFS($AU$3:AU67,$Q$3:Q67,"F")</f>
        <v>2134.4</v>
      </c>
      <c r="BJ66" s="80">
        <f>SUMIFS($AU$3:AU67,$Q$3:Q67,"S")</f>
        <v>1808.0000000000007</v>
      </c>
      <c r="BK66" s="87">
        <f>SUMIFS($AU$3:AU67,$P$3:P67,"W")</f>
        <v>2614.4000000000005</v>
      </c>
      <c r="BL66" s="87">
        <f>SUMIFS($AU$3:AU67,$P$3:P67,"R")</f>
        <v>1408.0000000000002</v>
      </c>
      <c r="BM66" s="87">
        <f>SUMIFS($AU$3:AU67,$AQ$3:AQ67,"M")</f>
        <v>976.00000000000023</v>
      </c>
      <c r="BN66" s="87">
        <f>SUMIFS($AU$3:AU67,$AQ$3:AQ67,"H")</f>
        <v>463.99999999999972</v>
      </c>
      <c r="BO66" s="87">
        <f>SUMIFS($AU$3:AU67,$AQ$3:AQ67,"D")</f>
        <v>1616.0000000000005</v>
      </c>
      <c r="BP66" s="87">
        <f>SUMIFS($AU$3:AU69,$AQ$3:AQ69,"W")</f>
        <v>1062.3999999999999</v>
      </c>
      <c r="BQ66" s="87">
        <f>SUMIFS($AU$3:AU67,$Q$3:Q67,"O")</f>
        <v>0</v>
      </c>
      <c r="BR66" s="87">
        <f>SUMIFS($AU$3:AU67,$AA$3:AA67,"*")</f>
        <v>3990.4000000000005</v>
      </c>
      <c r="BS66" s="87">
        <f>SUMIFS($AU$3:AU67,$AB$3:AB67,"*")</f>
        <v>639.99999999999943</v>
      </c>
      <c r="BT66" s="87">
        <f>SUMIFS($AU$3:AU67,$AC$3:AC67,"*")</f>
        <v>1542.3999999999999</v>
      </c>
      <c r="BU66" s="87">
        <f>SUMIFS($AU$3:AU67,$AA$3:AA67,"*",$AB$3:AB67,"*")</f>
        <v>367.9999999999996</v>
      </c>
      <c r="BV66" s="87">
        <f>SUMIFS($AU$3:AU67,$AA$3:AA67,"*",$AC$3:AC67,"*")</f>
        <v>1686.3999999999999</v>
      </c>
      <c r="BW66" s="87">
        <f>SUMIFS($AU$3:AU67,$AB$3:AB67,"*",$AC$3:AC67,"*")</f>
        <v>272.00000000000006</v>
      </c>
      <c r="BX66" s="87">
        <f>SUMIFS($AV$3:AV67,$Q$3:Q67,"F")</f>
        <v>84.114285714285714</v>
      </c>
      <c r="BY66" s="87">
        <f>SUMIFS($AV$3:AV67,$Q$3:Q67,"S")</f>
        <v>151.63230256529494</v>
      </c>
      <c r="BZ66" s="87">
        <f>SUMIFS($AV$3:AV67,$Q$3:Q67,"O")</f>
        <v>0</v>
      </c>
    </row>
    <row r="67" spans="1:78" ht="18" customHeight="1">
      <c r="A67" s="45" t="s">
        <v>96</v>
      </c>
      <c r="B67" s="59">
        <v>45310</v>
      </c>
      <c r="C67" s="46" t="s">
        <v>373</v>
      </c>
      <c r="D67" s="46" t="s">
        <v>115</v>
      </c>
      <c r="E67" s="66"/>
      <c r="F67" s="47"/>
      <c r="G67" s="71" t="s">
        <v>276</v>
      </c>
      <c r="H67" s="49"/>
      <c r="I67" s="49"/>
      <c r="J67" s="49"/>
      <c r="K67" s="50"/>
      <c r="L67" s="49">
        <v>1</v>
      </c>
      <c r="M67" s="49">
        <v>1</v>
      </c>
      <c r="N67" s="49"/>
      <c r="O67" s="50" t="s">
        <v>100</v>
      </c>
      <c r="P67" s="50" t="s">
        <v>101</v>
      </c>
      <c r="Q67" s="50" t="s">
        <v>102</v>
      </c>
      <c r="R67" s="50">
        <v>32</v>
      </c>
      <c r="S67" s="50">
        <v>0</v>
      </c>
      <c r="T67" s="50">
        <v>32</v>
      </c>
      <c r="U67" s="50" t="s">
        <v>102</v>
      </c>
      <c r="V67" s="50"/>
      <c r="W67" s="50"/>
      <c r="X67" s="50"/>
      <c r="Y67" s="51">
        <f>IF(ISBLANK(O67),"",(IF(O67=UPPER("IB"),0.005,0.01)))</f>
        <v>0.01</v>
      </c>
      <c r="Z67" s="52">
        <f>IF(ISBLANK(O67),"",IF(O67="IB",8.63*200,IF(O67="IR",16*100,IF(O67="YT",20*100,IF(O67="YT-XT",24*200,IF(O67="TED",80*100))))))</f>
        <v>1600</v>
      </c>
      <c r="AA67" s="52" t="s">
        <v>277</v>
      </c>
      <c r="AB67" s="52"/>
      <c r="AC67" s="52" t="s">
        <v>374</v>
      </c>
      <c r="AD67" s="231">
        <v>-7.0000000000000007E-2</v>
      </c>
      <c r="AE67" s="49"/>
      <c r="AF67" s="84"/>
      <c r="AG67" s="49"/>
      <c r="AH67" s="49"/>
      <c r="AI67" s="49"/>
      <c r="AJ67" s="226"/>
      <c r="AK67" s="49"/>
      <c r="AL67" s="113">
        <f t="shared" si="10"/>
        <v>-32</v>
      </c>
      <c r="AM67" s="113">
        <f>AL67*(R67-S67)</f>
        <v>-1024</v>
      </c>
      <c r="AN67" s="218"/>
      <c r="AO67" s="49"/>
      <c r="AP67" s="49" t="s">
        <v>226</v>
      </c>
      <c r="AQ67" s="84" t="s">
        <v>142</v>
      </c>
      <c r="AR67" s="49" t="s">
        <v>375</v>
      </c>
      <c r="AS67" s="55">
        <v>-0.08</v>
      </c>
      <c r="AT67" s="55">
        <f>IF(ISBLANK(AS67),,IF(U67="S",AD67-AS67,AS67-AD67))</f>
        <v>9.999999999999995E-3</v>
      </c>
      <c r="AU67" s="54">
        <f>AV67*R67</f>
        <v>511.99999999999977</v>
      </c>
      <c r="AV67" s="56">
        <f>IF(ISBLANK(AS67),,(AT67*Z67))</f>
        <v>15.999999999999993</v>
      </c>
      <c r="AW67" s="57" t="s">
        <v>101</v>
      </c>
      <c r="AX67" s="96"/>
      <c r="AY67" s="96"/>
      <c r="AZ67" s="96"/>
      <c r="BA67" s="96"/>
      <c r="BB67" s="96"/>
      <c r="BC67" s="96"/>
      <c r="BD67" s="96"/>
      <c r="BE67" s="96"/>
      <c r="BF67" s="100"/>
      <c r="BG67" s="94">
        <f>SUM($AV$4:AV67)</f>
        <v>363.74658827958046</v>
      </c>
      <c r="BH67" s="95">
        <f>SUM($AU$4:AU67)</f>
        <v>4118.4000000000005</v>
      </c>
      <c r="BI67" s="80">
        <f>SUMIFS($AU$3:AU68,$Q$3:Q68,"F")</f>
        <v>2134.4</v>
      </c>
      <c r="BJ67" s="80">
        <f>SUMIFS($AU$3:AU68,$Q$3:Q68,"S")</f>
        <v>1808.0000000000007</v>
      </c>
      <c r="BK67" s="87">
        <f>SUMIFS($AU$3:AU68,$P$3:P68,"W")</f>
        <v>2614.4000000000005</v>
      </c>
      <c r="BL67" s="87">
        <f>SUMIFS($AU$3:AU68,$P$3:P68,"R")</f>
        <v>1408.0000000000002</v>
      </c>
      <c r="BM67" s="87">
        <f>SUMIFS($AU$3:AU68,$AQ$3:AQ68,"M")</f>
        <v>976.00000000000023</v>
      </c>
      <c r="BN67" s="87">
        <f>SUMIFS($AU$3:AU68,$AQ$3:AQ68,"H")</f>
        <v>463.99999999999972</v>
      </c>
      <c r="BO67" s="87">
        <f>SUMIFS($AU$3:AU68,$AQ$3:AQ68,"D")</f>
        <v>1616.0000000000005</v>
      </c>
      <c r="BP67" s="87">
        <f>SUMIFS($AU$3:AU70,$AQ$3:AQ70,"W")</f>
        <v>1062.3999999999999</v>
      </c>
      <c r="BQ67" s="87">
        <f>SUMIFS($AU$3:AU68,$Q$3:Q68,"O")</f>
        <v>0</v>
      </c>
      <c r="BR67" s="87">
        <f>SUMIFS($AU$3:AU68,$AA$3:AA68,"*")</f>
        <v>3990.4000000000005</v>
      </c>
      <c r="BS67" s="87">
        <f>SUMIFS($AU$3:AU68,$AB$3:AB68,"*")</f>
        <v>639.99999999999943</v>
      </c>
      <c r="BT67" s="87">
        <f>SUMIFS($AU$3:AU68,$AC$3:AC68,"*")</f>
        <v>1542.3999999999999</v>
      </c>
      <c r="BU67" s="87">
        <f>SUMIFS($AU$3:AU68,$AA$3:AA68,"*",$AB$3:AB68,"*")</f>
        <v>367.9999999999996</v>
      </c>
      <c r="BV67" s="87">
        <f>SUMIFS($AU$3:AU68,$AA$3:AA68,"*",$AC$3:AC68,"*")</f>
        <v>1686.3999999999999</v>
      </c>
      <c r="BW67" s="87">
        <f>SUMIFS($AU$3:AU68,$AB$3:AB68,"*",$AC$3:AC68,"*")</f>
        <v>272.00000000000006</v>
      </c>
      <c r="BX67" s="87">
        <f>SUMIFS($AV$3:AV68,$Q$3:Q68,"F")</f>
        <v>84.114285714285714</v>
      </c>
      <c r="BY67" s="87">
        <f>SUMIFS($AV$3:AV68,$Q$3:Q68,"S")</f>
        <v>151.63230256529494</v>
      </c>
      <c r="BZ67" s="87">
        <f>SUMIFS($AV$3:AV68,$Q$3:Q68,"O")</f>
        <v>0</v>
      </c>
    </row>
    <row r="68" spans="1:78" ht="18" customHeight="1">
      <c r="A68" s="45" t="s">
        <v>96</v>
      </c>
      <c r="B68" s="59">
        <v>45310</v>
      </c>
      <c r="C68" s="46" t="s">
        <v>376</v>
      </c>
      <c r="D68" s="46" t="s">
        <v>115</v>
      </c>
      <c r="E68" s="66"/>
      <c r="F68" s="47"/>
      <c r="G68" s="71" t="s">
        <v>377</v>
      </c>
      <c r="H68" s="49"/>
      <c r="I68" s="49"/>
      <c r="J68" s="49"/>
      <c r="K68" s="50"/>
      <c r="L68" s="49">
        <v>1</v>
      </c>
      <c r="M68" s="49">
        <v>1</v>
      </c>
      <c r="N68" s="49"/>
      <c r="O68" s="50" t="s">
        <v>363</v>
      </c>
      <c r="P68" s="50" t="s">
        <v>126</v>
      </c>
      <c r="Q68" s="50"/>
      <c r="R68" s="50">
        <v>1</v>
      </c>
      <c r="S68" s="50">
        <v>0</v>
      </c>
      <c r="T68" s="50">
        <v>1</v>
      </c>
      <c r="U68" s="50" t="s">
        <v>22</v>
      </c>
      <c r="V68" s="50"/>
      <c r="W68" s="50"/>
      <c r="X68" s="50"/>
      <c r="Y68" s="51">
        <f>IF(ISBLANK(O68),"",(IF(O68=UPPER("IB"),0.005,0.01)))</f>
        <v>0.01</v>
      </c>
      <c r="Z68" s="52">
        <f>IF(ISBLANK(O68),"",IF(O68="IB",8.63*200,IF(O68="IR",16*100,IF(O68="YT",20*100,IF(O68="YT-XT",24*200,IF(O68="TED",80*100))))))</f>
        <v>8000</v>
      </c>
      <c r="AA68" s="52" t="s">
        <v>378</v>
      </c>
      <c r="AB68" s="52"/>
      <c r="AC68" s="52"/>
      <c r="AD68" s="231">
        <v>-7.0000000000000007E-2</v>
      </c>
      <c r="AE68" s="49"/>
      <c r="AF68" s="84"/>
      <c r="AG68" s="49"/>
      <c r="AH68" s="49"/>
      <c r="AI68" s="49"/>
      <c r="AJ68" s="226"/>
      <c r="AK68" s="49"/>
      <c r="AL68" s="113">
        <f t="shared" si="10"/>
        <v>-160</v>
      </c>
      <c r="AM68" s="113">
        <f>AL68*(R68-S68)</f>
        <v>-160</v>
      </c>
      <c r="AN68" s="218"/>
      <c r="AO68" s="49"/>
      <c r="AP68" s="49" t="s">
        <v>379</v>
      </c>
      <c r="AQ68" s="84" t="s">
        <v>142</v>
      </c>
      <c r="AR68" s="49" t="s">
        <v>380</v>
      </c>
      <c r="AS68" s="55">
        <v>-7.0000000000000007E-2</v>
      </c>
      <c r="AT68" s="55">
        <f>IF(ISBLANK(AS68),,IF(U68="S",AD68-AS68,AS68-AD68))</f>
        <v>0</v>
      </c>
      <c r="AU68" s="54">
        <f>AV68*R68</f>
        <v>0</v>
      </c>
      <c r="AV68" s="56">
        <f>IF(ISBLANK(AS68),,(AT68*Z68))</f>
        <v>0</v>
      </c>
      <c r="AW68" s="57" t="s">
        <v>155</v>
      </c>
      <c r="AX68" s="96"/>
      <c r="AY68" s="96"/>
      <c r="AZ68" s="96"/>
      <c r="BA68" s="96"/>
      <c r="BB68" s="96"/>
      <c r="BC68" s="96"/>
      <c r="BD68" s="96"/>
      <c r="BE68" s="96"/>
      <c r="BF68" s="100"/>
      <c r="BG68" s="94">
        <f>SUM($AV$4:AV68)</f>
        <v>363.74658827958046</v>
      </c>
      <c r="BH68" s="95">
        <f>SUM($AU$4:AU68)</f>
        <v>4118.4000000000005</v>
      </c>
      <c r="BI68" s="80">
        <f>SUMIFS($AU$3:AU136,$Q$3:Q136,"F")</f>
        <v>4438.3999999999996</v>
      </c>
      <c r="BJ68" s="80">
        <f>SUMIFS($AU$3:AU136,$Q$3:Q136,"S")</f>
        <v>4144.0000000000009</v>
      </c>
      <c r="BK68" s="87">
        <f>SUMIFS($AU$3:AU136,$P$3:P136,"W")</f>
        <v>6973.5799999999363</v>
      </c>
      <c r="BL68" s="87">
        <f>SUMIFS($AU$3:AU136,$P$3:P136,"R")</f>
        <v>2000.0000000000002</v>
      </c>
      <c r="BM68" s="87">
        <f>SUMIFS($AU$3:AU136,$AQ$3:AQ136,"M")</f>
        <v>2963.5799999997967</v>
      </c>
      <c r="BN68" s="87">
        <f>SUMIFS($AU$3:AU136,$AQ$3:AQ136,"H")</f>
        <v>3599.9999999999991</v>
      </c>
      <c r="BO68" s="87">
        <f>SUMIFS($AU$3:AU136,$AQ$3:AQ136,"D")</f>
        <v>1504.0000000000005</v>
      </c>
      <c r="BP68" s="87">
        <f>SUMIFS($AU$3:AU71,$AQ$3:AQ71,"W")</f>
        <v>1062.3999999999999</v>
      </c>
      <c r="BQ68" s="87">
        <f>SUMIFS($AU$3:AU69,$Q$3:Q69,"O")</f>
        <v>0</v>
      </c>
      <c r="BR68" s="87">
        <f>SUMIFS($AU$3:AU69,$AA$3:AA69,"*")</f>
        <v>3990.4000000000005</v>
      </c>
      <c r="BS68" s="87">
        <f>SUMIFS($AU$3:AU69,$AB$3:AB69,"*")</f>
        <v>639.99999999999943</v>
      </c>
      <c r="BT68" s="87">
        <f>SUMIFS($AU$3:AU69,$AC$3:AC69,"*")</f>
        <v>1542.3999999999999</v>
      </c>
      <c r="BU68" s="87">
        <f>SUMIFS($AU$3:AU69,$AA$3:AA69,"*",$AB$3:AB69,"*")</f>
        <v>367.9999999999996</v>
      </c>
      <c r="BV68" s="87">
        <f>SUMIFS($AU$3:AU69,$AA$3:AA69,"*",$AC$3:AC69,"*")</f>
        <v>1686.3999999999999</v>
      </c>
      <c r="BW68" s="87">
        <f>SUMIFS($AU$3:AU69,$AB$3:AB69,"*",$AC$3:AC69,"*")</f>
        <v>272.00000000000006</v>
      </c>
      <c r="BX68" s="87">
        <f>SUMIFS($AV$3:AV69,$Q$3:Q69,"F")</f>
        <v>84.114285714285714</v>
      </c>
      <c r="BY68" s="87">
        <f>SUMIFS($AV$3:AV69,$Q$3:Q69,"S")</f>
        <v>151.63230256529494</v>
      </c>
      <c r="BZ68" s="87">
        <f>SUMIFS($AV$3:AV69,$Q$3:Q69,"O")</f>
        <v>0</v>
      </c>
    </row>
    <row r="69" spans="1:78" ht="18" customHeight="1">
      <c r="A69" s="45" t="s">
        <v>96</v>
      </c>
      <c r="B69" s="59"/>
      <c r="C69" s="46"/>
      <c r="D69" s="46"/>
      <c r="E69" s="66"/>
      <c r="F69" s="47"/>
      <c r="G69" s="48"/>
      <c r="H69" s="49"/>
      <c r="I69" s="49"/>
      <c r="J69" s="49"/>
      <c r="K69" s="50"/>
      <c r="L69" s="49"/>
      <c r="M69" s="49"/>
      <c r="N69" s="49"/>
      <c r="O69" s="50"/>
      <c r="P69" s="50"/>
      <c r="Q69" s="50"/>
      <c r="R69" s="50"/>
      <c r="S69" s="50"/>
      <c r="T69" s="50"/>
      <c r="U69" s="50"/>
      <c r="V69" s="50"/>
      <c r="W69" s="50"/>
      <c r="X69" s="50"/>
      <c r="Y69" s="69"/>
      <c r="Z69" s="50"/>
      <c r="AA69" s="52"/>
      <c r="AB69" s="52"/>
      <c r="AC69" s="52"/>
      <c r="AD69" s="231"/>
      <c r="AE69" s="49"/>
      <c r="AF69" s="84"/>
      <c r="AG69" s="49"/>
      <c r="AH69" s="49"/>
      <c r="AI69" s="49"/>
      <c r="AJ69" s="226"/>
      <c r="AK69" s="49"/>
      <c r="AL69" s="113"/>
      <c r="AM69" s="113"/>
      <c r="AN69" s="218"/>
      <c r="AO69" s="49"/>
      <c r="AP69" s="49"/>
      <c r="AQ69" s="84" t="str">
        <f>UPPER(RIGHT(Journal_Live[[#This Row],[DURATION ]]))</f>
        <v/>
      </c>
      <c r="AR69" s="49"/>
      <c r="AS69" s="55"/>
      <c r="AT69" s="55"/>
      <c r="AU69" s="54"/>
      <c r="AV69" s="56"/>
      <c r="AW69" s="57"/>
      <c r="AX69" s="96" t="s">
        <v>381</v>
      </c>
      <c r="AY69" s="96" t="s">
        <v>382</v>
      </c>
      <c r="AZ69" s="96" t="s">
        <v>383</v>
      </c>
      <c r="BA69" s="97" t="s">
        <v>384</v>
      </c>
      <c r="BB69" s="97" t="s">
        <v>385</v>
      </c>
      <c r="BC69" s="97" t="s">
        <v>386</v>
      </c>
      <c r="BD69" s="96"/>
      <c r="BE69" s="96"/>
      <c r="BF69" s="100"/>
      <c r="BG69" s="94">
        <f>SUM($AV$4:AV69)</f>
        <v>363.74658827958046</v>
      </c>
      <c r="BH69" s="95">
        <f>SUM($AU$4:AU69)</f>
        <v>4118.4000000000005</v>
      </c>
      <c r="BI69" s="80">
        <f>SUMIFS($AU$3:AU137,$Q$3:Q137,"F")</f>
        <v>4438.3999999999996</v>
      </c>
      <c r="BJ69" s="80">
        <f>SUMIFS($AU$3:AU137,$Q$3:Q137,"S")</f>
        <v>4144.0000000000009</v>
      </c>
      <c r="BK69" s="87">
        <f>SUMIFS($AU$3:AU137,$P$3:P137,"W")</f>
        <v>6973.5799999999363</v>
      </c>
      <c r="BL69" s="87">
        <f>SUMIFS($AU$3:AU137,$P$3:P137,"R")</f>
        <v>2000.0000000000002</v>
      </c>
      <c r="BM69" s="87">
        <f>SUMIFS($AU$3:AU137,$AQ$3:AQ137,"M")</f>
        <v>2963.5799999997967</v>
      </c>
      <c r="BN69" s="87">
        <f>SUMIFS($AU$3:AU137,$AQ$3:AQ137,"H")</f>
        <v>3599.9999999999991</v>
      </c>
      <c r="BO69" s="87">
        <f>SUMIFS($AU$3:AU137,$AQ$3:AQ137,"D")</f>
        <v>1504.0000000000005</v>
      </c>
      <c r="BP69" s="87">
        <f>SUMIFS($AU$3:AU72,$AQ$3:AQ72,"W")</f>
        <v>1062.3999999999999</v>
      </c>
      <c r="BQ69" s="87">
        <f>SUMIFS($AU$3:AU70,$Q$3:Q70,"O")</f>
        <v>0</v>
      </c>
      <c r="BR69" s="87">
        <f>SUMIFS($AU$3:AU70,$AA$3:AA70,"*")</f>
        <v>3990.4000000000005</v>
      </c>
      <c r="BS69" s="87">
        <f>SUMIFS($AU$3:AU70,$AB$3:AB70,"*")</f>
        <v>639.99999999999943</v>
      </c>
      <c r="BT69" s="87">
        <f>SUMIFS($AU$3:AU70,$AC$3:AC70,"*")</f>
        <v>1542.3999999999999</v>
      </c>
      <c r="BU69" s="87">
        <f>SUMIFS($AU$3:AU70,$AA$3:AA70,"*",$AB$3:AB70,"*")</f>
        <v>367.9999999999996</v>
      </c>
      <c r="BV69" s="87">
        <f>SUMIFS($AU$3:AU70,$AA$3:AA70,"*",$AC$3:AC70,"*")</f>
        <v>1686.3999999999999</v>
      </c>
      <c r="BW69" s="87">
        <f>SUMIFS($AU$3:AU70,$AB$3:AB70,"*",$AC$3:AC70,"*")</f>
        <v>272.00000000000006</v>
      </c>
      <c r="BX69" s="87">
        <f>SUMIFS($AV$3:AV70,$Q$3:Q70,"F")</f>
        <v>84.114285714285714</v>
      </c>
      <c r="BY69" s="87">
        <f>SUMIFS($AV$3:AV70,$Q$3:Q70,"S")</f>
        <v>151.63230256529494</v>
      </c>
      <c r="BZ69" s="87">
        <f>SUMIFS($AV$3:AV70,$Q$3:Q70,"O")</f>
        <v>0</v>
      </c>
    </row>
    <row r="70" spans="1:78" ht="18" customHeight="1">
      <c r="A70" s="45" t="s">
        <v>96</v>
      </c>
      <c r="B70" s="59">
        <v>45310</v>
      </c>
      <c r="C70" s="46" t="s">
        <v>387</v>
      </c>
      <c r="D70" s="46" t="s">
        <v>115</v>
      </c>
      <c r="E70" s="66"/>
      <c r="F70" s="47"/>
      <c r="G70" s="71" t="s">
        <v>362</v>
      </c>
      <c r="H70" s="49"/>
      <c r="I70" s="49"/>
      <c r="J70" s="49"/>
      <c r="K70" s="50"/>
      <c r="L70" s="49">
        <v>1</v>
      </c>
      <c r="M70" s="49">
        <v>1</v>
      </c>
      <c r="N70" s="49"/>
      <c r="O70" s="50" t="s">
        <v>363</v>
      </c>
      <c r="P70" s="50" t="s">
        <v>126</v>
      </c>
      <c r="Q70" s="50"/>
      <c r="R70" s="50">
        <v>1</v>
      </c>
      <c r="S70" s="50">
        <v>0</v>
      </c>
      <c r="T70" s="50">
        <v>1</v>
      </c>
      <c r="U70" s="50" t="s">
        <v>22</v>
      </c>
      <c r="V70" s="50"/>
      <c r="W70" s="50"/>
      <c r="X70" s="50"/>
      <c r="Y70" s="51">
        <f>IF(ISBLANK(O70),"",(IF(O70=UPPER("IB"),0.005,0.01)))</f>
        <v>0.01</v>
      </c>
      <c r="Z70" s="52">
        <f>IF(ISBLANK(O70),"",IF(O70="IB",8.63*200,IF(O70="IR",16*100,IF(O70="YT",20*100,IF(O70="YT-XT",24*200,IF(O70="TED",80*100))))))</f>
        <v>8000</v>
      </c>
      <c r="AA70" s="52" t="s">
        <v>388</v>
      </c>
      <c r="AB70" s="52"/>
      <c r="AC70" s="52"/>
      <c r="AD70" s="231">
        <v>-0.02</v>
      </c>
      <c r="AE70" s="49"/>
      <c r="AF70" s="84"/>
      <c r="AG70" s="49"/>
      <c r="AH70" s="49"/>
      <c r="AI70" s="49"/>
      <c r="AJ70" s="226"/>
      <c r="AK70" s="49"/>
      <c r="AL70" s="113">
        <f t="shared" si="10"/>
        <v>-160</v>
      </c>
      <c r="AM70" s="113">
        <f t="shared" ref="AM70:AM111" si="11">AL70*(R70-S70)</f>
        <v>-160</v>
      </c>
      <c r="AN70" s="218"/>
      <c r="AO70" s="49"/>
      <c r="AP70" s="49" t="s">
        <v>297</v>
      </c>
      <c r="AQ70" s="84" t="s">
        <v>155</v>
      </c>
      <c r="AR70" s="49" t="s">
        <v>389</v>
      </c>
      <c r="AS70" s="55">
        <v>-0.02</v>
      </c>
      <c r="AT70" s="55">
        <f>IF(ISBLANK(AS70),,IF(U70="S",AD70-AS70,AS70-AD70))</f>
        <v>0</v>
      </c>
      <c r="AU70" s="54">
        <f>AV70*R70</f>
        <v>0</v>
      </c>
      <c r="AV70" s="56">
        <f>IF(ISBLANK(AS70),,(AT70*Z70))</f>
        <v>0</v>
      </c>
      <c r="AW70" s="57" t="s">
        <v>155</v>
      </c>
      <c r="AX70" s="96" t="s">
        <v>390</v>
      </c>
      <c r="AY70" s="96"/>
      <c r="AZ70" s="96"/>
      <c r="BA70" s="96"/>
      <c r="BB70" s="96"/>
      <c r="BC70" s="96"/>
      <c r="BD70" s="96"/>
      <c r="BE70" s="96"/>
      <c r="BF70" s="100"/>
      <c r="BG70" s="94">
        <f>SUM($AV$4:AV70)</f>
        <v>363.74658827958046</v>
      </c>
      <c r="BH70" s="95">
        <f>SUM($AU$4:AU70)</f>
        <v>4118.4000000000005</v>
      </c>
      <c r="BI70" s="80">
        <f>SUMIFS($AU$3:AU71,$Q$3:Q71,"F")</f>
        <v>2134.4</v>
      </c>
      <c r="BJ70" s="80">
        <f>SUMIFS($AU$3:AU71,$Q$3:Q71,"S")</f>
        <v>1808.0000000000007</v>
      </c>
      <c r="BK70" s="87">
        <f>SUMIFS($AU$3:AU71,$P$3:P71,"W")</f>
        <v>2614.4000000000005</v>
      </c>
      <c r="BL70" s="87">
        <f>SUMIFS($AU$3:AU71,$P$3:P71,"R")</f>
        <v>1408.0000000000002</v>
      </c>
      <c r="BM70" s="87">
        <f>SUMIFS($AU$3:AU71,$AQ$3:AQ71,"M")</f>
        <v>976.00000000000023</v>
      </c>
      <c r="BN70" s="87">
        <f>SUMIFS($AU$3:AU71,$AQ$3:AQ71,"H")</f>
        <v>463.99999999999972</v>
      </c>
      <c r="BO70" s="87">
        <f>SUMIFS($AU$3:AU71,$AQ$3:AQ71,"D")</f>
        <v>1616.0000000000005</v>
      </c>
      <c r="BP70" s="87">
        <f>SUMIFS($AU$3:AU73,$AQ$3:AQ73,"W")</f>
        <v>1062.3999999999999</v>
      </c>
      <c r="BQ70" s="87">
        <f>SUMIFS($AU$3:AU71,$Q$3:Q71,"O")</f>
        <v>0</v>
      </c>
      <c r="BR70" s="87">
        <f>SUMIFS($AU$3:AU71,$AA$3:AA71,"*")</f>
        <v>3990.4000000000005</v>
      </c>
      <c r="BS70" s="87">
        <f>SUMIFS($AU$3:AU71,$AB$3:AB71,"*")</f>
        <v>639.99999999999943</v>
      </c>
      <c r="BT70" s="87">
        <f>SUMIFS($AU$3:AU71,$AC$3:AC71,"*")</f>
        <v>1542.3999999999999</v>
      </c>
      <c r="BU70" s="87">
        <f>SUMIFS($AU$3:AU71,$AA$3:AA71,"*",$AB$3:AB71,"*")</f>
        <v>367.9999999999996</v>
      </c>
      <c r="BV70" s="87">
        <f>SUMIFS($AU$3:AU71,$AA$3:AA71,"*",$AC$3:AC71,"*")</f>
        <v>1686.3999999999999</v>
      </c>
      <c r="BW70" s="87">
        <f>SUMIFS($AU$3:AU71,$AB$3:AB71,"*",$AC$3:AC71,"*")</f>
        <v>272.00000000000006</v>
      </c>
      <c r="BX70" s="87">
        <f>SUMIFS($AV$3:AV71,$Q$3:Q71,"F")</f>
        <v>84.114285714285714</v>
      </c>
      <c r="BY70" s="87">
        <f>SUMIFS($AV$3:AV71,$Q$3:Q71,"S")</f>
        <v>151.63230256529494</v>
      </c>
      <c r="BZ70" s="87">
        <f>SUMIFS($AV$3:AV71,$Q$3:Q71,"O")</f>
        <v>0</v>
      </c>
    </row>
    <row r="71" spans="1:78" ht="18" customHeight="1">
      <c r="A71" s="45" t="s">
        <v>96</v>
      </c>
      <c r="B71" s="59">
        <v>45310</v>
      </c>
      <c r="C71" s="72" t="s">
        <v>391</v>
      </c>
      <c r="D71" s="46" t="s">
        <v>115</v>
      </c>
      <c r="E71" s="66"/>
      <c r="F71" s="47"/>
      <c r="G71" s="48" t="s">
        <v>295</v>
      </c>
      <c r="H71" s="49"/>
      <c r="I71" s="49"/>
      <c r="J71" s="49"/>
      <c r="K71" s="50"/>
      <c r="L71" s="49"/>
      <c r="M71" s="49"/>
      <c r="N71" s="49"/>
      <c r="O71" s="50"/>
      <c r="P71" s="50"/>
      <c r="Q71" s="50"/>
      <c r="R71" s="50"/>
      <c r="S71" s="50"/>
      <c r="T71" s="50"/>
      <c r="U71" s="50"/>
      <c r="V71" s="50"/>
      <c r="W71" s="50"/>
      <c r="X71" s="50"/>
      <c r="Y71" s="51"/>
      <c r="Z71" s="52"/>
      <c r="AA71" s="52"/>
      <c r="AB71" s="52"/>
      <c r="AC71" s="52"/>
      <c r="AD71" s="231"/>
      <c r="AE71" s="49"/>
      <c r="AF71" s="84"/>
      <c r="AG71" s="49"/>
      <c r="AH71" s="49"/>
      <c r="AI71" s="49"/>
      <c r="AJ71" s="228" t="s">
        <v>392</v>
      </c>
      <c r="AK71" s="49"/>
      <c r="AL71" s="113">
        <f>-0.03*Z71</f>
        <v>0</v>
      </c>
      <c r="AM71" s="113">
        <f t="shared" si="11"/>
        <v>0</v>
      </c>
      <c r="AN71" s="218"/>
      <c r="AO71" s="49"/>
      <c r="AP71" s="49"/>
      <c r="AQ71" s="84" t="str">
        <f>UPPER(RIGHT(Journal_Live[[#This Row],[DURATION ]]))</f>
        <v/>
      </c>
      <c r="AR71" s="49"/>
      <c r="AS71" s="55"/>
      <c r="AT71" s="55">
        <f>IF(ISBLANK(AS71),,IF(U71="S",AD71-AS71,AS71-AD71))</f>
        <v>0</v>
      </c>
      <c r="AU71" s="54">
        <f>AV71*R71</f>
        <v>0</v>
      </c>
      <c r="AV71" s="56">
        <f>IF(ISBLANK(AS71),,(AT71*Z71))</f>
        <v>0</v>
      </c>
      <c r="AW71" s="57"/>
      <c r="AX71" s="96" t="s">
        <v>393</v>
      </c>
      <c r="AY71" s="96" t="s">
        <v>394</v>
      </c>
      <c r="AZ71" s="96" t="s">
        <v>395</v>
      </c>
      <c r="BA71" s="96" t="s">
        <v>396</v>
      </c>
      <c r="BB71" s="96"/>
      <c r="BC71" s="96"/>
      <c r="BD71" s="96"/>
      <c r="BE71" s="96"/>
      <c r="BF71" s="100"/>
      <c r="BG71" s="94">
        <f>SUM($AV$4:AV71)</f>
        <v>363.74658827958046</v>
      </c>
      <c r="BH71" s="95">
        <f>SUM($AU$4:AU71)</f>
        <v>4118.4000000000005</v>
      </c>
      <c r="BI71" s="80">
        <f>SUMIFS($AU$3:AU131,$Q$3:Q131,"F")</f>
        <v>4438.3999999999996</v>
      </c>
      <c r="BJ71" s="80">
        <f>SUMIFS($AU$3:AU131,$Q$3:Q131,"S")</f>
        <v>4144.0000000000009</v>
      </c>
      <c r="BK71" s="87">
        <f>SUMIFS($AU$3:AU131,$P$3:P131,"W")</f>
        <v>6973.5799999999363</v>
      </c>
      <c r="BL71" s="87">
        <f>SUMIFS($AU$3:AU131,$P$3:P131,"R")</f>
        <v>2000.0000000000002</v>
      </c>
      <c r="BM71" s="87">
        <f>SUMIFS($AU$3:AU131,$AQ$3:AQ131,"M")</f>
        <v>2963.5799999997967</v>
      </c>
      <c r="BN71" s="87">
        <f>SUMIFS($AU$3:AU131,$AQ$3:AQ131,"H")</f>
        <v>3599.9999999999991</v>
      </c>
      <c r="BO71" s="87">
        <f>SUMIFS($AU$3:AU131,$AQ$3:AQ131,"D")</f>
        <v>1504.0000000000005</v>
      </c>
      <c r="BP71" s="87">
        <f>SUMIFS($AU$3:AU74,$AQ$3:AQ74,"W")</f>
        <v>1414.3999999999999</v>
      </c>
      <c r="BQ71" s="87">
        <f>SUMIFS($AU$3:AU72,$Q$3:Q72,"O")</f>
        <v>0</v>
      </c>
      <c r="BR71" s="87">
        <f>SUMIFS($AU$3:AU72,$AA$3:AA72,"*")</f>
        <v>3990.4000000000005</v>
      </c>
      <c r="BS71" s="87">
        <f>SUMIFS($AU$3:AU72,$AB$3:AB72,"*")</f>
        <v>639.99999999999943</v>
      </c>
      <c r="BT71" s="87">
        <f>SUMIFS($AU$3:AU72,$AC$3:AC72,"*")</f>
        <v>1542.3999999999999</v>
      </c>
      <c r="BU71" s="87">
        <f>SUMIFS($AU$3:AU72,$AA$3:AA72,"*",$AB$3:AB72,"*")</f>
        <v>367.9999999999996</v>
      </c>
      <c r="BV71" s="87">
        <f>SUMIFS($AU$3:AU72,$AA$3:AA72,"*",$AC$3:AC72,"*")</f>
        <v>1686.3999999999999</v>
      </c>
      <c r="BW71" s="87">
        <f>SUMIFS($AU$3:AU72,$AB$3:AB72,"*",$AC$3:AC72,"*")</f>
        <v>272.00000000000006</v>
      </c>
      <c r="BX71" s="87">
        <f>SUMIFS($AV$3:AV72,$Q$3:Q72,"F")</f>
        <v>84.114285714285714</v>
      </c>
      <c r="BY71" s="87">
        <f>SUMIFS($AV$3:AV72,$Q$3:Q72,"S")</f>
        <v>151.63230256529494</v>
      </c>
      <c r="BZ71" s="87">
        <f>SUMIFS($AV$3:AV72,$Q$3:Q72,"O")</f>
        <v>0</v>
      </c>
    </row>
    <row r="72" spans="1:78" ht="18" customHeight="1">
      <c r="A72" s="45" t="s">
        <v>96</v>
      </c>
      <c r="B72" s="59">
        <v>45313</v>
      </c>
      <c r="C72" s="46" t="s">
        <v>397</v>
      </c>
      <c r="D72" s="46" t="s">
        <v>176</v>
      </c>
      <c r="E72" s="66"/>
      <c r="F72" s="47"/>
      <c r="G72" s="48" t="s">
        <v>99</v>
      </c>
      <c r="H72" s="49"/>
      <c r="I72" s="49"/>
      <c r="J72" s="49"/>
      <c r="K72" s="50"/>
      <c r="L72" s="49"/>
      <c r="M72" s="49"/>
      <c r="N72" s="49"/>
      <c r="O72" s="50"/>
      <c r="P72" s="50"/>
      <c r="Q72" s="50"/>
      <c r="R72" s="50"/>
      <c r="S72" s="50"/>
      <c r="T72" s="50"/>
      <c r="U72" s="50"/>
      <c r="V72" s="50"/>
      <c r="W72" s="50"/>
      <c r="X72" s="50"/>
      <c r="Y72" s="51" t="str">
        <f>IF(ISBLANK(O72),"",(IF(O72=UPPER("IB"),0.005,0.01)))</f>
        <v/>
      </c>
      <c r="Z72" s="52" t="str">
        <f>IF(ISBLANK(O72),"",IF(O72="IB",8.63*200,IF(O72="IR",16*100,IF(O72="YT",20*100,IF(O72="YT-XT",24*200,IF(O72="TED",80*100))))))</f>
        <v/>
      </c>
      <c r="AA72" s="52"/>
      <c r="AB72" s="52"/>
      <c r="AC72" s="52"/>
      <c r="AD72" s="231"/>
      <c r="AE72" s="49"/>
      <c r="AF72" s="84"/>
      <c r="AG72" s="49"/>
      <c r="AH72" s="49"/>
      <c r="AI72" s="49"/>
      <c r="AJ72" s="226"/>
      <c r="AK72" s="49"/>
      <c r="AL72" s="113"/>
      <c r="AM72" s="113">
        <f t="shared" si="11"/>
        <v>0</v>
      </c>
      <c r="AN72" s="218"/>
      <c r="AO72" s="49"/>
      <c r="AP72" s="49"/>
      <c r="AQ72" s="84" t="str">
        <f>UPPER(RIGHT(Journal_Live[[#This Row],[DURATION ]]))</f>
        <v/>
      </c>
      <c r="AR72" s="49"/>
      <c r="AS72" s="55"/>
      <c r="AT72" s="55"/>
      <c r="AU72" s="54"/>
      <c r="AV72" s="56"/>
      <c r="AW72" s="57"/>
      <c r="AX72" s="96" t="s">
        <v>398</v>
      </c>
      <c r="AY72" s="96" t="s">
        <v>399</v>
      </c>
      <c r="AZ72" s="96" t="s">
        <v>400</v>
      </c>
      <c r="BA72" s="96"/>
      <c r="BB72" s="96"/>
      <c r="BC72" s="96"/>
      <c r="BD72" s="97" t="s">
        <v>401</v>
      </c>
      <c r="BE72" s="97" t="s">
        <v>402</v>
      </c>
      <c r="BF72" s="97" t="s">
        <v>403</v>
      </c>
      <c r="BG72" s="94">
        <f>SUM($AV$4:AV72)</f>
        <v>363.74658827958046</v>
      </c>
      <c r="BH72" s="95">
        <f>SUM($AU$4:AU72)</f>
        <v>4118.4000000000005</v>
      </c>
      <c r="BI72" s="80">
        <f>SUMIFS($AU$3:AU73,$Q$3:Q73,"F")</f>
        <v>2134.4</v>
      </c>
      <c r="BJ72" s="80">
        <f>SUMIFS($AU$3:AU73,$Q$3:Q73,"S")</f>
        <v>1696.0000000000007</v>
      </c>
      <c r="BK72" s="87">
        <f>SUMIFS($AU$3:AU73,$P$3:P73,"W")</f>
        <v>2502.4000000000005</v>
      </c>
      <c r="BL72" s="87">
        <f>SUMIFS($AU$3:AU73,$P$3:P73,"R")</f>
        <v>1408.0000000000002</v>
      </c>
      <c r="BM72" s="87">
        <f>SUMIFS($AU$3:AU73,$AQ$3:AQ73,"M")</f>
        <v>976.00000000000023</v>
      </c>
      <c r="BN72" s="87">
        <f>SUMIFS($AU$3:AU73,$AQ$3:AQ73,"H")</f>
        <v>463.99999999999972</v>
      </c>
      <c r="BO72" s="87">
        <f>SUMIFS($AU$3:AU73,$AQ$3:AQ73,"D")</f>
        <v>1504.0000000000005</v>
      </c>
      <c r="BP72" s="87">
        <f>SUMIFS($AU$3:AU75,$AQ$3:AQ75,"W")</f>
        <v>1414.3999999999999</v>
      </c>
      <c r="BQ72" s="87">
        <f>SUMIFS($AU$3:AU73,$Q$3:Q73,"O")</f>
        <v>0</v>
      </c>
      <c r="BR72" s="87">
        <f>SUMIFS($AU$3:AU73,$AA$3:AA73,"*")</f>
        <v>3990.4000000000005</v>
      </c>
      <c r="BS72" s="87">
        <f>SUMIFS($AU$3:AU73,$AB$3:AB73,"*")</f>
        <v>639.99999999999943</v>
      </c>
      <c r="BT72" s="87">
        <f>SUMIFS($AU$3:AU73,$AC$3:AC73,"*")</f>
        <v>1430.3999999999999</v>
      </c>
      <c r="BU72" s="87">
        <f>SUMIFS($AU$3:AU73,$AA$3:AA73,"*",$AB$3:AB73,"*")</f>
        <v>367.9999999999996</v>
      </c>
      <c r="BV72" s="87">
        <f>SUMIFS($AU$3:AU73,$AA$3:AA73,"*",$AC$3:AC73,"*")</f>
        <v>1686.3999999999999</v>
      </c>
      <c r="BW72" s="87">
        <f>SUMIFS($AU$3:AU73,$AB$3:AB73,"*",$AC$3:AC73,"*")</f>
        <v>272.00000000000006</v>
      </c>
      <c r="BX72" s="87">
        <f>SUMIFS($AV$3:AV73,$Q$3:Q73,"F")</f>
        <v>84.114285714285714</v>
      </c>
      <c r="BY72" s="87">
        <f>SUMIFS($AV$3:AV73,$Q$3:Q73,"S")</f>
        <v>143.63230256529494</v>
      </c>
      <c r="BZ72" s="87">
        <f>SUMIFS($AV$3:AV73,$Q$3:Q73,"O")</f>
        <v>0</v>
      </c>
    </row>
    <row r="73" spans="1:78" ht="18" customHeight="1">
      <c r="A73" s="45" t="s">
        <v>96</v>
      </c>
      <c r="B73" s="59">
        <v>45313</v>
      </c>
      <c r="C73" s="46" t="s">
        <v>404</v>
      </c>
      <c r="D73" s="46" t="s">
        <v>176</v>
      </c>
      <c r="E73" s="66"/>
      <c r="F73" s="47"/>
      <c r="G73" s="71" t="s">
        <v>99</v>
      </c>
      <c r="H73" s="49"/>
      <c r="I73" s="49"/>
      <c r="J73" s="49"/>
      <c r="K73" s="50"/>
      <c r="L73" s="49">
        <v>1</v>
      </c>
      <c r="M73" s="49"/>
      <c r="N73" s="49"/>
      <c r="O73" s="50" t="s">
        <v>100</v>
      </c>
      <c r="P73" s="50" t="s">
        <v>101</v>
      </c>
      <c r="Q73" s="50" t="s">
        <v>102</v>
      </c>
      <c r="R73" s="50">
        <v>14</v>
      </c>
      <c r="S73" s="50">
        <v>7</v>
      </c>
      <c r="T73" s="50">
        <v>7</v>
      </c>
      <c r="U73" s="50" t="s">
        <v>22</v>
      </c>
      <c r="V73" s="50"/>
      <c r="W73" s="50"/>
      <c r="X73" s="50"/>
      <c r="Y73" s="51">
        <f>IF(ISBLANK(O73),"",(IF(O73=UPPER("IB"),0.005,0.01)))</f>
        <v>0.01</v>
      </c>
      <c r="Z73" s="52">
        <f>IF(ISBLANK(O73),"",IF(O73="IB",8.63*200,IF(O73="IR",16*100,IF(O73="YT",20*100,IF(O73="YT-XT",24*200,IF(O73="TED",80*100))))))</f>
        <v>1600</v>
      </c>
      <c r="AA73" s="52"/>
      <c r="AB73" s="52"/>
      <c r="AC73" s="52" t="s">
        <v>405</v>
      </c>
      <c r="AD73" s="231">
        <v>-3.5000000000000003E-2</v>
      </c>
      <c r="AE73" s="49"/>
      <c r="AF73" s="84"/>
      <c r="AG73" s="49"/>
      <c r="AH73" s="49"/>
      <c r="AI73" s="49"/>
      <c r="AJ73" s="226"/>
      <c r="AK73" s="49"/>
      <c r="AL73" s="113">
        <f t="shared" ref="AL73" si="12">-0.03*Z73</f>
        <v>-48</v>
      </c>
      <c r="AM73" s="113">
        <f t="shared" si="11"/>
        <v>-336</v>
      </c>
      <c r="AN73" s="218"/>
      <c r="AO73" s="49"/>
      <c r="AP73" s="49" t="s">
        <v>297</v>
      </c>
      <c r="AQ73" s="84" t="s">
        <v>155</v>
      </c>
      <c r="AR73" s="74">
        <v>45314</v>
      </c>
      <c r="AS73" s="55">
        <v>-0.04</v>
      </c>
      <c r="AT73" s="55">
        <f>IF(ISBLANK(AS73),,IF(U73="S",AD73-AS73,AS73-AD73))</f>
        <v>-4.9999999999999975E-3</v>
      </c>
      <c r="AU73" s="54">
        <f>AV73*R73</f>
        <v>-111.99999999999994</v>
      </c>
      <c r="AV73" s="56">
        <f>IF(ISBLANK(AS73),,(AT73*Z73))</f>
        <v>-7.9999999999999964</v>
      </c>
      <c r="AW73" s="57" t="s">
        <v>121</v>
      </c>
      <c r="AX73" s="97" t="s">
        <v>401</v>
      </c>
      <c r="AY73" s="97" t="s">
        <v>402</v>
      </c>
      <c r="AZ73" s="97" t="s">
        <v>403</v>
      </c>
      <c r="BA73" s="96"/>
      <c r="BB73" s="96"/>
      <c r="BC73" s="96"/>
      <c r="BD73" s="97"/>
      <c r="BE73" s="97"/>
      <c r="BF73" s="97"/>
      <c r="BG73" s="94">
        <f>SUM($AV$4:AV73)</f>
        <v>355.74658827958046</v>
      </c>
      <c r="BH73" s="95">
        <f>SUM($AU$4:AU73)</f>
        <v>4006.4000000000005</v>
      </c>
      <c r="BI73" s="80">
        <f>SUMIFS($AU$3:AU74,$Q$3:Q74,"F")</f>
        <v>2486.4</v>
      </c>
      <c r="BJ73" s="80">
        <f>SUMIFS($AU$3:AU74,$Q$3:Q74,"S")</f>
        <v>1696.0000000000007</v>
      </c>
      <c r="BK73" s="87">
        <f>SUMIFS($AU$3:AU74,$P$3:P74,"W")</f>
        <v>2502.4000000000005</v>
      </c>
      <c r="BL73" s="87">
        <f>SUMIFS($AU$3:AU74,$P$3:P74,"R")</f>
        <v>1760.0000000000002</v>
      </c>
      <c r="BM73" s="87">
        <f>SUMIFS($AU$3:AU74,$AQ$3:AQ74,"M")</f>
        <v>976.00000000000023</v>
      </c>
      <c r="BN73" s="87">
        <f>SUMIFS($AU$3:AU74,$AQ$3:AQ74,"H")</f>
        <v>463.99999999999972</v>
      </c>
      <c r="BO73" s="87">
        <f>SUMIFS($AU$3:AU74,$AQ$3:AQ74,"D")</f>
        <v>1504.0000000000005</v>
      </c>
      <c r="BP73" s="87">
        <f>SUMIFS($AU$3:AU76,$AQ$3:AQ76,"W")</f>
        <v>1414.3999999999999</v>
      </c>
      <c r="BQ73" s="87">
        <f>SUMIFS($AU$3:AU74,$Q$3:Q74,"O")</f>
        <v>0</v>
      </c>
      <c r="BR73" s="87">
        <f>SUMIFS($AU$3:AU74,$AA$3:AA74,"*")</f>
        <v>4342.4000000000005</v>
      </c>
      <c r="BS73" s="87">
        <f>SUMIFS($AU$3:AU74,$AB$3:AB74,"*")</f>
        <v>639.99999999999943</v>
      </c>
      <c r="BT73" s="87">
        <f>SUMIFS($AU$3:AU74,$AC$3:AC74,"*")</f>
        <v>1782.3999999999999</v>
      </c>
      <c r="BU73" s="87">
        <f>SUMIFS($AU$3:AU74,$AA$3:AA74,"*",$AB$3:AB74,"*")</f>
        <v>367.9999999999996</v>
      </c>
      <c r="BV73" s="87">
        <f>SUMIFS($AU$3:AU74,$AA$3:AA74,"*",$AC$3:AC74,"*")</f>
        <v>2038.3999999999999</v>
      </c>
      <c r="BW73" s="87">
        <f>SUMIFS($AU$3:AU74,$AB$3:AB74,"*",$AC$3:AC74,"*")</f>
        <v>272.00000000000006</v>
      </c>
      <c r="BX73" s="87">
        <f>SUMIFS($AV$3:AV74,$Q$3:Q74,"F")</f>
        <v>100.11428571428571</v>
      </c>
      <c r="BY73" s="87">
        <f>SUMIFS($AV$3:AV74,$Q$3:Q74,"S")</f>
        <v>143.63230256529494</v>
      </c>
      <c r="BZ73" s="87">
        <f>SUMIFS($AV$3:AV74,$Q$3:Q74,"O")</f>
        <v>0</v>
      </c>
    </row>
    <row r="74" spans="1:78" ht="18" customHeight="1">
      <c r="A74" s="45" t="s">
        <v>96</v>
      </c>
      <c r="B74" s="59">
        <v>45313</v>
      </c>
      <c r="C74" s="46" t="s">
        <v>406</v>
      </c>
      <c r="D74" s="46" t="s">
        <v>176</v>
      </c>
      <c r="E74" s="66"/>
      <c r="F74" s="47"/>
      <c r="G74" s="106" t="s">
        <v>407</v>
      </c>
      <c r="H74" s="49"/>
      <c r="I74" s="49"/>
      <c r="J74" s="49"/>
      <c r="K74" s="50"/>
      <c r="L74" s="49">
        <v>1</v>
      </c>
      <c r="M74" s="49"/>
      <c r="N74" s="49"/>
      <c r="O74" s="50" t="s">
        <v>100</v>
      </c>
      <c r="P74" s="50" t="s">
        <v>126</v>
      </c>
      <c r="Q74" s="50" t="s">
        <v>127</v>
      </c>
      <c r="R74" s="50">
        <v>22</v>
      </c>
      <c r="S74" s="50">
        <v>22</v>
      </c>
      <c r="T74" s="50">
        <v>22</v>
      </c>
      <c r="U74" s="50" t="s">
        <v>22</v>
      </c>
      <c r="V74" s="50"/>
      <c r="W74" s="50"/>
      <c r="X74" s="50"/>
      <c r="Y74" s="51">
        <f>IF(ISBLANK(O74),"",(IF(O74=UPPER("IB"),0.005,0.01)))</f>
        <v>0.01</v>
      </c>
      <c r="Z74" s="52">
        <f>IF(ISBLANK(O74),"",IF(O74="IB",8.63*200,IF(O74="IR",16*100,IF(O74="YT",20*100,IF(O74="YT-XT",24*200,IF(O74="TED",80*100))))))</f>
        <v>1600</v>
      </c>
      <c r="AA74" s="52" t="s">
        <v>256</v>
      </c>
      <c r="AB74" s="52"/>
      <c r="AC74" s="52" t="s">
        <v>408</v>
      </c>
      <c r="AD74" s="231">
        <v>-0.04</v>
      </c>
      <c r="AE74" s="49"/>
      <c r="AF74" s="84"/>
      <c r="AG74" s="49"/>
      <c r="AH74" s="49"/>
      <c r="AI74" s="49"/>
      <c r="AJ74" s="226"/>
      <c r="AK74" s="49"/>
      <c r="AL74" s="113">
        <f t="shared" ref="AL74:AL77" si="13">-0.02*Z74</f>
        <v>-32</v>
      </c>
      <c r="AM74" s="113">
        <f t="shared" si="11"/>
        <v>0</v>
      </c>
      <c r="AN74" s="218"/>
      <c r="AO74" s="49"/>
      <c r="AP74" s="49" t="s">
        <v>310</v>
      </c>
      <c r="AQ74" s="84" t="s">
        <v>101</v>
      </c>
      <c r="AR74" s="74">
        <v>45321</v>
      </c>
      <c r="AS74" s="55">
        <v>-0.03</v>
      </c>
      <c r="AT74" s="55">
        <f>IF(ISBLANK(AS74),,IF(U74="S",AD74-AS74,AS74-AD74))</f>
        <v>1.0000000000000002E-2</v>
      </c>
      <c r="AU74" s="54">
        <f>AV74*R74</f>
        <v>352.00000000000006</v>
      </c>
      <c r="AV74" s="56">
        <f>IF(ISBLANK(AS74),,(AT74*Z74))</f>
        <v>16.000000000000004</v>
      </c>
      <c r="AW74" s="57" t="s">
        <v>101</v>
      </c>
      <c r="AX74" s="96"/>
      <c r="AY74" s="96"/>
      <c r="AZ74" s="96"/>
      <c r="BA74" s="96"/>
      <c r="BB74" s="96"/>
      <c r="BC74" s="96"/>
      <c r="BD74" s="96"/>
      <c r="BE74" s="96"/>
      <c r="BF74" s="100"/>
      <c r="BG74" s="94">
        <f>SUM($AV$4:AV74)</f>
        <v>371.74658827958046</v>
      </c>
      <c r="BH74" s="95">
        <f>SUM($AU$4:AU74)</f>
        <v>4358.4000000000005</v>
      </c>
      <c r="BI74" s="80">
        <f>SUMIFS($AU$3:AU75,$Q$3:Q75,"F")</f>
        <v>2486.4</v>
      </c>
      <c r="BJ74" s="80">
        <f>SUMIFS($AU$3:AU75,$Q$3:Q75,"S")</f>
        <v>1696.0000000000007</v>
      </c>
      <c r="BK74" s="87">
        <f>SUMIFS($AU$3:AU75,$P$3:P75,"W")</f>
        <v>2502.4000000000005</v>
      </c>
      <c r="BL74" s="87">
        <f>SUMIFS($AU$3:AU75,$P$3:P75,"R")</f>
        <v>1840.0000000000002</v>
      </c>
      <c r="BM74" s="87">
        <f>SUMIFS($AU$3:AU75,$AQ$3:AQ75,"M")</f>
        <v>976.00000000000023</v>
      </c>
      <c r="BN74" s="87">
        <f>SUMIFS($AU$3:AU75,$AQ$3:AQ75,"H")</f>
        <v>543.99999999999977</v>
      </c>
      <c r="BO74" s="87">
        <f>SUMIFS($AU$3:AU75,$AQ$3:AQ75,"D")</f>
        <v>1504.0000000000005</v>
      </c>
      <c r="BP74" s="87">
        <f>SUMIFS($AU$3:AU77,$AQ$3:AQ77,"W")</f>
        <v>1414.3999999999999</v>
      </c>
      <c r="BQ74" s="87">
        <f>SUMIFS($AU$3:AU75,$Q$3:Q75,"O")</f>
        <v>0</v>
      </c>
      <c r="BR74" s="87">
        <f>SUMIFS($AU$3:AU75,$AA$3:AA75,"*")</f>
        <v>4422.4000000000005</v>
      </c>
      <c r="BS74" s="87">
        <f>SUMIFS($AU$3:AU75,$AB$3:AB75,"*")</f>
        <v>639.99999999999943</v>
      </c>
      <c r="BT74" s="87">
        <f>SUMIFS($AU$3:AU75,$AC$3:AC75,"*")</f>
        <v>1782.3999999999999</v>
      </c>
      <c r="BU74" s="87">
        <f>SUMIFS($AU$3:AU75,$AA$3:AA75,"*",$AB$3:AB75,"*")</f>
        <v>367.9999999999996</v>
      </c>
      <c r="BV74" s="87">
        <f>SUMIFS($AU$3:AU75,$AA$3:AA75,"*",$AC$3:AC75,"*")</f>
        <v>2038.3999999999999</v>
      </c>
      <c r="BW74" s="87">
        <f>SUMIFS($AU$3:AU75,$AB$3:AB75,"*",$AC$3:AC75,"*")</f>
        <v>272.00000000000006</v>
      </c>
      <c r="BX74" s="87">
        <f>SUMIFS($AV$3:AV75,$Q$3:Q75,"F")</f>
        <v>100.11428571428571</v>
      </c>
      <c r="BY74" s="87">
        <f>SUMIFS($AV$3:AV75,$Q$3:Q75,"S")</f>
        <v>143.63230256529494</v>
      </c>
      <c r="BZ74" s="87">
        <f>SUMIFS($AV$3:AV75,$Q$3:Q75,"O")</f>
        <v>0</v>
      </c>
    </row>
    <row r="75" spans="1:78" ht="18" customHeight="1">
      <c r="A75" s="45" t="s">
        <v>96</v>
      </c>
      <c r="B75" s="59">
        <v>45313</v>
      </c>
      <c r="C75" s="46" t="s">
        <v>163</v>
      </c>
      <c r="D75" s="46" t="s">
        <v>176</v>
      </c>
      <c r="E75" s="66"/>
      <c r="F75" s="47"/>
      <c r="G75" s="71" t="s">
        <v>362</v>
      </c>
      <c r="H75" s="49"/>
      <c r="I75" s="49"/>
      <c r="J75" s="49"/>
      <c r="K75" s="50"/>
      <c r="L75" s="49">
        <v>1</v>
      </c>
      <c r="M75" s="49">
        <v>1</v>
      </c>
      <c r="N75" s="49"/>
      <c r="O75" s="50" t="s">
        <v>363</v>
      </c>
      <c r="P75" s="50" t="s">
        <v>126</v>
      </c>
      <c r="Q75" s="50"/>
      <c r="R75" s="50">
        <v>1</v>
      </c>
      <c r="S75" s="50">
        <v>0</v>
      </c>
      <c r="T75" s="50">
        <v>1</v>
      </c>
      <c r="U75" s="50" t="s">
        <v>102</v>
      </c>
      <c r="V75" s="50"/>
      <c r="W75" s="50"/>
      <c r="X75" s="50"/>
      <c r="Y75" s="51">
        <f>IF(ISBLANK(O75),"",(IF(O75=UPPER("IB"),0.005,0.01)))</f>
        <v>0.01</v>
      </c>
      <c r="Z75" s="52">
        <f>IF(ISBLANK(O75),"",IF(O75="IB",8.63*200,IF(O75="IR",16*100,IF(O75="YT",20*100,IF(O75="YT-XT",24*200,IF(O75="TED",80*100))))))</f>
        <v>8000</v>
      </c>
      <c r="AA75" s="52" t="s">
        <v>177</v>
      </c>
      <c r="AB75" s="52"/>
      <c r="AC75" s="52"/>
      <c r="AD75" s="231">
        <v>-0.01</v>
      </c>
      <c r="AE75" s="49"/>
      <c r="AF75" s="84"/>
      <c r="AG75" s="49"/>
      <c r="AH75" s="49"/>
      <c r="AI75" s="49"/>
      <c r="AJ75" s="226"/>
      <c r="AK75" s="49"/>
      <c r="AL75" s="113">
        <f t="shared" si="13"/>
        <v>-160</v>
      </c>
      <c r="AM75" s="113">
        <f t="shared" si="11"/>
        <v>-160</v>
      </c>
      <c r="AN75" s="218"/>
      <c r="AO75" s="49"/>
      <c r="AP75" s="49" t="s">
        <v>409</v>
      </c>
      <c r="AQ75" s="84" t="s">
        <v>142</v>
      </c>
      <c r="AR75" s="49" t="s">
        <v>410</v>
      </c>
      <c r="AS75" s="55">
        <v>-0.02</v>
      </c>
      <c r="AT75" s="55">
        <f>IF(ISBLANK(AS75),,IF(U75="S",AD75-AS75,AS75-AD75))</f>
        <v>0.01</v>
      </c>
      <c r="AU75" s="54">
        <f>AV75*R75</f>
        <v>80</v>
      </c>
      <c r="AV75" s="56">
        <f>IF(ISBLANK(AS75),,(AT75*Z75))</f>
        <v>80</v>
      </c>
      <c r="AW75" s="57" t="s">
        <v>101</v>
      </c>
      <c r="AX75" s="96" t="s">
        <v>411</v>
      </c>
      <c r="AY75" s="96" t="s">
        <v>412</v>
      </c>
      <c r="AZ75" s="96"/>
      <c r="BA75" s="96"/>
      <c r="BB75" s="96"/>
      <c r="BC75" s="96"/>
      <c r="BD75" s="96" t="s">
        <v>411</v>
      </c>
      <c r="BE75" s="96" t="s">
        <v>412</v>
      </c>
      <c r="BF75" s="100" t="s">
        <v>413</v>
      </c>
      <c r="BG75" s="94">
        <f>SUM($AV$4:AV75)</f>
        <v>451.74658827958046</v>
      </c>
      <c r="BH75" s="95">
        <f>SUM($AU$4:AU75)</f>
        <v>4438.4000000000005</v>
      </c>
      <c r="BI75" s="80">
        <f>SUMIFS($AU$3:AU76,$Q$3:Q76,"F")</f>
        <v>2486.4</v>
      </c>
      <c r="BJ75" s="80">
        <f>SUMIFS($AU$3:AU76,$Q$3:Q76,"S")</f>
        <v>1696.0000000000007</v>
      </c>
      <c r="BK75" s="87">
        <f>SUMIFS($AU$3:AU76,$P$3:P76,"W")</f>
        <v>2502.4000000000005</v>
      </c>
      <c r="BL75" s="87">
        <f>SUMIFS($AU$3:AU76,$P$3:P76,"R")</f>
        <v>1840.0000000000002</v>
      </c>
      <c r="BM75" s="87">
        <f>SUMIFS($AU$3:AU76,$AQ$3:AQ76,"M")</f>
        <v>976.00000000000023</v>
      </c>
      <c r="BN75" s="87">
        <f>SUMIFS($AU$3:AU76,$AQ$3:AQ76,"H")</f>
        <v>543.99999999999977</v>
      </c>
      <c r="BO75" s="87">
        <f>SUMIFS($AU$3:AU76,$AQ$3:AQ76,"D")</f>
        <v>1504.0000000000005</v>
      </c>
      <c r="BP75" s="87">
        <f>SUMIFS($AU$3:AU78,$AQ$3:AQ78,"W")</f>
        <v>1414.3999999999999</v>
      </c>
      <c r="BQ75" s="87">
        <f>SUMIFS($AU$3:AU76,$Q$3:Q76,"O")</f>
        <v>0</v>
      </c>
      <c r="BR75" s="87">
        <f>SUMIFS($AU$3:AU76,$AA$3:AA76,"*")</f>
        <v>4422.4000000000005</v>
      </c>
      <c r="BS75" s="87">
        <f>SUMIFS($AU$3:AU76,$AB$3:AB76,"*")</f>
        <v>639.99999999999943</v>
      </c>
      <c r="BT75" s="87">
        <f>SUMIFS($AU$3:AU76,$AC$3:AC76,"*")</f>
        <v>1782.3999999999999</v>
      </c>
      <c r="BU75" s="87">
        <f>SUMIFS($AU$3:AU76,$AA$3:AA76,"*",$AB$3:AB76,"*")</f>
        <v>367.9999999999996</v>
      </c>
      <c r="BV75" s="87">
        <f>SUMIFS($AU$3:AU76,$AA$3:AA76,"*",$AC$3:AC76,"*")</f>
        <v>2038.3999999999999</v>
      </c>
      <c r="BW75" s="87">
        <f>SUMIFS($AU$3:AU76,$AB$3:AB76,"*",$AC$3:AC76,"*")</f>
        <v>272.00000000000006</v>
      </c>
      <c r="BX75" s="87">
        <f>SUMIFS($AV$3:AV76,$Q$3:Q76,"F")</f>
        <v>100.11428571428571</v>
      </c>
      <c r="BY75" s="87">
        <f>SUMIFS($AV$3:AV76,$Q$3:Q76,"S")</f>
        <v>143.63230256529494</v>
      </c>
      <c r="BZ75" s="87">
        <f>SUMIFS($AV$3:AV76,$Q$3:Q76,"O")</f>
        <v>0</v>
      </c>
    </row>
    <row r="76" spans="1:78" ht="18" customHeight="1">
      <c r="A76" s="45" t="s">
        <v>96</v>
      </c>
      <c r="B76" s="59">
        <v>45313</v>
      </c>
      <c r="C76" s="46" t="s">
        <v>414</v>
      </c>
      <c r="D76" s="46" t="s">
        <v>176</v>
      </c>
      <c r="E76" s="66"/>
      <c r="F76" s="47"/>
      <c r="G76" s="71" t="s">
        <v>227</v>
      </c>
      <c r="H76" s="49"/>
      <c r="I76" s="49"/>
      <c r="J76" s="49"/>
      <c r="K76" s="50"/>
      <c r="L76" s="49">
        <v>1</v>
      </c>
      <c r="M76" s="49"/>
      <c r="N76" s="49"/>
      <c r="O76" s="50" t="s">
        <v>100</v>
      </c>
      <c r="P76" s="50" t="s">
        <v>101</v>
      </c>
      <c r="Q76" s="50" t="s">
        <v>102</v>
      </c>
      <c r="R76" s="50">
        <v>12</v>
      </c>
      <c r="S76" s="50">
        <v>0</v>
      </c>
      <c r="T76" s="50">
        <v>12</v>
      </c>
      <c r="U76" s="50" t="s">
        <v>22</v>
      </c>
      <c r="V76" s="50"/>
      <c r="W76" s="50"/>
      <c r="X76" s="50"/>
      <c r="Y76" s="51">
        <f>IF(ISBLANK(O76),"",(IF(O76=UPPER("IB"),0.005,0.01)))</f>
        <v>0.01</v>
      </c>
      <c r="Z76" s="52">
        <f>IF(ISBLANK(O76),"",IF(O76="IB",8.63*200,IF(O76="IR",16*100,IF(O76="YT",20*100,IF(O76="YT-XT",24*200,IF(O76="TED",80*100))))))</f>
        <v>1600</v>
      </c>
      <c r="AA76" s="52"/>
      <c r="AB76" s="52"/>
      <c r="AC76" s="52" t="s">
        <v>415</v>
      </c>
      <c r="AD76" s="231">
        <v>-0.12</v>
      </c>
      <c r="AE76" s="49"/>
      <c r="AF76" s="84"/>
      <c r="AG76" s="49"/>
      <c r="AH76" s="49"/>
      <c r="AI76" s="49"/>
      <c r="AJ76" s="226"/>
      <c r="AK76" s="49"/>
      <c r="AL76" s="113">
        <f t="shared" si="13"/>
        <v>-32</v>
      </c>
      <c r="AM76" s="113">
        <f t="shared" si="11"/>
        <v>-384</v>
      </c>
      <c r="AN76" s="218"/>
      <c r="AO76" s="49"/>
      <c r="AP76" s="49" t="s">
        <v>297</v>
      </c>
      <c r="AQ76" s="84" t="s">
        <v>155</v>
      </c>
      <c r="AR76" s="49" t="s">
        <v>416</v>
      </c>
      <c r="AS76" s="55">
        <v>-0.12</v>
      </c>
      <c r="AT76" s="55">
        <f>IF(ISBLANK(AS76),,IF(U76="S",AD76-AS76,AS76-AD76))</f>
        <v>0</v>
      </c>
      <c r="AU76" s="54">
        <f>AV76*R76</f>
        <v>0</v>
      </c>
      <c r="AV76" s="56">
        <f>IF(ISBLANK(AS76),,(AT76*Z76))</f>
        <v>0</v>
      </c>
      <c r="AW76" s="57" t="s">
        <v>155</v>
      </c>
      <c r="AX76" s="96"/>
      <c r="AY76" s="96"/>
      <c r="AZ76" s="96"/>
      <c r="BA76" s="96"/>
      <c r="BB76" s="96"/>
      <c r="BC76" s="96"/>
      <c r="BD76" s="96"/>
      <c r="BE76" s="96"/>
      <c r="BF76" s="100"/>
      <c r="BG76" s="94">
        <f>SUM($AV$4:AV76)</f>
        <v>451.74658827958046</v>
      </c>
      <c r="BH76" s="95">
        <f>SUM($AU$4:AU76)</f>
        <v>4438.4000000000005</v>
      </c>
      <c r="BI76" s="80">
        <f>SUMIFS($AU$3:AU77,$Q$3:Q77,"F")</f>
        <v>2486.4</v>
      </c>
      <c r="BJ76" s="80">
        <f>SUMIFS($AU$3:AU77,$Q$3:Q77,"S")</f>
        <v>1696.0000000000007</v>
      </c>
      <c r="BK76" s="87">
        <f>SUMIFS($AU$3:AU77,$P$3:P77,"W")</f>
        <v>2502.4000000000005</v>
      </c>
      <c r="BL76" s="87">
        <f>SUMIFS($AU$3:AU77,$P$3:P77,"R")</f>
        <v>1840.0000000000002</v>
      </c>
      <c r="BM76" s="87">
        <f>SUMIFS($AU$3:AU77,$AQ$3:AQ77,"M")</f>
        <v>976.00000000000023</v>
      </c>
      <c r="BN76" s="87">
        <f>SUMIFS($AU$3:AU77,$AQ$3:AQ77,"H")</f>
        <v>543.99999999999977</v>
      </c>
      <c r="BO76" s="87">
        <f>SUMIFS($AU$3:AU77,$AQ$3:AQ77,"D")</f>
        <v>1504.0000000000005</v>
      </c>
      <c r="BP76" s="87">
        <f>SUMIFS($AU$3:AU79,$AQ$3:AQ79,"W")</f>
        <v>1414.3999999999999</v>
      </c>
      <c r="BQ76" s="87">
        <f>SUMIFS($AU$3:AU77,$Q$3:Q77,"O")</f>
        <v>0</v>
      </c>
      <c r="BR76" s="87">
        <f>SUMIFS($AU$3:AU77,$AA$3:AA77,"*")</f>
        <v>4422.4000000000005</v>
      </c>
      <c r="BS76" s="87">
        <f>SUMIFS($AU$3:AU77,$AB$3:AB77,"*")</f>
        <v>639.99999999999943</v>
      </c>
      <c r="BT76" s="87">
        <f>SUMIFS($AU$3:AU77,$AC$3:AC77,"*")</f>
        <v>1782.3999999999999</v>
      </c>
      <c r="BU76" s="87">
        <f>SUMIFS($AU$3:AU77,$AA$3:AA77,"*",$AB$3:AB77,"*")</f>
        <v>367.9999999999996</v>
      </c>
      <c r="BV76" s="87">
        <f>SUMIFS($AU$3:AU77,$AA$3:AA77,"*",$AC$3:AC77,"*")</f>
        <v>2038.3999999999999</v>
      </c>
      <c r="BW76" s="87">
        <f>SUMIFS($AU$3:AU77,$AB$3:AB77,"*",$AC$3:AC77,"*")</f>
        <v>272.00000000000006</v>
      </c>
      <c r="BX76" s="87">
        <f>SUMIFS($AV$3:AV77,$Q$3:Q77,"F")</f>
        <v>100.11428571428571</v>
      </c>
      <c r="BY76" s="87">
        <f>SUMIFS($AV$3:AV77,$Q$3:Q77,"S")</f>
        <v>143.63230256529494</v>
      </c>
      <c r="BZ76" s="87">
        <f>SUMIFS($AV$3:AV77,$Q$3:Q77,"O")</f>
        <v>0</v>
      </c>
    </row>
    <row r="77" spans="1:78" ht="18" customHeight="1">
      <c r="A77" s="45" t="s">
        <v>96</v>
      </c>
      <c r="B77" s="59">
        <v>45313</v>
      </c>
      <c r="C77" s="46" t="s">
        <v>414</v>
      </c>
      <c r="D77" s="46" t="s">
        <v>176</v>
      </c>
      <c r="E77" s="66"/>
      <c r="F77" s="47"/>
      <c r="G77" s="48" t="s">
        <v>276</v>
      </c>
      <c r="H77" s="49"/>
      <c r="I77" s="49"/>
      <c r="J77" s="49"/>
      <c r="K77" s="50"/>
      <c r="L77" s="49"/>
      <c r="M77" s="49"/>
      <c r="N77" s="49"/>
      <c r="O77" s="50"/>
      <c r="P77" s="50"/>
      <c r="Q77" s="50"/>
      <c r="R77" s="50"/>
      <c r="S77" s="50"/>
      <c r="T77" s="50"/>
      <c r="U77" s="50"/>
      <c r="V77" s="50"/>
      <c r="W77" s="50"/>
      <c r="X77" s="50"/>
      <c r="Y77" s="51"/>
      <c r="Z77" s="52"/>
      <c r="AA77" s="52"/>
      <c r="AB77" s="52"/>
      <c r="AC77" s="52"/>
      <c r="AD77" s="231"/>
      <c r="AE77" s="49"/>
      <c r="AF77" s="84"/>
      <c r="AG77" s="49"/>
      <c r="AH77" s="49"/>
      <c r="AI77" s="49"/>
      <c r="AJ77" s="226"/>
      <c r="AK77" s="49"/>
      <c r="AL77" s="113">
        <f t="shared" si="13"/>
        <v>0</v>
      </c>
      <c r="AM77" s="113">
        <f t="shared" si="11"/>
        <v>0</v>
      </c>
      <c r="AN77" s="218"/>
      <c r="AO77" s="49"/>
      <c r="AP77" s="49"/>
      <c r="AQ77" s="84" t="str">
        <f>UPPER(RIGHT(Journal_Live[[#This Row],[DURATION ]]))</f>
        <v/>
      </c>
      <c r="AR77" s="49"/>
      <c r="AS77" s="55"/>
      <c r="AT77" s="55"/>
      <c r="AU77" s="54"/>
      <c r="AV77" s="56"/>
      <c r="AW77" s="57"/>
      <c r="AX77" s="96"/>
      <c r="AY77" s="96"/>
      <c r="AZ77" s="96"/>
      <c r="BA77" s="96"/>
      <c r="BB77" s="96"/>
      <c r="BC77" s="96"/>
      <c r="BD77" s="96"/>
      <c r="BE77" s="96"/>
      <c r="BF77" s="100"/>
      <c r="BG77" s="94">
        <f>SUM($AV$4:AV77)</f>
        <v>451.74658827958046</v>
      </c>
      <c r="BH77" s="95">
        <f>SUM($AU$4:AU77)</f>
        <v>4438.4000000000005</v>
      </c>
      <c r="BI77" s="80">
        <f>SUMIFS($AU$3:AU78,$Q$3:Q78,"F")</f>
        <v>2486.4</v>
      </c>
      <c r="BJ77" s="80">
        <f>SUMIFS($AU$3:AU78,$Q$3:Q78,"S")</f>
        <v>1696.0000000000007</v>
      </c>
      <c r="BK77" s="87">
        <f>SUMIFS($AU$3:AU78,$P$3:P78,"W")</f>
        <v>2502.4000000000005</v>
      </c>
      <c r="BL77" s="87">
        <f>SUMIFS($AU$3:AU78,$P$3:P78,"R")</f>
        <v>1840.0000000000002</v>
      </c>
      <c r="BM77" s="87">
        <f>SUMIFS($AU$3:AU78,$AQ$3:AQ78,"M")</f>
        <v>976.00000000000023</v>
      </c>
      <c r="BN77" s="87">
        <f>SUMIFS($AU$3:AU78,$AQ$3:AQ78,"H")</f>
        <v>543.99999999999977</v>
      </c>
      <c r="BO77" s="87">
        <f>SUMIFS($AU$3:AU78,$AQ$3:AQ78,"D")</f>
        <v>1504.0000000000005</v>
      </c>
      <c r="BP77" s="87">
        <f>SUMIFS($AU$3:AU80,$AQ$3:AQ80,"W")</f>
        <v>1414.3999999999999</v>
      </c>
      <c r="BQ77" s="87">
        <f>SUMIFS($AU$3:AU78,$Q$3:Q78,"O")</f>
        <v>0</v>
      </c>
      <c r="BR77" s="87">
        <f>SUMIFS($AU$3:AU78,$AA$3:AA78,"*")</f>
        <v>4422.4000000000005</v>
      </c>
      <c r="BS77" s="87">
        <f>SUMIFS($AU$3:AU78,$AB$3:AB78,"*")</f>
        <v>639.99999999999943</v>
      </c>
      <c r="BT77" s="87">
        <f>SUMIFS($AU$3:AU78,$AC$3:AC78,"*")</f>
        <v>1782.3999999999999</v>
      </c>
      <c r="BU77" s="87">
        <f>SUMIFS($AU$3:AU78,$AA$3:AA78,"*",$AB$3:AB78,"*")</f>
        <v>367.9999999999996</v>
      </c>
      <c r="BV77" s="87">
        <f>SUMIFS($AU$3:AU78,$AA$3:AA78,"*",$AC$3:AC78,"*")</f>
        <v>2038.3999999999999</v>
      </c>
      <c r="BW77" s="87">
        <f>SUMIFS($AU$3:AU78,$AB$3:AB78,"*",$AC$3:AC78,"*")</f>
        <v>272.00000000000006</v>
      </c>
      <c r="BX77" s="87">
        <f>SUMIFS($AV$3:AV78,$Q$3:Q78,"F")</f>
        <v>100.11428571428571</v>
      </c>
      <c r="BY77" s="87">
        <f>SUMIFS($AV$3:AV78,$Q$3:Q78,"S")</f>
        <v>143.63230256529494</v>
      </c>
      <c r="BZ77" s="87">
        <f>SUMIFS($AV$3:AV78,$Q$3:Q78,"O")</f>
        <v>0</v>
      </c>
    </row>
    <row r="78" spans="1:78" ht="18" customHeight="1">
      <c r="A78" s="45" t="s">
        <v>96</v>
      </c>
      <c r="B78" s="59">
        <v>45315</v>
      </c>
      <c r="C78" s="46" t="s">
        <v>417</v>
      </c>
      <c r="D78" s="46" t="s">
        <v>186</v>
      </c>
      <c r="E78" s="66"/>
      <c r="F78" s="47"/>
      <c r="G78" s="71" t="s">
        <v>362</v>
      </c>
      <c r="H78" s="49"/>
      <c r="I78" s="49"/>
      <c r="J78" s="49"/>
      <c r="K78" s="50"/>
      <c r="L78" s="49">
        <v>1</v>
      </c>
      <c r="M78" s="49">
        <v>1</v>
      </c>
      <c r="N78" s="49"/>
      <c r="O78" s="50" t="s">
        <v>363</v>
      </c>
      <c r="P78" s="50" t="s">
        <v>126</v>
      </c>
      <c r="Q78" s="50"/>
      <c r="R78" s="50">
        <v>2</v>
      </c>
      <c r="S78" s="50">
        <v>0</v>
      </c>
      <c r="T78" s="50">
        <v>1</v>
      </c>
      <c r="U78" s="50" t="s">
        <v>102</v>
      </c>
      <c r="V78" s="50"/>
      <c r="W78" s="50"/>
      <c r="X78" s="50"/>
      <c r="Y78" s="51">
        <f>IF(ISBLANK(O78),"",(IF(O78=UPPER("IB"),0.005,0.01)))</f>
        <v>0.01</v>
      </c>
      <c r="Z78" s="52">
        <f>IF(ISBLANK(O78),"",IF(O78="IB",8.63*200,IF(O78="IR",16*100,IF(O78="YT",20*100,IF(O78="YT-XT",24*200,IF(O78="TED",80*100))))))</f>
        <v>8000</v>
      </c>
      <c r="AA78" s="52" t="s">
        <v>177</v>
      </c>
      <c r="AB78" s="52"/>
      <c r="AC78" s="52"/>
      <c r="AD78" s="231">
        <v>-5.0000000000000001E-3</v>
      </c>
      <c r="AE78" s="49"/>
      <c r="AF78" s="84"/>
      <c r="AG78" s="49"/>
      <c r="AH78" s="49"/>
      <c r="AI78" s="49"/>
      <c r="AJ78" s="226"/>
      <c r="AK78" s="49"/>
      <c r="AL78" s="113">
        <f t="shared" ref="AL78:AL123" si="14">-0.02*Z78</f>
        <v>-160</v>
      </c>
      <c r="AM78" s="113">
        <f t="shared" si="11"/>
        <v>-320</v>
      </c>
      <c r="AN78" s="218"/>
      <c r="AO78" s="49"/>
      <c r="AP78" s="49"/>
      <c r="AQ78" s="84" t="s">
        <v>142</v>
      </c>
      <c r="AR78" s="49" t="s">
        <v>418</v>
      </c>
      <c r="AS78" s="55">
        <f>(0*1+(-0.01*1))/2</f>
        <v>-5.0000000000000001E-3</v>
      </c>
      <c r="AT78" s="55">
        <f>IF(ISBLANK(AS78),,IF(U78="S",AD78-AS78,AS78-AD78))</f>
        <v>0</v>
      </c>
      <c r="AU78" s="54">
        <f>AV78*R78</f>
        <v>0</v>
      </c>
      <c r="AV78" s="56">
        <f>IF(ISBLANK(AS78),,(AT78*Z78))</f>
        <v>0</v>
      </c>
      <c r="AW78" s="57" t="s">
        <v>155</v>
      </c>
      <c r="AX78" s="96" t="s">
        <v>419</v>
      </c>
      <c r="AY78" s="96"/>
      <c r="AZ78" s="96"/>
      <c r="BA78" s="96"/>
      <c r="BB78" s="96"/>
      <c r="BC78" s="96"/>
      <c r="BD78" s="96"/>
      <c r="BE78" s="96"/>
      <c r="BF78" s="100"/>
      <c r="BG78" s="94">
        <f>SUM($AV$4:AV78)</f>
        <v>451.74658827958046</v>
      </c>
      <c r="BH78" s="95">
        <f>SUM($AU$4:AU78)</f>
        <v>4438.4000000000005</v>
      </c>
      <c r="BI78" s="80">
        <f>SUMIFS($AU$3:AU101,$Q$3:Q101,"F")</f>
        <v>2486.4</v>
      </c>
      <c r="BJ78" s="80">
        <f>SUMIFS($AU$3:AU101,$Q$3:Q101,"S")</f>
        <v>1776.0000000000018</v>
      </c>
      <c r="BK78" s="87">
        <f>SUMIFS($AU$3:AU101,$P$3:P101,"W")</f>
        <v>2582.4000000000015</v>
      </c>
      <c r="BL78" s="87">
        <f>SUMIFS($AU$3:AU101,$P$3:P101,"R")</f>
        <v>2000.0000000000002</v>
      </c>
      <c r="BM78" s="87">
        <f>SUMIFS($AU$3:AU101,$AQ$3:AQ101,"M")</f>
        <v>1341.9999999999686</v>
      </c>
      <c r="BN78" s="87">
        <f>SUMIFS($AU$3:AU101,$AQ$3:AQ101,"H")</f>
        <v>784.00000000000102</v>
      </c>
      <c r="BO78" s="87">
        <f>SUMIFS($AU$3:AU101,$AQ$3:AQ101,"D")</f>
        <v>1504.0000000000005</v>
      </c>
      <c r="BP78" s="87">
        <f>SUMIFS($AU$3:AU81,$AQ$3:AQ81,"W")</f>
        <v>1414.3999999999999</v>
      </c>
      <c r="BQ78" s="87">
        <f>SUMIFS($AU$3:AU79,$Q$3:Q79,"O")</f>
        <v>0</v>
      </c>
      <c r="BR78" s="87">
        <f>SUMIFS($AU$3:AU79,$AA$3:AA79,"*")</f>
        <v>4422.4000000000005</v>
      </c>
      <c r="BS78" s="87">
        <f>SUMIFS($AU$3:AU79,$AB$3:AB79,"*")</f>
        <v>639.99999999999943</v>
      </c>
      <c r="BT78" s="87">
        <f>SUMIFS($AU$3:AU79,$AC$3:AC79,"*")</f>
        <v>1782.3999999999999</v>
      </c>
      <c r="BU78" s="87">
        <f>SUMIFS($AU$3:AU79,$AA$3:AA79,"*",$AB$3:AB79,"*")</f>
        <v>367.9999999999996</v>
      </c>
      <c r="BV78" s="87">
        <f>SUMIFS($AU$3:AU79,$AA$3:AA79,"*",$AC$3:AC79,"*")</f>
        <v>2038.3999999999999</v>
      </c>
      <c r="BW78" s="87">
        <f>SUMIFS($AU$3:AU79,$AB$3:AB79,"*",$AC$3:AC79,"*")</f>
        <v>272.00000000000006</v>
      </c>
      <c r="BX78" s="87">
        <f>SUMIFS($AV$3:AV79,$Q$3:Q79,"F")</f>
        <v>100.11428571428571</v>
      </c>
      <c r="BY78" s="87">
        <f>SUMIFS($AV$3:AV79,$Q$3:Q79,"S")</f>
        <v>143.63230256529494</v>
      </c>
      <c r="BZ78" s="87">
        <f>SUMIFS($AV$3:AV79,$Q$3:Q79,"O")</f>
        <v>0</v>
      </c>
    </row>
    <row r="79" spans="1:78" ht="18" customHeight="1">
      <c r="A79" s="45" t="s">
        <v>96</v>
      </c>
      <c r="B79" s="59">
        <v>45315</v>
      </c>
      <c r="C79" s="46" t="s">
        <v>420</v>
      </c>
      <c r="D79" s="46" t="s">
        <v>186</v>
      </c>
      <c r="E79" s="66" t="s">
        <v>421</v>
      </c>
      <c r="F79" s="47"/>
      <c r="G79" s="71" t="s">
        <v>362</v>
      </c>
      <c r="H79" s="49"/>
      <c r="I79" s="49"/>
      <c r="J79" s="49"/>
      <c r="K79" s="50"/>
      <c r="L79" s="49">
        <v>1</v>
      </c>
      <c r="M79" s="49">
        <v>1</v>
      </c>
      <c r="N79" s="49"/>
      <c r="O79" s="50" t="s">
        <v>363</v>
      </c>
      <c r="P79" s="50" t="s">
        <v>126</v>
      </c>
      <c r="Q79" s="50"/>
      <c r="R79" s="50">
        <v>1</v>
      </c>
      <c r="S79" s="50">
        <v>0</v>
      </c>
      <c r="T79" s="50">
        <v>1</v>
      </c>
      <c r="U79" s="50" t="s">
        <v>102</v>
      </c>
      <c r="V79" s="50"/>
      <c r="W79" s="50"/>
      <c r="X79" s="50"/>
      <c r="Y79" s="51">
        <f>IF(ISBLANK(O79),"",(IF(O79=UPPER("IB"),0.005,0.01)))</f>
        <v>0.01</v>
      </c>
      <c r="Z79" s="52">
        <f>IF(ISBLANK(O79),"",IF(O79="IB",8.63*200,IF(O79="IR",16*100,IF(O79="YT",20*100,IF(O79="YT-XT",24*200,IF(O79="TED",80*100))))))</f>
        <v>8000</v>
      </c>
      <c r="AA79" s="52" t="s">
        <v>177</v>
      </c>
      <c r="AB79" s="52"/>
      <c r="AC79" s="52"/>
      <c r="AD79" s="231">
        <v>0</v>
      </c>
      <c r="AE79" s="49"/>
      <c r="AF79" s="84"/>
      <c r="AG79" s="49"/>
      <c r="AH79" s="49"/>
      <c r="AI79" s="49"/>
      <c r="AJ79" s="226"/>
      <c r="AK79" s="49"/>
      <c r="AL79" s="113">
        <f>-0.03*Z79</f>
        <v>-240</v>
      </c>
      <c r="AM79" s="113">
        <f t="shared" si="11"/>
        <v>-240</v>
      </c>
      <c r="AN79" s="218"/>
      <c r="AO79" s="49"/>
      <c r="AP79" s="49" t="s">
        <v>422</v>
      </c>
      <c r="AQ79" s="84" t="s">
        <v>142</v>
      </c>
      <c r="AR79" s="74" t="s">
        <v>423</v>
      </c>
      <c r="AS79" s="55">
        <v>0</v>
      </c>
      <c r="AT79" s="55">
        <f>IF(ISBLANK(AS79),,IF(U79="S",AD79-AS79,AS79-AD79))</f>
        <v>0</v>
      </c>
      <c r="AU79" s="54">
        <f>AV79*R79</f>
        <v>0</v>
      </c>
      <c r="AV79" s="56">
        <f>IF(ISBLANK(AS79),,(AT79*Z79))</f>
        <v>0</v>
      </c>
      <c r="AW79" s="57" t="s">
        <v>155</v>
      </c>
      <c r="AX79" s="96" t="s">
        <v>424</v>
      </c>
      <c r="AY79" s="96" t="s">
        <v>425</v>
      </c>
      <c r="AZ79" s="96"/>
      <c r="BA79" s="96"/>
      <c r="BB79" s="96"/>
      <c r="BC79" s="96"/>
      <c r="BD79" s="96"/>
      <c r="BE79" s="96"/>
      <c r="BF79" s="100"/>
      <c r="BG79" s="94">
        <f>SUM($AV$4:AV79)</f>
        <v>451.74658827958046</v>
      </c>
      <c r="BH79" s="95">
        <f>SUM($AU$4:AU79)</f>
        <v>4438.4000000000005</v>
      </c>
      <c r="BI79" s="80">
        <f>SUMIFS($AU$3:AU80,$Q$3:Q80,"F")</f>
        <v>2486.4</v>
      </c>
      <c r="BJ79" s="80">
        <f>SUMIFS($AU$3:AU80,$Q$3:Q80,"S")</f>
        <v>1696.0000000000007</v>
      </c>
      <c r="BK79" s="87">
        <f>SUMIFS($AU$3:AU80,$P$3:P80,"W")</f>
        <v>2502.4000000000005</v>
      </c>
      <c r="BL79" s="87">
        <f>SUMIFS($AU$3:AU80,$P$3:P80,"R")</f>
        <v>1840.0000000000002</v>
      </c>
      <c r="BM79" s="87">
        <f>SUMIFS($AU$3:AU80,$AQ$3:AQ80,"M")</f>
        <v>976.00000000000023</v>
      </c>
      <c r="BN79" s="87">
        <f>SUMIFS($AU$3:AU80,$AQ$3:AQ80,"H")</f>
        <v>543.99999999999977</v>
      </c>
      <c r="BO79" s="87">
        <f>SUMIFS($AU$3:AU80,$AQ$3:AQ80,"D")</f>
        <v>1504.0000000000005</v>
      </c>
      <c r="BP79" s="87">
        <f>SUMIFS($AU$3:AU82,$AQ$3:AQ82,"W")</f>
        <v>1414.3999999999999</v>
      </c>
      <c r="BQ79" s="87">
        <f>SUMIFS($AU$3:AU80,$Q$3:Q80,"O")</f>
        <v>0</v>
      </c>
      <c r="BR79" s="87">
        <f>SUMIFS($AU$3:AU80,$AA$3:AA80,"*")</f>
        <v>4422.4000000000005</v>
      </c>
      <c r="BS79" s="87">
        <f>SUMIFS($AU$3:AU80,$AB$3:AB80,"*")</f>
        <v>639.99999999999943</v>
      </c>
      <c r="BT79" s="87">
        <f>SUMIFS($AU$3:AU80,$AC$3:AC80,"*")</f>
        <v>1782.3999999999999</v>
      </c>
      <c r="BU79" s="87">
        <f>SUMIFS($AU$3:AU80,$AA$3:AA80,"*",$AB$3:AB80,"*")</f>
        <v>367.9999999999996</v>
      </c>
      <c r="BV79" s="87">
        <f>SUMIFS($AU$3:AU80,$AA$3:AA80,"*",$AC$3:AC80,"*")</f>
        <v>2038.3999999999999</v>
      </c>
      <c r="BW79" s="87">
        <f>SUMIFS($AU$3:AU80,$AB$3:AB80,"*",$AC$3:AC80,"*")</f>
        <v>272.00000000000006</v>
      </c>
      <c r="BX79" s="87">
        <f>SUMIFS($AV$3:AV80,$Q$3:Q80,"F")</f>
        <v>100.11428571428571</v>
      </c>
      <c r="BY79" s="87">
        <f>SUMIFS($AV$3:AV80,$Q$3:Q80,"S")</f>
        <v>143.63230256529494</v>
      </c>
      <c r="BZ79" s="87">
        <f>SUMIFS($AV$3:AV80,$Q$3:Q80,"O")</f>
        <v>0</v>
      </c>
    </row>
    <row r="80" spans="1:78" ht="18" customHeight="1">
      <c r="A80" s="45" t="s">
        <v>96</v>
      </c>
      <c r="B80" s="59">
        <v>45315</v>
      </c>
      <c r="C80" s="46" t="s">
        <v>426</v>
      </c>
      <c r="D80" s="46" t="s">
        <v>186</v>
      </c>
      <c r="E80" s="66"/>
      <c r="F80" s="47"/>
      <c r="G80" s="48"/>
      <c r="H80" s="49"/>
      <c r="I80" s="49"/>
      <c r="J80" s="49"/>
      <c r="K80" s="50"/>
      <c r="L80" s="49"/>
      <c r="M80" s="49"/>
      <c r="N80" s="49"/>
      <c r="O80" s="50"/>
      <c r="P80" s="50"/>
      <c r="Q80" s="50"/>
      <c r="R80" s="50"/>
      <c r="S80" s="50"/>
      <c r="T80" s="50"/>
      <c r="U80" s="50"/>
      <c r="V80" s="50"/>
      <c r="W80" s="50"/>
      <c r="X80" s="50"/>
      <c r="Y80" s="50"/>
      <c r="Z80" s="50"/>
      <c r="AA80" s="52"/>
      <c r="AB80" s="52"/>
      <c r="AC80" s="52"/>
      <c r="AD80" s="231"/>
      <c r="AE80" s="49"/>
      <c r="AF80" s="84"/>
      <c r="AG80" s="49"/>
      <c r="AH80" s="49"/>
      <c r="AI80" s="49"/>
      <c r="AJ80" s="226"/>
      <c r="AK80" s="49"/>
      <c r="AL80" s="113">
        <f t="shared" ref="AL80:AL100" si="15">-0.02*Z80</f>
        <v>0</v>
      </c>
      <c r="AM80" s="113">
        <f t="shared" si="11"/>
        <v>0</v>
      </c>
      <c r="AN80" s="218"/>
      <c r="AO80" s="49"/>
      <c r="AP80" s="49"/>
      <c r="AQ80" s="84" t="str">
        <f>UPPER(RIGHT(Journal_Live[[#This Row],[DURATION ]]))</f>
        <v/>
      </c>
      <c r="AR80" s="49"/>
      <c r="AS80" s="55"/>
      <c r="AT80" s="55"/>
      <c r="AU80" s="54"/>
      <c r="AV80" s="56"/>
      <c r="AW80" s="57"/>
      <c r="AX80" s="96"/>
      <c r="AY80" s="96"/>
      <c r="AZ80" s="96"/>
      <c r="BA80" s="96"/>
      <c r="BB80" s="96"/>
      <c r="BC80" s="96"/>
      <c r="BD80" s="96"/>
      <c r="BE80" s="96"/>
      <c r="BF80" s="100"/>
      <c r="BG80" s="94">
        <f>SUM($AV$4:AV80)</f>
        <v>451.74658827958046</v>
      </c>
      <c r="BH80" s="95">
        <f>SUM($AU$4:AU80)</f>
        <v>4438.4000000000005</v>
      </c>
      <c r="BI80" s="80">
        <f>SUMIFS($AU$3:AU81,$Q$3:Q81,"F")</f>
        <v>2486.4</v>
      </c>
      <c r="BJ80" s="80">
        <f>SUMIFS($AU$3:AU81,$Q$3:Q81,"S")</f>
        <v>1696.0000000000007</v>
      </c>
      <c r="BK80" s="87">
        <f>SUMIFS($AU$3:AU81,$P$3:P81,"W")</f>
        <v>2502.4000000000005</v>
      </c>
      <c r="BL80" s="87">
        <f>SUMIFS($AU$3:AU81,$P$3:P81,"R")</f>
        <v>1840.0000000000002</v>
      </c>
      <c r="BM80" s="87">
        <f>SUMIFS($AU$3:AU81,$AQ$3:AQ81,"M")</f>
        <v>976.00000000000023</v>
      </c>
      <c r="BN80" s="87">
        <f>SUMIFS($AU$3:AU81,$AQ$3:AQ81,"H")</f>
        <v>543.99999999999977</v>
      </c>
      <c r="BO80" s="87">
        <f>SUMIFS($AU$3:AU81,$AQ$3:AQ81,"D")</f>
        <v>1504.0000000000005</v>
      </c>
      <c r="BP80" s="87">
        <f>SUMIFS($AU$3:AU83,$AQ$3:AQ83,"W")</f>
        <v>1414.3999999999999</v>
      </c>
      <c r="BQ80" s="87">
        <f>SUMIFS($AU$3:AU81,$Q$3:Q81,"O")</f>
        <v>0</v>
      </c>
      <c r="BR80" s="87">
        <f>SUMIFS($AU$3:AU81,$AA$3:AA81,"*")</f>
        <v>4422.4000000000005</v>
      </c>
      <c r="BS80" s="87">
        <f>SUMIFS($AU$3:AU81,$AB$3:AB81,"*")</f>
        <v>639.99999999999943</v>
      </c>
      <c r="BT80" s="87">
        <f>SUMIFS($AU$3:AU81,$AC$3:AC81,"*")</f>
        <v>1782.3999999999999</v>
      </c>
      <c r="BU80" s="87">
        <f>SUMIFS($AU$3:AU81,$AA$3:AA81,"*",$AB$3:AB81,"*")</f>
        <v>367.9999999999996</v>
      </c>
      <c r="BV80" s="87">
        <f>SUMIFS($AU$3:AU81,$AA$3:AA81,"*",$AC$3:AC81,"*")</f>
        <v>2038.3999999999999</v>
      </c>
      <c r="BW80" s="87">
        <f>SUMIFS($AU$3:AU81,$AB$3:AB81,"*",$AC$3:AC81,"*")</f>
        <v>272.00000000000006</v>
      </c>
      <c r="BX80" s="87">
        <f>SUMIFS($AV$3:AV81,$Q$3:Q81,"F")</f>
        <v>100.11428571428571</v>
      </c>
      <c r="BY80" s="87">
        <f>SUMIFS($AV$3:AV81,$Q$3:Q81,"S")</f>
        <v>143.63230256529494</v>
      </c>
      <c r="BZ80" s="87">
        <f>SUMIFS($AV$3:AV81,$Q$3:Q81,"O")</f>
        <v>0</v>
      </c>
    </row>
    <row r="81" spans="1:78" ht="18" customHeight="1">
      <c r="A81" s="45" t="s">
        <v>96</v>
      </c>
      <c r="B81" s="59">
        <v>45315</v>
      </c>
      <c r="C81" s="46" t="s">
        <v>152</v>
      </c>
      <c r="D81" s="46" t="s">
        <v>186</v>
      </c>
      <c r="E81" s="66"/>
      <c r="F81" s="47"/>
      <c r="G81" s="48" t="s">
        <v>113</v>
      </c>
      <c r="H81" s="49"/>
      <c r="I81" s="49"/>
      <c r="J81" s="49"/>
      <c r="K81" s="50"/>
      <c r="L81" s="49"/>
      <c r="M81" s="49"/>
      <c r="N81" s="49"/>
      <c r="O81" s="50"/>
      <c r="P81" s="50"/>
      <c r="Q81" s="50"/>
      <c r="R81" s="50"/>
      <c r="S81" s="50"/>
      <c r="T81" s="50"/>
      <c r="U81" s="50"/>
      <c r="V81" s="50"/>
      <c r="W81" s="50"/>
      <c r="X81" s="50"/>
      <c r="Y81" s="51"/>
      <c r="Z81" s="52"/>
      <c r="AA81" s="52"/>
      <c r="AB81" s="52"/>
      <c r="AC81" s="52"/>
      <c r="AD81" s="231"/>
      <c r="AE81" s="49"/>
      <c r="AF81" s="84"/>
      <c r="AG81" s="49"/>
      <c r="AH81" s="49"/>
      <c r="AI81" s="49"/>
      <c r="AJ81" s="226"/>
      <c r="AK81" s="49"/>
      <c r="AL81" s="113">
        <f>-0.015*Z81</f>
        <v>0</v>
      </c>
      <c r="AM81" s="113">
        <f t="shared" si="11"/>
        <v>0</v>
      </c>
      <c r="AN81" s="218"/>
      <c r="AO81" s="49"/>
      <c r="AP81" s="49"/>
      <c r="AQ81" s="84" t="str">
        <f>UPPER(RIGHT(Journal_Live[[#This Row],[DURATION ]]))</f>
        <v/>
      </c>
      <c r="AR81" s="49"/>
      <c r="AS81" s="55"/>
      <c r="AT81" s="55"/>
      <c r="AU81" s="54"/>
      <c r="AV81" s="56"/>
      <c r="AW81" s="57"/>
      <c r="AX81" s="96" t="s">
        <v>427</v>
      </c>
      <c r="AY81" s="96"/>
      <c r="AZ81" s="96"/>
      <c r="BA81" s="96"/>
      <c r="BB81" s="96"/>
      <c r="BC81" s="96"/>
      <c r="BD81" s="96"/>
      <c r="BE81" s="96"/>
      <c r="BF81" s="100"/>
      <c r="BG81" s="94">
        <f>SUM($AV$4:AV81)</f>
        <v>451.74658827958046</v>
      </c>
      <c r="BH81" s="95">
        <f>SUM($AU$4:AU81)</f>
        <v>4438.4000000000005</v>
      </c>
      <c r="BI81" s="80">
        <f>SUMIFS($AU$3:AU100,$Q$3:Q100,"F")</f>
        <v>2486.4</v>
      </c>
      <c r="BJ81" s="80">
        <f>SUMIFS($AU$3:AU100,$Q$3:Q100,"S")</f>
        <v>1776.0000000000018</v>
      </c>
      <c r="BK81" s="87">
        <f>SUMIFS($AU$3:AU100,$P$3:P100,"W")</f>
        <v>2582.4000000000015</v>
      </c>
      <c r="BL81" s="87">
        <f>SUMIFS($AU$3:AU100,$P$3:P100,"R")</f>
        <v>2000.0000000000002</v>
      </c>
      <c r="BM81" s="87">
        <f>SUMIFS($AU$3:AU100,$AQ$3:AQ100,"M")</f>
        <v>1381.9999999999607</v>
      </c>
      <c r="BN81" s="87">
        <f>SUMIFS($AU$3:AU100,$AQ$3:AQ100,"H")</f>
        <v>784.00000000000102</v>
      </c>
      <c r="BO81" s="87">
        <f>SUMIFS($AU$3:AU100,$AQ$3:AQ100,"D")</f>
        <v>1504.0000000000005</v>
      </c>
      <c r="BP81" s="87">
        <f>SUMIFS($AU$3:AU84,$AQ$3:AQ84,"W")</f>
        <v>1414.3999999999999</v>
      </c>
      <c r="BQ81" s="87">
        <f>SUMIFS($AU$3:AU82,$Q$3:Q82,"O")</f>
        <v>0</v>
      </c>
      <c r="BR81" s="87">
        <f>SUMIFS($AU$3:AU82,$AA$3:AA82,"*")</f>
        <v>4422.4000000000005</v>
      </c>
      <c r="BS81" s="87">
        <f>SUMIFS($AU$3:AU82,$AB$3:AB82,"*")</f>
        <v>639.99999999999943</v>
      </c>
      <c r="BT81" s="87">
        <f>SUMIFS($AU$3:AU82,$AC$3:AC82,"*")</f>
        <v>1782.3999999999999</v>
      </c>
      <c r="BU81" s="87">
        <f>SUMIFS($AU$3:AU82,$AA$3:AA82,"*",$AB$3:AB82,"*")</f>
        <v>367.9999999999996</v>
      </c>
      <c r="BV81" s="87">
        <f>SUMIFS($AU$3:AU82,$AA$3:AA82,"*",$AC$3:AC82,"*")</f>
        <v>2038.3999999999999</v>
      </c>
      <c r="BW81" s="87">
        <f>SUMIFS($AU$3:AU82,$AB$3:AB82,"*",$AC$3:AC82,"*")</f>
        <v>272.00000000000006</v>
      </c>
      <c r="BX81" s="87">
        <f>SUMIFS($AV$3:AV82,$Q$3:Q82,"F")</f>
        <v>100.11428571428571</v>
      </c>
      <c r="BY81" s="87">
        <f>SUMIFS($AV$3:AV82,$Q$3:Q82,"S")</f>
        <v>143.63230256529494</v>
      </c>
      <c r="BZ81" s="87">
        <f>SUMIFS($AV$3:AV82,$Q$3:Q82,"O")</f>
        <v>0</v>
      </c>
    </row>
    <row r="82" spans="1:78" ht="18" customHeight="1">
      <c r="A82" s="45" t="s">
        <v>96</v>
      </c>
      <c r="B82" s="59">
        <v>45316</v>
      </c>
      <c r="C82" s="46" t="s">
        <v>139</v>
      </c>
      <c r="D82" s="46" t="s">
        <v>107</v>
      </c>
      <c r="E82" s="66" t="s">
        <v>428</v>
      </c>
      <c r="F82" s="47" t="s">
        <v>429</v>
      </c>
      <c r="G82" s="48"/>
      <c r="H82" s="49"/>
      <c r="I82" s="49"/>
      <c r="J82" s="49"/>
      <c r="K82" s="50"/>
      <c r="L82" s="49"/>
      <c r="M82" s="49"/>
      <c r="N82" s="49"/>
      <c r="O82" s="50"/>
      <c r="P82" s="50"/>
      <c r="Q82" s="50"/>
      <c r="R82" s="50"/>
      <c r="S82" s="50"/>
      <c r="T82" s="50"/>
      <c r="U82" s="50"/>
      <c r="V82" s="50"/>
      <c r="W82" s="50"/>
      <c r="X82" s="50"/>
      <c r="Y82" s="50"/>
      <c r="Z82" s="50"/>
      <c r="AA82" s="52"/>
      <c r="AB82" s="52"/>
      <c r="AC82" s="52"/>
      <c r="AD82" s="231"/>
      <c r="AE82" s="49"/>
      <c r="AF82" s="84"/>
      <c r="AG82" s="49"/>
      <c r="AH82" s="49"/>
      <c r="AI82" s="49"/>
      <c r="AJ82" s="226"/>
      <c r="AK82" s="49"/>
      <c r="AL82" s="113">
        <f>-0.02*Z82</f>
        <v>0</v>
      </c>
      <c r="AM82" s="113">
        <f t="shared" si="11"/>
        <v>0</v>
      </c>
      <c r="AN82" s="218"/>
      <c r="AO82" s="49"/>
      <c r="AP82" s="49"/>
      <c r="AQ82" s="84" t="str">
        <f>UPPER(RIGHT(Journal_Live[[#This Row],[DURATION ]]))</f>
        <v/>
      </c>
      <c r="AR82" s="49"/>
      <c r="AS82" s="55"/>
      <c r="AT82" s="55"/>
      <c r="AU82" s="54"/>
      <c r="AV82" s="56"/>
      <c r="AW82" s="57"/>
      <c r="AX82" s="96"/>
      <c r="AY82" s="96"/>
      <c r="AZ82" s="96"/>
      <c r="BA82" s="96"/>
      <c r="BB82" s="96"/>
      <c r="BC82" s="96"/>
      <c r="BD82" s="96"/>
      <c r="BE82" s="96"/>
      <c r="BF82" s="100"/>
      <c r="BG82" s="94">
        <f>SUM($AV$4:AV82)</f>
        <v>451.74658827958046</v>
      </c>
      <c r="BH82" s="95">
        <f>SUM($AU$4:AU82)</f>
        <v>4438.4000000000005</v>
      </c>
      <c r="BI82" s="80">
        <f>SUMIFS($AU$3:AU83,$Q$3:Q83,"F")</f>
        <v>2486.4</v>
      </c>
      <c r="BJ82" s="80">
        <f>SUMIFS($AU$3:AU83,$Q$3:Q83,"S")</f>
        <v>1696.0000000000007</v>
      </c>
      <c r="BK82" s="87">
        <f>SUMIFS($AU$3:AU83,$P$3:P83,"W")</f>
        <v>2502.4000000000005</v>
      </c>
      <c r="BL82" s="87">
        <f>SUMIFS($AU$3:AU83,$P$3:P83,"R")</f>
        <v>1840.0000000000002</v>
      </c>
      <c r="BM82" s="87">
        <f>SUMIFS($AU$3:AU83,$AQ$3:AQ83,"M")</f>
        <v>976.00000000000023</v>
      </c>
      <c r="BN82" s="87">
        <f>SUMIFS($AU$3:AU83,$AQ$3:AQ83,"H")</f>
        <v>543.99999999999977</v>
      </c>
      <c r="BO82" s="87">
        <f>SUMIFS($AU$3:AU83,$AQ$3:AQ83,"D")</f>
        <v>1504.0000000000005</v>
      </c>
      <c r="BP82" s="87">
        <f>SUMIFS($AU$3:AU85,$AQ$3:AQ85,"W")</f>
        <v>1414.3999999999999</v>
      </c>
      <c r="BQ82" s="87">
        <f>SUMIFS($AU$3:AU83,$Q$3:Q83,"O")</f>
        <v>0</v>
      </c>
      <c r="BR82" s="87">
        <f>SUMIFS($AU$3:AU83,$AA$3:AA83,"*")</f>
        <v>4422.4000000000005</v>
      </c>
      <c r="BS82" s="87">
        <f>SUMIFS($AU$3:AU83,$AB$3:AB83,"*")</f>
        <v>639.99999999999943</v>
      </c>
      <c r="BT82" s="87">
        <f>SUMIFS($AU$3:AU83,$AC$3:AC83,"*")</f>
        <v>1782.3999999999999</v>
      </c>
      <c r="BU82" s="87">
        <f>SUMIFS($AU$3:AU83,$AA$3:AA83,"*",$AB$3:AB83,"*")</f>
        <v>367.9999999999996</v>
      </c>
      <c r="BV82" s="87">
        <f>SUMIFS($AU$3:AU83,$AA$3:AA83,"*",$AC$3:AC83,"*")</f>
        <v>2038.3999999999999</v>
      </c>
      <c r="BW82" s="87">
        <f>SUMIFS($AU$3:AU83,$AB$3:AB83,"*",$AC$3:AC83,"*")</f>
        <v>272.00000000000006</v>
      </c>
      <c r="BX82" s="87">
        <f>SUMIFS($AV$3:AV83,$Q$3:Q83,"F")</f>
        <v>100.11428571428571</v>
      </c>
      <c r="BY82" s="87">
        <f>SUMIFS($AV$3:AV83,$Q$3:Q83,"S")</f>
        <v>143.63230256529494</v>
      </c>
      <c r="BZ82" s="87">
        <f>SUMIFS($AV$3:AV83,$Q$3:Q83,"O")</f>
        <v>0</v>
      </c>
    </row>
    <row r="83" spans="1:78" ht="18" customHeight="1">
      <c r="A83" s="45" t="s">
        <v>96</v>
      </c>
      <c r="B83" s="59"/>
      <c r="C83" s="46"/>
      <c r="D83" s="46"/>
      <c r="E83" s="66" t="s">
        <v>430</v>
      </c>
      <c r="F83" s="47" t="s">
        <v>431</v>
      </c>
      <c r="G83" s="48"/>
      <c r="H83" s="49"/>
      <c r="I83" s="49"/>
      <c r="J83" s="49"/>
      <c r="K83" s="50"/>
      <c r="L83" s="49"/>
      <c r="M83" s="49"/>
      <c r="N83" s="49"/>
      <c r="O83" s="50"/>
      <c r="P83" s="50"/>
      <c r="Q83" s="50"/>
      <c r="R83" s="50"/>
      <c r="S83" s="50"/>
      <c r="T83" s="50"/>
      <c r="U83" s="50"/>
      <c r="V83" s="50"/>
      <c r="W83" s="50"/>
      <c r="X83" s="50"/>
      <c r="Y83" s="50"/>
      <c r="Z83" s="50"/>
      <c r="AA83" s="52"/>
      <c r="AB83" s="52"/>
      <c r="AC83" s="52"/>
      <c r="AD83" s="231"/>
      <c r="AE83" s="49"/>
      <c r="AF83" s="84"/>
      <c r="AG83" s="49"/>
      <c r="AH83" s="49"/>
      <c r="AI83" s="49"/>
      <c r="AJ83" s="226"/>
      <c r="AK83" s="49"/>
      <c r="AL83" s="113">
        <f>-0.02*Z83</f>
        <v>0</v>
      </c>
      <c r="AM83" s="113">
        <f t="shared" si="11"/>
        <v>0</v>
      </c>
      <c r="AN83" s="218"/>
      <c r="AO83" s="49"/>
      <c r="AP83" s="49"/>
      <c r="AQ83" s="84" t="str">
        <f>UPPER(RIGHT(Journal_Live[[#This Row],[DURATION ]]))</f>
        <v/>
      </c>
      <c r="AR83" s="49"/>
      <c r="AS83" s="55"/>
      <c r="AT83" s="55"/>
      <c r="AU83" s="54"/>
      <c r="AV83" s="56"/>
      <c r="AW83" s="57"/>
      <c r="AX83" s="96"/>
      <c r="AY83" s="96"/>
      <c r="AZ83" s="96"/>
      <c r="BA83" s="96"/>
      <c r="BB83" s="96"/>
      <c r="BC83" s="96"/>
      <c r="BD83" s="96"/>
      <c r="BE83" s="96"/>
      <c r="BF83" s="100"/>
      <c r="BG83" s="94">
        <f>SUM($AV$4:AV83)</f>
        <v>451.74658827958046</v>
      </c>
      <c r="BH83" s="95">
        <f>SUM($AU$4:AU83)</f>
        <v>4438.4000000000005</v>
      </c>
      <c r="BI83" s="80">
        <f>SUMIFS($AU$3:AU84,$Q$3:Q84,"F")</f>
        <v>2486.4</v>
      </c>
      <c r="BJ83" s="80">
        <f>SUMIFS($AU$3:AU84,$Q$3:Q84,"S")</f>
        <v>1696.0000000000007</v>
      </c>
      <c r="BK83" s="87">
        <f>SUMIFS($AU$3:AU84,$P$3:P84,"W")</f>
        <v>2502.4000000000005</v>
      </c>
      <c r="BL83" s="87">
        <f>SUMIFS($AU$3:AU84,$P$3:P84,"R")</f>
        <v>1840.0000000000002</v>
      </c>
      <c r="BM83" s="87">
        <f>SUMIFS($AU$3:AU84,$AQ$3:AQ84,"M")</f>
        <v>1381.9999999999607</v>
      </c>
      <c r="BN83" s="87">
        <f>SUMIFS($AU$3:AU84,$AQ$3:AQ84,"H")</f>
        <v>543.99999999999977</v>
      </c>
      <c r="BO83" s="87">
        <f>SUMIFS($AU$3:AU84,$AQ$3:AQ84,"D")</f>
        <v>1504.0000000000005</v>
      </c>
      <c r="BP83" s="87">
        <f>SUMIFS($AU$3:AU86,$AQ$3:AQ86,"W")</f>
        <v>1414.3999999999999</v>
      </c>
      <c r="BQ83" s="87">
        <f>SUMIFS($AU$3:AU84,$Q$3:Q84,"O")</f>
        <v>405.99999999996044</v>
      </c>
      <c r="BR83" s="87">
        <f>SUMIFS($AU$3:AU84,$AA$3:AA84,"*")</f>
        <v>4828.3999999999614</v>
      </c>
      <c r="BS83" s="87">
        <f>SUMIFS($AU$3:AU84,$AB$3:AB84,"*")</f>
        <v>639.99999999999943</v>
      </c>
      <c r="BT83" s="87">
        <f>SUMIFS($AU$3:AU84,$AC$3:AC84,"*")</f>
        <v>1782.3999999999999</v>
      </c>
      <c r="BU83" s="87">
        <f>SUMIFS($AU$3:AU84,$AA$3:AA84,"*",$AB$3:AB84,"*")</f>
        <v>367.9999999999996</v>
      </c>
      <c r="BV83" s="87">
        <f>SUMIFS($AU$3:AU84,$AA$3:AA84,"*",$AC$3:AC84,"*")</f>
        <v>2038.3999999999999</v>
      </c>
      <c r="BW83" s="87">
        <f>SUMIFS($AU$3:AU84,$AB$3:AB84,"*",$AC$3:AC84,"*")</f>
        <v>272.00000000000006</v>
      </c>
      <c r="BX83" s="87">
        <f>SUMIFS($AV$3:AV84,$Q$3:Q84,"F")</f>
        <v>100.11428571428571</v>
      </c>
      <c r="BY83" s="87">
        <f>SUMIFS($AV$3:AV84,$Q$3:Q84,"S")</f>
        <v>143.63230256529494</v>
      </c>
      <c r="BZ83" s="87">
        <f>SUMIFS($AV$3:AV84,$Q$3:Q84,"O")</f>
        <v>202.99999999998022</v>
      </c>
    </row>
    <row r="84" spans="1:78" ht="18" customHeight="1">
      <c r="A84" s="45" t="s">
        <v>96</v>
      </c>
      <c r="B84" s="59">
        <v>45316</v>
      </c>
      <c r="C84" s="46" t="s">
        <v>432</v>
      </c>
      <c r="D84" s="46" t="s">
        <v>107</v>
      </c>
      <c r="E84" s="66"/>
      <c r="F84" s="47"/>
      <c r="G84" s="71" t="s">
        <v>195</v>
      </c>
      <c r="H84" s="49"/>
      <c r="I84" s="49"/>
      <c r="J84" s="49"/>
      <c r="K84" s="50"/>
      <c r="L84" s="49">
        <v>1</v>
      </c>
      <c r="M84" s="49"/>
      <c r="N84" s="49"/>
      <c r="O84" s="50" t="s">
        <v>196</v>
      </c>
      <c r="P84" s="50" t="s">
        <v>197</v>
      </c>
      <c r="Q84" s="50" t="s">
        <v>198</v>
      </c>
      <c r="R84" s="50">
        <v>2</v>
      </c>
      <c r="S84" s="50">
        <v>0</v>
      </c>
      <c r="T84" s="50">
        <v>1</v>
      </c>
      <c r="U84" s="50" t="s">
        <v>22</v>
      </c>
      <c r="V84" s="50"/>
      <c r="W84" s="50"/>
      <c r="X84" s="50"/>
      <c r="Y84" s="51">
        <f>IF(ISBLANK(O84),"",(IF(O84=UPPER("IB"),0.005,0.01)))</f>
        <v>0.01</v>
      </c>
      <c r="Z84" s="52">
        <f>IF(ISBLANK(O84),"",IF(O84="IB",8.63*200,IF(O84="IR",16*100,IF(O84="YT",20*100,IF(O84="YT-XT",24*200,IF(O84="TED",80*100,IF(O84="XT",29*200)))))))</f>
        <v>5800</v>
      </c>
      <c r="AA84" s="97" t="s">
        <v>433</v>
      </c>
      <c r="AB84" s="52"/>
      <c r="AC84" s="52"/>
      <c r="AD84" s="231">
        <v>95.704999999999998</v>
      </c>
      <c r="AE84" s="49"/>
      <c r="AF84" s="84"/>
      <c r="AG84" s="49"/>
      <c r="AH84" s="49"/>
      <c r="AI84" s="49"/>
      <c r="AJ84" s="226"/>
      <c r="AK84" s="49"/>
      <c r="AL84" s="113">
        <f>-0.02*Z84</f>
        <v>-116</v>
      </c>
      <c r="AM84" s="113">
        <f t="shared" si="11"/>
        <v>-232</v>
      </c>
      <c r="AN84" s="218"/>
      <c r="AO84" s="49"/>
      <c r="AP84" s="49" t="s">
        <v>434</v>
      </c>
      <c r="AQ84" s="84" t="s">
        <v>350</v>
      </c>
      <c r="AR84" s="49" t="s">
        <v>435</v>
      </c>
      <c r="AS84" s="55">
        <v>95.74</v>
      </c>
      <c r="AT84" s="55">
        <f>IF(ISBLANK(AS84),,IF(U84="S",AD84-AS84,AS84-AD84))</f>
        <v>3.4999999999996589E-2</v>
      </c>
      <c r="AU84" s="54">
        <f>AV84*R84</f>
        <v>405.99999999996044</v>
      </c>
      <c r="AV84" s="56">
        <f>IF(ISBLANK(AS84),,(AT84*Z84))</f>
        <v>202.99999999998022</v>
      </c>
      <c r="AW84" s="57" t="s">
        <v>101</v>
      </c>
      <c r="AX84" s="96" t="s">
        <v>436</v>
      </c>
      <c r="AY84" s="96" t="s">
        <v>437</v>
      </c>
      <c r="AZ84" s="96"/>
      <c r="BA84" s="96"/>
      <c r="BB84" s="96"/>
      <c r="BC84" s="96"/>
      <c r="BD84" s="96"/>
      <c r="BE84" s="96"/>
      <c r="BF84" s="100"/>
      <c r="BG84" s="94">
        <f>SUM($AV$4:AV84)</f>
        <v>654.74658827956068</v>
      </c>
      <c r="BH84" s="95">
        <f>SUM($AU$4:AU84)</f>
        <v>4844.3999999999614</v>
      </c>
      <c r="BI84" s="80">
        <f>SUMIFS($AU$3:AU85,$Q$3:Q85,"F")</f>
        <v>2486.4</v>
      </c>
      <c r="BJ84" s="80">
        <f>SUMIFS($AU$3:AU85,$Q$3:Q85,"S")</f>
        <v>1696.0000000000007</v>
      </c>
      <c r="BK84" s="87">
        <f>SUMIFS($AU$3:AU85,$P$3:P85,"W")</f>
        <v>2502.4000000000005</v>
      </c>
      <c r="BL84" s="87">
        <f>SUMIFS($AU$3:AU85,$P$3:P85,"R")</f>
        <v>1840.0000000000002</v>
      </c>
      <c r="BM84" s="87">
        <f>SUMIFS($AU$3:AU85,$AQ$3:AQ85,"M")</f>
        <v>1381.9999999999607</v>
      </c>
      <c r="BN84" s="87">
        <f>SUMIFS($AU$3:AU85,$AQ$3:AQ85,"H")</f>
        <v>543.99999999999977</v>
      </c>
      <c r="BO84" s="87">
        <f>SUMIFS($AU$3:AU85,$AQ$3:AQ85,"D")</f>
        <v>1504.0000000000005</v>
      </c>
      <c r="BP84" s="87">
        <f>SUMIFS($AU$3:AU87,$AQ$3:AQ87,"W")</f>
        <v>1414.3999999999999</v>
      </c>
      <c r="BQ84" s="87">
        <f>SUMIFS($AU$3:AU85,$Q$3:Q85,"O")</f>
        <v>405.99999999996044</v>
      </c>
      <c r="BR84" s="87">
        <f>SUMIFS($AU$3:AU85,$AA$3:AA85,"*")</f>
        <v>4828.3999999999614</v>
      </c>
      <c r="BS84" s="87">
        <f>SUMIFS($AU$3:AU85,$AB$3:AB85,"*")</f>
        <v>639.99999999999943</v>
      </c>
      <c r="BT84" s="87">
        <f>SUMIFS($AU$3:AU85,$AC$3:AC85,"*")</f>
        <v>1782.3999999999999</v>
      </c>
      <c r="BU84" s="87">
        <f>SUMIFS($AU$3:AU85,$AA$3:AA85,"*",$AB$3:AB85,"*")</f>
        <v>367.9999999999996</v>
      </c>
      <c r="BV84" s="87">
        <f>SUMIFS($AU$3:AU85,$AA$3:AA85,"*",$AC$3:AC85,"*")</f>
        <v>2038.3999999999999</v>
      </c>
      <c r="BW84" s="87">
        <f>SUMIFS($AU$3:AU85,$AB$3:AB85,"*",$AC$3:AC85,"*")</f>
        <v>272.00000000000006</v>
      </c>
      <c r="BX84" s="87">
        <f>SUMIFS($AV$3:AV85,$Q$3:Q85,"F")</f>
        <v>100.11428571428571</v>
      </c>
      <c r="BY84" s="87">
        <f>SUMIFS($AV$3:AV85,$Q$3:Q85,"S")</f>
        <v>143.63230256529494</v>
      </c>
      <c r="BZ84" s="87">
        <f>SUMIFS($AV$3:AV85,$Q$3:Q85,"O")</f>
        <v>202.99999999998022</v>
      </c>
    </row>
    <row r="85" spans="1:78" ht="18" customHeight="1">
      <c r="A85" s="45" t="s">
        <v>96</v>
      </c>
      <c r="B85" s="59">
        <v>45320</v>
      </c>
      <c r="C85" s="46" t="s">
        <v>438</v>
      </c>
      <c r="D85" s="46" t="s">
        <v>176</v>
      </c>
      <c r="E85" s="66"/>
      <c r="F85" s="47"/>
      <c r="G85" s="48" t="s">
        <v>181</v>
      </c>
      <c r="H85" s="49"/>
      <c r="I85" s="49"/>
      <c r="J85" s="49"/>
      <c r="K85" s="50"/>
      <c r="L85" s="49"/>
      <c r="M85" s="49"/>
      <c r="N85" s="49"/>
      <c r="O85" s="50"/>
      <c r="P85" s="50"/>
      <c r="Q85" s="50"/>
      <c r="R85" s="50"/>
      <c r="S85" s="50"/>
      <c r="T85" s="50"/>
      <c r="U85" s="50"/>
      <c r="V85" s="50"/>
      <c r="W85" s="50"/>
      <c r="X85" s="50"/>
      <c r="Y85" s="51"/>
      <c r="Z85" s="52"/>
      <c r="AA85" s="52"/>
      <c r="AB85" s="52"/>
      <c r="AC85" s="52"/>
      <c r="AD85" s="231"/>
      <c r="AE85" s="49"/>
      <c r="AF85" s="84"/>
      <c r="AG85" s="49"/>
      <c r="AH85" s="49"/>
      <c r="AI85" s="49"/>
      <c r="AJ85" s="226"/>
      <c r="AK85" s="49"/>
      <c r="AL85" s="113">
        <f>-0.02*Z85</f>
        <v>0</v>
      </c>
      <c r="AM85" s="113">
        <f t="shared" si="11"/>
        <v>0</v>
      </c>
      <c r="AN85" s="218"/>
      <c r="AO85" s="49"/>
      <c r="AP85" s="49"/>
      <c r="AQ85" s="84" t="str">
        <f>UPPER(RIGHT(Journal_Live[[#This Row],[DURATION ]]))</f>
        <v/>
      </c>
      <c r="AR85" s="49"/>
      <c r="AS85" s="55"/>
      <c r="AT85" s="55"/>
      <c r="AU85" s="54"/>
      <c r="AV85" s="56"/>
      <c r="AW85" s="57"/>
      <c r="AX85" s="96"/>
      <c r="AY85" s="96"/>
      <c r="AZ85" s="96"/>
      <c r="BA85" s="96"/>
      <c r="BB85" s="96"/>
      <c r="BC85" s="96"/>
      <c r="BD85" s="96"/>
      <c r="BE85" s="96"/>
      <c r="BF85" s="100"/>
      <c r="BG85" s="94">
        <f>SUM($AV$4:AV85)</f>
        <v>654.74658827956068</v>
      </c>
      <c r="BH85" s="95">
        <f>SUM($AU$4:AU85)</f>
        <v>4844.3999999999614</v>
      </c>
      <c r="BI85" s="80">
        <f>SUMIFS($AU$3:AU86,$Q$3:Q86,"F")</f>
        <v>2486.4</v>
      </c>
      <c r="BJ85" s="80">
        <f>SUMIFS($AU$3:AU86,$Q$3:Q86,"S")</f>
        <v>1696.0000000000007</v>
      </c>
      <c r="BK85" s="87">
        <f>SUMIFS($AU$3:AU86,$P$3:P86,"W")</f>
        <v>2502.4000000000005</v>
      </c>
      <c r="BL85" s="87">
        <f>SUMIFS($AU$3:AU86,$P$3:P86,"R")</f>
        <v>1920.0000000000002</v>
      </c>
      <c r="BM85" s="87">
        <f>SUMIFS($AU$3:AU86,$AQ$3:AQ86,"M")</f>
        <v>1381.9999999999607</v>
      </c>
      <c r="BN85" s="87">
        <f>SUMIFS($AU$3:AU86,$AQ$3:AQ86,"H")</f>
        <v>623.99999999999989</v>
      </c>
      <c r="BO85" s="87">
        <f>SUMIFS($AU$3:AU86,$AQ$3:AQ86,"D")</f>
        <v>1504.0000000000005</v>
      </c>
      <c r="BP85" s="87">
        <f>SUMIFS($AU$3:AU88,$AQ$3:AQ88,"W")</f>
        <v>1414.3999999999999</v>
      </c>
      <c r="BQ85" s="87">
        <f>SUMIFS($AU$3:AU86,$Q$3:Q86,"O")</f>
        <v>405.99999999996044</v>
      </c>
      <c r="BR85" s="87">
        <f>SUMIFS($AU$3:AU86,$AA$3:AA86,"*")</f>
        <v>4908.3999999999614</v>
      </c>
      <c r="BS85" s="87">
        <f>SUMIFS($AU$3:AU86,$AB$3:AB86,"*")</f>
        <v>639.99999999999943</v>
      </c>
      <c r="BT85" s="87">
        <f>SUMIFS($AU$3:AU86,$AC$3:AC86,"*")</f>
        <v>1782.3999999999999</v>
      </c>
      <c r="BU85" s="87">
        <f>SUMIFS($AU$3:AU86,$AA$3:AA86,"*",$AB$3:AB86,"*")</f>
        <v>367.9999999999996</v>
      </c>
      <c r="BV85" s="87">
        <f>SUMIFS($AU$3:AU86,$AA$3:AA86,"*",$AC$3:AC86,"*")</f>
        <v>2038.3999999999999</v>
      </c>
      <c r="BW85" s="87">
        <f>SUMIFS($AU$3:AU86,$AB$3:AB86,"*",$AC$3:AC86,"*")</f>
        <v>272.00000000000006</v>
      </c>
      <c r="BX85" s="87">
        <f>SUMIFS($AV$3:AV86,$Q$3:Q86,"F")</f>
        <v>100.11428571428571</v>
      </c>
      <c r="BY85" s="87">
        <f>SUMIFS($AV$3:AV86,$Q$3:Q86,"S")</f>
        <v>143.63230256529494</v>
      </c>
      <c r="BZ85" s="87">
        <f>SUMIFS($AV$3:AV86,$Q$3:Q86,"O")</f>
        <v>202.99999999998022</v>
      </c>
    </row>
    <row r="86" spans="1:78" ht="18" customHeight="1">
      <c r="A86" s="45" t="s">
        <v>96</v>
      </c>
      <c r="B86" s="59">
        <v>45320</v>
      </c>
      <c r="C86" s="46" t="s">
        <v>439</v>
      </c>
      <c r="D86" s="46" t="s">
        <v>176</v>
      </c>
      <c r="E86" s="66"/>
      <c r="F86" s="47"/>
      <c r="G86" s="71" t="s">
        <v>377</v>
      </c>
      <c r="H86" s="49"/>
      <c r="I86" s="49"/>
      <c r="J86" s="49"/>
      <c r="K86" s="50"/>
      <c r="L86" s="49">
        <v>1</v>
      </c>
      <c r="M86" s="49"/>
      <c r="N86" s="49"/>
      <c r="O86" s="50" t="s">
        <v>363</v>
      </c>
      <c r="P86" s="50" t="s">
        <v>126</v>
      </c>
      <c r="Q86" s="50"/>
      <c r="R86" s="50">
        <v>1</v>
      </c>
      <c r="S86" s="50">
        <v>0</v>
      </c>
      <c r="T86" s="50">
        <v>1</v>
      </c>
      <c r="U86" s="50" t="s">
        <v>22</v>
      </c>
      <c r="V86" s="50"/>
      <c r="W86" s="50"/>
      <c r="X86" s="50"/>
      <c r="Y86" s="51">
        <f>IF(ISBLANK(O86),"",(IF(O86=UPPER("IB"),0.005,0.01)))</f>
        <v>0.01</v>
      </c>
      <c r="Z86" s="52">
        <f>IF(ISBLANK(O86),"",IF(O86="IB",8.63*200,IF(O86="IR",16*100,IF(O86="YT",20*100,IF(O86="YT-XT",24*200,IF(O86="TED",80*100))))))</f>
        <v>8000</v>
      </c>
      <c r="AA86" s="97" t="s">
        <v>440</v>
      </c>
      <c r="AB86" s="52"/>
      <c r="AC86" s="52"/>
      <c r="AD86" s="231">
        <v>-7.0000000000000007E-2</v>
      </c>
      <c r="AE86" s="49"/>
      <c r="AF86" s="84"/>
      <c r="AG86" s="49"/>
      <c r="AH86" s="49"/>
      <c r="AI86" s="49"/>
      <c r="AJ86" s="226"/>
      <c r="AK86" s="49"/>
      <c r="AL86" s="113">
        <f>-0.03*Z86</f>
        <v>-240</v>
      </c>
      <c r="AM86" s="113">
        <f t="shared" si="11"/>
        <v>-240</v>
      </c>
      <c r="AN86" s="218"/>
      <c r="AO86" s="49"/>
      <c r="AP86" s="49" t="s">
        <v>136</v>
      </c>
      <c r="AQ86" s="84" t="s">
        <v>142</v>
      </c>
      <c r="AR86" s="49" t="s">
        <v>441</v>
      </c>
      <c r="AS86" s="55">
        <v>-0.06</v>
      </c>
      <c r="AT86" s="55">
        <f t="shared" ref="AT86:AT93" si="16">IF(ISBLANK(AS86),,IF(U86="S",AD86-AS86,AS86-AD86))</f>
        <v>1.0000000000000009E-2</v>
      </c>
      <c r="AU86" s="54">
        <f t="shared" ref="AU86:AU93" si="17">AV86*R86</f>
        <v>80.000000000000071</v>
      </c>
      <c r="AV86" s="56">
        <f t="shared" ref="AV86:AV93" si="18">IF(ISBLANK(AS86),,(AT86*Z86))</f>
        <v>80.000000000000071</v>
      </c>
      <c r="AW86" s="57" t="s">
        <v>101</v>
      </c>
      <c r="AX86" s="96" t="s">
        <v>442</v>
      </c>
      <c r="AY86" s="96" t="s">
        <v>443</v>
      </c>
      <c r="AZ86" s="96"/>
      <c r="BA86" s="96"/>
      <c r="BB86" s="96"/>
      <c r="BC86" s="96"/>
      <c r="BD86" s="96"/>
      <c r="BE86" s="96"/>
      <c r="BF86" s="100"/>
      <c r="BG86" s="94">
        <f>SUM($AV$4:AV86)</f>
        <v>734.7465882795608</v>
      </c>
      <c r="BH86" s="95">
        <f>SUM($AU$4:AU86)</f>
        <v>4924.3999999999614</v>
      </c>
      <c r="BI86" s="80">
        <f>SUMIFS($AU$3:AU87,$Q$3:Q87,"F")</f>
        <v>2486.4</v>
      </c>
      <c r="BJ86" s="80">
        <f>SUMIFS($AU$3:AU87,$Q$3:Q87,"S")</f>
        <v>1696.0000000000007</v>
      </c>
      <c r="BK86" s="87">
        <f>SUMIFS($AU$3:AU87,$P$3:P87,"W")</f>
        <v>2502.4000000000005</v>
      </c>
      <c r="BL86" s="87">
        <f>SUMIFS($AU$3:AU87,$P$3:P87,"R")</f>
        <v>1920.0000000000002</v>
      </c>
      <c r="BM86" s="87">
        <f>SUMIFS($AU$3:AU87,$AQ$3:AQ87,"M")</f>
        <v>1381.9999999999607</v>
      </c>
      <c r="BN86" s="87">
        <f>SUMIFS($AU$3:AU87,$AQ$3:AQ87,"H")</f>
        <v>623.99999999999989</v>
      </c>
      <c r="BO86" s="87">
        <f>SUMIFS($AU$3:AU87,$AQ$3:AQ87,"D")</f>
        <v>1504.0000000000005</v>
      </c>
      <c r="BP86" s="87">
        <f>SUMIFS($AU$3:AU89,$AQ$3:AQ89,"W")</f>
        <v>1414.3999999999999</v>
      </c>
      <c r="BQ86" s="87">
        <f>SUMIFS($AU$3:AU87,$Q$3:Q87,"O")</f>
        <v>405.99999999996044</v>
      </c>
      <c r="BR86" s="87">
        <f>SUMIFS($AU$3:AU87,$AA$3:AA87,"*")</f>
        <v>4908.3999999999614</v>
      </c>
      <c r="BS86" s="87">
        <f>SUMIFS($AU$3:AU87,$AB$3:AB87,"*")</f>
        <v>639.99999999999943</v>
      </c>
      <c r="BT86" s="87">
        <f>SUMIFS($AU$3:AU87,$AC$3:AC87,"*")</f>
        <v>1782.3999999999999</v>
      </c>
      <c r="BU86" s="87">
        <f>SUMIFS($AU$3:AU87,$AA$3:AA87,"*",$AB$3:AB87,"*")</f>
        <v>367.9999999999996</v>
      </c>
      <c r="BV86" s="87">
        <f>SUMIFS($AU$3:AU87,$AA$3:AA87,"*",$AC$3:AC87,"*")</f>
        <v>2038.3999999999999</v>
      </c>
      <c r="BW86" s="87">
        <f>SUMIFS($AU$3:AU87,$AB$3:AB87,"*",$AC$3:AC87,"*")</f>
        <v>272.00000000000006</v>
      </c>
      <c r="BX86" s="87">
        <f>SUMIFS($AV$3:AV87,$Q$3:Q87,"F")</f>
        <v>100.11428571428571</v>
      </c>
      <c r="BY86" s="87">
        <f>SUMIFS($AV$3:AV87,$Q$3:Q87,"S")</f>
        <v>143.63230256529494</v>
      </c>
      <c r="BZ86" s="87">
        <f>SUMIFS($AV$3:AV87,$Q$3:Q87,"O")</f>
        <v>202.99999999998022</v>
      </c>
    </row>
    <row r="87" spans="1:78" ht="18" customHeight="1">
      <c r="A87" s="45" t="s">
        <v>96</v>
      </c>
      <c r="B87" s="59"/>
      <c r="C87" s="46"/>
      <c r="D87" s="46"/>
      <c r="E87" s="66"/>
      <c r="F87" s="47"/>
      <c r="G87" s="48"/>
      <c r="H87" s="49"/>
      <c r="I87" s="49"/>
      <c r="J87" s="49"/>
      <c r="K87" s="50"/>
      <c r="L87" s="49"/>
      <c r="M87" s="49"/>
      <c r="N87" s="49"/>
      <c r="O87" s="50"/>
      <c r="P87" s="50"/>
      <c r="Q87" s="50"/>
      <c r="R87" s="50"/>
      <c r="S87" s="50"/>
      <c r="T87" s="50"/>
      <c r="U87" s="50"/>
      <c r="V87" s="50"/>
      <c r="W87" s="50"/>
      <c r="X87" s="50"/>
      <c r="Y87" s="50"/>
      <c r="Z87" s="50"/>
      <c r="AA87" s="52"/>
      <c r="AB87" s="52"/>
      <c r="AC87" s="52"/>
      <c r="AD87" s="231"/>
      <c r="AE87" s="49"/>
      <c r="AF87" s="84"/>
      <c r="AG87" s="49"/>
      <c r="AH87" s="49"/>
      <c r="AI87" s="49"/>
      <c r="AJ87" s="226"/>
      <c r="AK87" s="49"/>
      <c r="AL87" s="113">
        <f t="shared" ref="AL87:AL99" si="19">-0.02*Z87</f>
        <v>0</v>
      </c>
      <c r="AM87" s="113">
        <f t="shared" si="11"/>
        <v>0</v>
      </c>
      <c r="AN87" s="218"/>
      <c r="AO87" s="49"/>
      <c r="AP87" s="49"/>
      <c r="AQ87" s="84" t="str">
        <f>UPPER(RIGHT(Journal_Live[[#This Row],[DURATION ]]))</f>
        <v/>
      </c>
      <c r="AR87" s="49"/>
      <c r="AS87" s="55"/>
      <c r="AT87" s="55">
        <f t="shared" si="16"/>
        <v>0</v>
      </c>
      <c r="AU87" s="54">
        <f t="shared" si="17"/>
        <v>0</v>
      </c>
      <c r="AV87" s="56">
        <f t="shared" si="18"/>
        <v>0</v>
      </c>
      <c r="AW87" s="57"/>
      <c r="AX87" s="96"/>
      <c r="AY87" s="96"/>
      <c r="AZ87" s="96"/>
      <c r="BA87" s="96"/>
      <c r="BB87" s="96"/>
      <c r="BC87" s="96"/>
      <c r="BD87" s="96"/>
      <c r="BE87" s="96"/>
      <c r="BF87" s="100"/>
      <c r="BG87" s="94">
        <f>SUM($AV$4:AV87)</f>
        <v>734.7465882795608</v>
      </c>
      <c r="BH87" s="95">
        <f>SUM($AU$4:AU87)</f>
        <v>4924.3999999999614</v>
      </c>
      <c r="BI87" s="80">
        <f>SUMIFS($AU$3:AU88,$Q$3:Q88,"F")</f>
        <v>2486.4</v>
      </c>
      <c r="BJ87" s="80">
        <f>SUMIFS($AU$3:AU88,$Q$3:Q88,"S")</f>
        <v>1696.0000000000007</v>
      </c>
      <c r="BK87" s="87">
        <f>SUMIFS($AU$3:AU88,$P$3:P88,"W")</f>
        <v>2502.4000000000005</v>
      </c>
      <c r="BL87" s="87">
        <f>SUMIFS($AU$3:AU88,$P$3:P88,"R")</f>
        <v>1920.0000000000002</v>
      </c>
      <c r="BM87" s="87">
        <f>SUMIFS($AU$3:AU88,$AQ$3:AQ88,"M")</f>
        <v>1381.9999999999607</v>
      </c>
      <c r="BN87" s="87">
        <f>SUMIFS($AU$3:AU88,$AQ$3:AQ88,"H")</f>
        <v>623.99999999999989</v>
      </c>
      <c r="BO87" s="87">
        <f>SUMIFS($AU$3:AU88,$AQ$3:AQ88,"D")</f>
        <v>1504.0000000000005</v>
      </c>
      <c r="BP87" s="87">
        <f>SUMIFS($AU$3:AU90,$AQ$3:AQ90,"W")</f>
        <v>1414.3999999999999</v>
      </c>
      <c r="BQ87" s="87">
        <f>SUMIFS($AU$3:AU88,$Q$3:Q88,"O")</f>
        <v>405.99999999996044</v>
      </c>
      <c r="BR87" s="87">
        <f>SUMIFS($AU$3:AU88,$AA$3:AA88,"*")</f>
        <v>4908.3999999999614</v>
      </c>
      <c r="BS87" s="87">
        <f>SUMIFS($AU$3:AU88,$AB$3:AB88,"*")</f>
        <v>639.99999999999943</v>
      </c>
      <c r="BT87" s="87">
        <f>SUMIFS($AU$3:AU88,$AC$3:AC88,"*")</f>
        <v>1782.3999999999999</v>
      </c>
      <c r="BU87" s="87">
        <f>SUMIFS($AU$3:AU88,$AA$3:AA88,"*",$AB$3:AB88,"*")</f>
        <v>367.9999999999996</v>
      </c>
      <c r="BV87" s="87">
        <f>SUMIFS($AU$3:AU88,$AA$3:AA88,"*",$AC$3:AC88,"*")</f>
        <v>2038.3999999999999</v>
      </c>
      <c r="BW87" s="87">
        <f>SUMIFS($AU$3:AU88,$AB$3:AB88,"*",$AC$3:AC88,"*")</f>
        <v>272.00000000000006</v>
      </c>
      <c r="BX87" s="87">
        <f>SUMIFS($AV$3:AV88,$Q$3:Q88,"F")</f>
        <v>100.11428571428571</v>
      </c>
      <c r="BY87" s="87">
        <f>SUMIFS($AV$3:AV88,$Q$3:Q88,"S")</f>
        <v>143.63230256529494</v>
      </c>
      <c r="BZ87" s="87">
        <f>SUMIFS($AV$3:AV88,$Q$3:Q88,"O")</f>
        <v>202.99999999998022</v>
      </c>
    </row>
    <row r="88" spans="1:78" ht="18" customHeight="1">
      <c r="A88" s="45" t="s">
        <v>96</v>
      </c>
      <c r="B88" s="59"/>
      <c r="C88" s="46"/>
      <c r="D88" s="46"/>
      <c r="E88" s="66"/>
      <c r="F88" s="47"/>
      <c r="G88" s="48"/>
      <c r="H88" s="49"/>
      <c r="I88" s="49"/>
      <c r="J88" s="49"/>
      <c r="K88" s="50"/>
      <c r="L88" s="49"/>
      <c r="M88" s="49"/>
      <c r="N88" s="49"/>
      <c r="O88" s="50"/>
      <c r="P88" s="50"/>
      <c r="Q88" s="50"/>
      <c r="R88" s="50"/>
      <c r="S88" s="50"/>
      <c r="T88" s="50"/>
      <c r="U88" s="50"/>
      <c r="V88" s="50"/>
      <c r="W88" s="50"/>
      <c r="X88" s="50"/>
      <c r="Y88" s="50"/>
      <c r="Z88" s="50"/>
      <c r="AA88" s="52"/>
      <c r="AB88" s="52"/>
      <c r="AC88" s="52"/>
      <c r="AD88" s="231"/>
      <c r="AE88" s="49"/>
      <c r="AF88" s="84"/>
      <c r="AG88" s="49"/>
      <c r="AH88" s="49"/>
      <c r="AI88" s="49"/>
      <c r="AJ88" s="226"/>
      <c r="AK88" s="49"/>
      <c r="AL88" s="113">
        <f t="shared" si="19"/>
        <v>0</v>
      </c>
      <c r="AM88" s="113">
        <f t="shared" si="11"/>
        <v>0</v>
      </c>
      <c r="AN88" s="218"/>
      <c r="AO88" s="49"/>
      <c r="AP88" s="49"/>
      <c r="AQ88" s="84" t="str">
        <f>UPPER(RIGHT(Journal_Live[[#This Row],[DURATION ]]))</f>
        <v/>
      </c>
      <c r="AR88" s="49"/>
      <c r="AS88" s="55"/>
      <c r="AT88" s="55">
        <f t="shared" si="16"/>
        <v>0</v>
      </c>
      <c r="AU88" s="54">
        <f t="shared" si="17"/>
        <v>0</v>
      </c>
      <c r="AV88" s="56">
        <f t="shared" si="18"/>
        <v>0</v>
      </c>
      <c r="AW88" s="57"/>
      <c r="AX88" s="96"/>
      <c r="AY88" s="96"/>
      <c r="AZ88" s="96"/>
      <c r="BA88" s="96"/>
      <c r="BB88" s="96"/>
      <c r="BC88" s="96"/>
      <c r="BD88" s="96"/>
      <c r="BE88" s="96"/>
      <c r="BF88" s="100"/>
      <c r="BG88" s="94">
        <f>SUM($AV$4:AV88)</f>
        <v>734.7465882795608</v>
      </c>
      <c r="BH88" s="95">
        <f>SUM($AU$4:AU88)</f>
        <v>4924.3999999999614</v>
      </c>
      <c r="BI88" s="80">
        <f>SUMIFS($AU$3:AU89,$Q$3:Q89,"F")</f>
        <v>2486.4</v>
      </c>
      <c r="BJ88" s="80">
        <f>SUMIFS($AU$3:AU89,$Q$3:Q89,"S")</f>
        <v>1696.0000000000007</v>
      </c>
      <c r="BK88" s="87">
        <f>SUMIFS($AU$3:AU89,$P$3:P89,"W")</f>
        <v>2502.4000000000005</v>
      </c>
      <c r="BL88" s="87">
        <f>SUMIFS($AU$3:AU89,$P$3:P89,"R")</f>
        <v>1920.0000000000002</v>
      </c>
      <c r="BM88" s="87">
        <f>SUMIFS($AU$3:AU89,$AQ$3:AQ89,"M")</f>
        <v>1381.9999999999607</v>
      </c>
      <c r="BN88" s="87">
        <f>SUMIFS($AU$3:AU89,$AQ$3:AQ89,"H")</f>
        <v>623.99999999999989</v>
      </c>
      <c r="BO88" s="87">
        <f>SUMIFS($AU$3:AU89,$AQ$3:AQ89,"D")</f>
        <v>1504.0000000000005</v>
      </c>
      <c r="BP88" s="87">
        <f>SUMIFS($AU$3:AU91,$AQ$3:AQ91,"W")</f>
        <v>1414.3999999999999</v>
      </c>
      <c r="BQ88" s="87">
        <f>SUMIFS($AU$3:AU89,$Q$3:Q89,"O")</f>
        <v>405.99999999996044</v>
      </c>
      <c r="BR88" s="87">
        <f>SUMIFS($AU$3:AU89,$AA$3:AA89,"*")</f>
        <v>4908.3999999999614</v>
      </c>
      <c r="BS88" s="87">
        <f>SUMIFS($AU$3:AU89,$AB$3:AB89,"*")</f>
        <v>639.99999999999943</v>
      </c>
      <c r="BT88" s="87">
        <f>SUMIFS($AU$3:AU89,$AC$3:AC89,"*")</f>
        <v>1782.3999999999999</v>
      </c>
      <c r="BU88" s="87">
        <f>SUMIFS($AU$3:AU89,$AA$3:AA89,"*",$AB$3:AB89,"*")</f>
        <v>367.9999999999996</v>
      </c>
      <c r="BV88" s="87">
        <f>SUMIFS($AU$3:AU89,$AA$3:AA89,"*",$AC$3:AC89,"*")</f>
        <v>2038.3999999999999</v>
      </c>
      <c r="BW88" s="87">
        <f>SUMIFS($AU$3:AU89,$AB$3:AB89,"*",$AC$3:AC89,"*")</f>
        <v>272.00000000000006</v>
      </c>
      <c r="BX88" s="87">
        <f>SUMIFS($AV$3:AV89,$Q$3:Q89,"F")</f>
        <v>100.11428571428571</v>
      </c>
      <c r="BY88" s="87">
        <f>SUMIFS($AV$3:AV89,$Q$3:Q89,"S")</f>
        <v>143.63230256529494</v>
      </c>
      <c r="BZ88" s="87">
        <f>SUMIFS($AV$3:AV89,$Q$3:Q89,"O")</f>
        <v>202.99999999998022</v>
      </c>
    </row>
    <row r="89" spans="1:78" ht="18" customHeight="1">
      <c r="A89" s="45" t="s">
        <v>96</v>
      </c>
      <c r="B89" s="59"/>
      <c r="C89" s="46"/>
      <c r="D89" s="46"/>
      <c r="E89" s="66"/>
      <c r="F89" s="47"/>
      <c r="G89" s="48"/>
      <c r="H89" s="49"/>
      <c r="I89" s="49"/>
      <c r="J89" s="49"/>
      <c r="K89" s="50"/>
      <c r="L89" s="49"/>
      <c r="M89" s="49"/>
      <c r="N89" s="49"/>
      <c r="O89" s="50"/>
      <c r="P89" s="50"/>
      <c r="Q89" s="50"/>
      <c r="R89" s="50"/>
      <c r="S89" s="50"/>
      <c r="T89" s="50"/>
      <c r="U89" s="50"/>
      <c r="V89" s="50"/>
      <c r="W89" s="50"/>
      <c r="X89" s="50"/>
      <c r="Y89" s="50"/>
      <c r="Z89" s="50"/>
      <c r="AA89" s="52"/>
      <c r="AB89" s="52"/>
      <c r="AC89" s="52"/>
      <c r="AD89" s="231"/>
      <c r="AE89" s="49"/>
      <c r="AF89" s="84"/>
      <c r="AG89" s="49"/>
      <c r="AH89" s="49"/>
      <c r="AI89" s="49"/>
      <c r="AJ89" s="226"/>
      <c r="AK89" s="49"/>
      <c r="AL89" s="113">
        <f t="shared" si="19"/>
        <v>0</v>
      </c>
      <c r="AM89" s="113">
        <f t="shared" si="11"/>
        <v>0</v>
      </c>
      <c r="AN89" s="218"/>
      <c r="AO89" s="49"/>
      <c r="AP89" s="49"/>
      <c r="AQ89" s="84" t="str">
        <f>UPPER(RIGHT(Journal_Live[[#This Row],[DURATION ]]))</f>
        <v/>
      </c>
      <c r="AR89" s="49"/>
      <c r="AS89" s="55"/>
      <c r="AT89" s="55">
        <f t="shared" si="16"/>
        <v>0</v>
      </c>
      <c r="AU89" s="54">
        <f t="shared" si="17"/>
        <v>0</v>
      </c>
      <c r="AV89" s="56">
        <f t="shared" si="18"/>
        <v>0</v>
      </c>
      <c r="AW89" s="57"/>
      <c r="AX89" s="96"/>
      <c r="AY89" s="96"/>
      <c r="AZ89" s="96"/>
      <c r="BA89" s="96"/>
      <c r="BB89" s="96"/>
      <c r="BC89" s="96"/>
      <c r="BD89" s="96"/>
      <c r="BE89" s="96"/>
      <c r="BF89" s="100"/>
      <c r="BG89" s="94">
        <f>SUM($AV$4:AV89)</f>
        <v>734.7465882795608</v>
      </c>
      <c r="BH89" s="95">
        <f>SUM($AU$4:AU89)</f>
        <v>4924.3999999999614</v>
      </c>
      <c r="BI89" s="80">
        <f>SUMIFS($AU$3:AU90,$Q$3:Q90,"F")</f>
        <v>2486.4</v>
      </c>
      <c r="BJ89" s="80">
        <f>SUMIFS($AU$3:AU90,$Q$3:Q90,"S")</f>
        <v>1696.0000000000007</v>
      </c>
      <c r="BK89" s="87">
        <f>SUMIFS($AU$3:AU90,$P$3:P90,"W")</f>
        <v>2502.4000000000005</v>
      </c>
      <c r="BL89" s="87">
        <f>SUMIFS($AU$3:AU90,$P$3:P90,"R")</f>
        <v>1920.0000000000002</v>
      </c>
      <c r="BM89" s="87">
        <f>SUMIFS($AU$3:AU90,$AQ$3:AQ90,"M")</f>
        <v>1381.9999999999607</v>
      </c>
      <c r="BN89" s="87">
        <f>SUMIFS($AU$3:AU90,$AQ$3:AQ90,"H")</f>
        <v>623.99999999999989</v>
      </c>
      <c r="BO89" s="87">
        <f>SUMIFS($AU$3:AU90,$AQ$3:AQ90,"D")</f>
        <v>1504.0000000000005</v>
      </c>
      <c r="BP89" s="87">
        <f>SUMIFS($AU$3:AU92,$AQ$3:AQ92,"W")</f>
        <v>1414.3999999999999</v>
      </c>
      <c r="BQ89" s="87">
        <f>SUMIFS($AU$3:AU90,$Q$3:Q90,"O")</f>
        <v>405.99999999996044</v>
      </c>
      <c r="BR89" s="87">
        <f>SUMIFS($AU$3:AU90,$AA$3:AA90,"*")</f>
        <v>4908.3999999999614</v>
      </c>
      <c r="BS89" s="87">
        <f>SUMIFS($AU$3:AU90,$AB$3:AB90,"*")</f>
        <v>639.99999999999943</v>
      </c>
      <c r="BT89" s="87">
        <f>SUMIFS($AU$3:AU90,$AC$3:AC90,"*")</f>
        <v>1782.3999999999999</v>
      </c>
      <c r="BU89" s="87">
        <f>SUMIFS($AU$3:AU90,$AA$3:AA90,"*",$AB$3:AB90,"*")</f>
        <v>367.9999999999996</v>
      </c>
      <c r="BV89" s="87">
        <f>SUMIFS($AU$3:AU90,$AA$3:AA90,"*",$AC$3:AC90,"*")</f>
        <v>2038.3999999999999</v>
      </c>
      <c r="BW89" s="87">
        <f>SUMIFS($AU$3:AU90,$AB$3:AB90,"*",$AC$3:AC90,"*")</f>
        <v>272.00000000000006</v>
      </c>
      <c r="BX89" s="87">
        <f>SUMIFS($AV$3:AV90,$Q$3:Q90,"F")</f>
        <v>100.11428571428571</v>
      </c>
      <c r="BY89" s="87">
        <f>SUMIFS($AV$3:AV90,$Q$3:Q90,"S")</f>
        <v>143.63230256529494</v>
      </c>
      <c r="BZ89" s="87">
        <f>SUMIFS($AV$3:AV90,$Q$3:Q90,"O")</f>
        <v>202.99999999998022</v>
      </c>
    </row>
    <row r="90" spans="1:78" ht="18" customHeight="1">
      <c r="A90" s="45" t="s">
        <v>96</v>
      </c>
      <c r="B90" s="59"/>
      <c r="C90" s="46"/>
      <c r="D90" s="46"/>
      <c r="E90" s="66"/>
      <c r="F90" s="47"/>
      <c r="G90" s="48"/>
      <c r="H90" s="49"/>
      <c r="I90" s="49"/>
      <c r="J90" s="49"/>
      <c r="K90" s="50"/>
      <c r="L90" s="49"/>
      <c r="M90" s="49"/>
      <c r="N90" s="49"/>
      <c r="O90" s="50"/>
      <c r="P90" s="50"/>
      <c r="Q90" s="50"/>
      <c r="R90" s="50"/>
      <c r="S90" s="50"/>
      <c r="T90" s="50"/>
      <c r="U90" s="50"/>
      <c r="V90" s="50"/>
      <c r="W90" s="50"/>
      <c r="X90" s="50"/>
      <c r="Y90" s="50"/>
      <c r="Z90" s="50"/>
      <c r="AA90" s="52"/>
      <c r="AB90" s="52"/>
      <c r="AC90" s="52"/>
      <c r="AD90" s="231"/>
      <c r="AE90" s="49"/>
      <c r="AF90" s="84"/>
      <c r="AG90" s="49"/>
      <c r="AH90" s="49"/>
      <c r="AI90" s="49"/>
      <c r="AJ90" s="226"/>
      <c r="AK90" s="49"/>
      <c r="AL90" s="113">
        <f t="shared" si="19"/>
        <v>0</v>
      </c>
      <c r="AM90" s="113">
        <f t="shared" si="11"/>
        <v>0</v>
      </c>
      <c r="AN90" s="218"/>
      <c r="AO90" s="49"/>
      <c r="AP90" s="49"/>
      <c r="AQ90" s="84" t="str">
        <f>UPPER(RIGHT(Journal_Live[[#This Row],[DURATION ]]))</f>
        <v/>
      </c>
      <c r="AR90" s="49"/>
      <c r="AS90" s="55"/>
      <c r="AT90" s="55">
        <f t="shared" si="16"/>
        <v>0</v>
      </c>
      <c r="AU90" s="54">
        <f t="shared" si="17"/>
        <v>0</v>
      </c>
      <c r="AV90" s="56">
        <f t="shared" si="18"/>
        <v>0</v>
      </c>
      <c r="AW90" s="57"/>
      <c r="AX90" s="96"/>
      <c r="AY90" s="96"/>
      <c r="AZ90" s="96"/>
      <c r="BA90" s="96"/>
      <c r="BB90" s="96"/>
      <c r="BC90" s="96"/>
      <c r="BD90" s="96"/>
      <c r="BE90" s="96"/>
      <c r="BF90" s="100"/>
      <c r="BG90" s="94">
        <f>SUM($AV$4:AV90)</f>
        <v>734.7465882795608</v>
      </c>
      <c r="BH90" s="95">
        <f>SUM($AU$4:AU90)</f>
        <v>4924.3999999999614</v>
      </c>
      <c r="BI90" s="80">
        <f>SUMIFS($AU$3:AU91,$Q$3:Q91,"F")</f>
        <v>2486.4</v>
      </c>
      <c r="BJ90" s="80">
        <f>SUMIFS($AU$3:AU91,$Q$3:Q91,"S")</f>
        <v>1696.0000000000007</v>
      </c>
      <c r="BK90" s="87">
        <f>SUMIFS($AU$3:AU91,$P$3:P91,"W")</f>
        <v>2502.4000000000005</v>
      </c>
      <c r="BL90" s="87">
        <f>SUMIFS($AU$3:AU91,$P$3:P91,"R")</f>
        <v>1920.0000000000002</v>
      </c>
      <c r="BM90" s="87">
        <f>SUMIFS($AU$3:AU91,$AQ$3:AQ91,"M")</f>
        <v>1381.9999999999607</v>
      </c>
      <c r="BN90" s="87">
        <f>SUMIFS($AU$3:AU91,$AQ$3:AQ91,"H")</f>
        <v>623.99999999999989</v>
      </c>
      <c r="BO90" s="87">
        <f>SUMIFS($AU$3:AU91,$AQ$3:AQ91,"D")</f>
        <v>1504.0000000000005</v>
      </c>
      <c r="BP90" s="87">
        <f>SUMIFS($AU$3:AU93,$AQ$3:AQ93,"W")</f>
        <v>1414.3999999999999</v>
      </c>
      <c r="BQ90" s="87">
        <f>SUMIFS($AU$3:AU91,$Q$3:Q91,"O")</f>
        <v>405.99999999996044</v>
      </c>
      <c r="BR90" s="87">
        <f>SUMIFS($AU$3:AU91,$AA$3:AA91,"*")</f>
        <v>4908.3999999999614</v>
      </c>
      <c r="BS90" s="87">
        <f>SUMIFS($AU$3:AU91,$AB$3:AB91,"*")</f>
        <v>639.99999999999943</v>
      </c>
      <c r="BT90" s="87">
        <f>SUMIFS($AU$3:AU91,$AC$3:AC91,"*")</f>
        <v>1782.3999999999999</v>
      </c>
      <c r="BU90" s="87">
        <f>SUMIFS($AU$3:AU91,$AA$3:AA91,"*",$AB$3:AB91,"*")</f>
        <v>367.9999999999996</v>
      </c>
      <c r="BV90" s="87">
        <f>SUMIFS($AU$3:AU91,$AA$3:AA91,"*",$AC$3:AC91,"*")</f>
        <v>2038.3999999999999</v>
      </c>
      <c r="BW90" s="87">
        <f>SUMIFS($AU$3:AU91,$AB$3:AB91,"*",$AC$3:AC91,"*")</f>
        <v>272.00000000000006</v>
      </c>
      <c r="BX90" s="87">
        <f>SUMIFS($AV$3:AV91,$Q$3:Q91,"F")</f>
        <v>100.11428571428571</v>
      </c>
      <c r="BY90" s="87">
        <f>SUMIFS($AV$3:AV91,$Q$3:Q91,"S")</f>
        <v>143.63230256529494</v>
      </c>
      <c r="BZ90" s="87">
        <f>SUMIFS($AV$3:AV91,$Q$3:Q91,"O")</f>
        <v>202.99999999998022</v>
      </c>
    </row>
    <row r="91" spans="1:78" ht="18" customHeight="1">
      <c r="A91" s="45" t="s">
        <v>96</v>
      </c>
      <c r="B91" s="59"/>
      <c r="C91" s="46"/>
      <c r="D91" s="46"/>
      <c r="E91" s="66"/>
      <c r="F91" s="47"/>
      <c r="G91" s="48"/>
      <c r="H91" s="49"/>
      <c r="I91" s="49"/>
      <c r="J91" s="49"/>
      <c r="K91" s="50"/>
      <c r="L91" s="49"/>
      <c r="M91" s="49"/>
      <c r="N91" s="49"/>
      <c r="O91" s="50"/>
      <c r="P91" s="50"/>
      <c r="Q91" s="50"/>
      <c r="R91" s="50"/>
      <c r="S91" s="50"/>
      <c r="T91" s="50"/>
      <c r="U91" s="50"/>
      <c r="V91" s="50"/>
      <c r="W91" s="50"/>
      <c r="X91" s="50"/>
      <c r="Y91" s="50"/>
      <c r="Z91" s="50"/>
      <c r="AA91" s="52"/>
      <c r="AB91" s="52"/>
      <c r="AC91" s="52"/>
      <c r="AD91" s="231"/>
      <c r="AE91" s="49"/>
      <c r="AF91" s="84"/>
      <c r="AG91" s="49"/>
      <c r="AH91" s="49"/>
      <c r="AI91" s="49"/>
      <c r="AJ91" s="226"/>
      <c r="AK91" s="49"/>
      <c r="AL91" s="113">
        <f t="shared" si="19"/>
        <v>0</v>
      </c>
      <c r="AM91" s="113">
        <f t="shared" si="11"/>
        <v>0</v>
      </c>
      <c r="AN91" s="218"/>
      <c r="AO91" s="49"/>
      <c r="AP91" s="49"/>
      <c r="AQ91" s="84" t="str">
        <f>UPPER(RIGHT(Journal_Live[[#This Row],[DURATION ]]))</f>
        <v/>
      </c>
      <c r="AR91" s="49"/>
      <c r="AS91" s="55"/>
      <c r="AT91" s="55">
        <f t="shared" si="16"/>
        <v>0</v>
      </c>
      <c r="AU91" s="54">
        <f t="shared" si="17"/>
        <v>0</v>
      </c>
      <c r="AV91" s="56">
        <f t="shared" si="18"/>
        <v>0</v>
      </c>
      <c r="AW91" s="57"/>
      <c r="AX91" s="96"/>
      <c r="AY91" s="96"/>
      <c r="AZ91" s="96"/>
      <c r="BA91" s="96"/>
      <c r="BB91" s="96"/>
      <c r="BC91" s="96"/>
      <c r="BD91" s="96"/>
      <c r="BE91" s="96"/>
      <c r="BF91" s="100"/>
      <c r="BG91" s="94">
        <f>SUM($AV$4:AV91)</f>
        <v>734.7465882795608</v>
      </c>
      <c r="BH91" s="95">
        <f>SUM($AU$4:AU91)</f>
        <v>4924.3999999999614</v>
      </c>
      <c r="BI91" s="80">
        <f>SUMIFS($AU$3:AU92,$Q$3:Q92,"F")</f>
        <v>2486.4</v>
      </c>
      <c r="BJ91" s="80">
        <f>SUMIFS($AU$3:AU92,$Q$3:Q92,"S")</f>
        <v>1776.0000000000018</v>
      </c>
      <c r="BK91" s="87">
        <f>SUMIFS($AU$3:AU92,$P$3:P92,"W")</f>
        <v>2582.4000000000015</v>
      </c>
      <c r="BL91" s="87">
        <f>SUMIFS($AU$3:AU92,$P$3:P92,"R")</f>
        <v>1920.0000000000002</v>
      </c>
      <c r="BM91" s="87">
        <f>SUMIFS($AU$3:AU92,$AQ$3:AQ92,"M")</f>
        <v>1381.9999999999607</v>
      </c>
      <c r="BN91" s="87">
        <f>SUMIFS($AU$3:AU92,$AQ$3:AQ92,"H")</f>
        <v>704.00000000000102</v>
      </c>
      <c r="BO91" s="87">
        <f>SUMIFS($AU$3:AU92,$AQ$3:AQ92,"D")</f>
        <v>1504.0000000000005</v>
      </c>
      <c r="BP91" s="87">
        <f>SUMIFS($AU$3:AU94,$AQ$3:AQ94,"W")</f>
        <v>1414.3999999999999</v>
      </c>
      <c r="BQ91" s="87">
        <f>SUMIFS($AU$3:AU92,$Q$3:Q92,"O")</f>
        <v>405.99999999996044</v>
      </c>
      <c r="BR91" s="87">
        <f>SUMIFS($AU$3:AU92,$AA$3:AA92,"*")</f>
        <v>4988.3999999999623</v>
      </c>
      <c r="BS91" s="87">
        <f>SUMIFS($AU$3:AU92,$AB$3:AB92,"*")</f>
        <v>639.99999999999943</v>
      </c>
      <c r="BT91" s="87">
        <f>SUMIFS($AU$3:AU92,$AC$3:AC92,"*")</f>
        <v>1782.3999999999999</v>
      </c>
      <c r="BU91" s="87">
        <f>SUMIFS($AU$3:AU92,$AA$3:AA92,"*",$AB$3:AB92,"*")</f>
        <v>367.9999999999996</v>
      </c>
      <c r="BV91" s="87">
        <f>SUMIFS($AU$3:AU92,$AA$3:AA92,"*",$AC$3:AC92,"*")</f>
        <v>2038.3999999999999</v>
      </c>
      <c r="BW91" s="87">
        <f>SUMIFS($AU$3:AU92,$AB$3:AB92,"*",$AC$3:AC92,"*")</f>
        <v>272.00000000000006</v>
      </c>
      <c r="BX91" s="87">
        <f>SUMIFS($AV$3:AV92,$Q$3:Q92,"F")</f>
        <v>100.11428571428571</v>
      </c>
      <c r="BY91" s="87">
        <f>SUMIFS($AV$3:AV92,$Q$3:Q92,"S")</f>
        <v>144.88230256529496</v>
      </c>
      <c r="BZ91" s="87">
        <f>SUMIFS($AV$3:AV92,$Q$3:Q92,"O")</f>
        <v>202.99999999998022</v>
      </c>
    </row>
    <row r="92" spans="1:78" ht="18" customHeight="1">
      <c r="A92" s="45" t="s">
        <v>96</v>
      </c>
      <c r="B92" s="59">
        <v>45320</v>
      </c>
      <c r="C92" s="46" t="s">
        <v>444</v>
      </c>
      <c r="D92" s="46" t="s">
        <v>176</v>
      </c>
      <c r="E92" s="66"/>
      <c r="F92" s="47"/>
      <c r="G92" s="71" t="s">
        <v>99</v>
      </c>
      <c r="H92" s="49"/>
      <c r="I92" s="49"/>
      <c r="J92" s="49"/>
      <c r="K92" s="50"/>
      <c r="L92" s="49">
        <v>1</v>
      </c>
      <c r="M92" s="49"/>
      <c r="N92" s="49"/>
      <c r="O92" s="50" t="s">
        <v>100</v>
      </c>
      <c r="P92" s="50" t="s">
        <v>101</v>
      </c>
      <c r="Q92" s="50" t="s">
        <v>102</v>
      </c>
      <c r="R92" s="50">
        <v>64</v>
      </c>
      <c r="S92" s="50">
        <v>42</v>
      </c>
      <c r="T92" s="50">
        <v>32</v>
      </c>
      <c r="U92" s="50" t="s">
        <v>22</v>
      </c>
      <c r="V92" s="50"/>
      <c r="W92" s="50"/>
      <c r="X92" s="50"/>
      <c r="Y92" s="51">
        <f>IF(ISBLANK(O92),"",(IF(O92=UPPER("IB"),0.005,0.01)))</f>
        <v>0.01</v>
      </c>
      <c r="Z92" s="52">
        <f>IF(ISBLANK(O92),"",IF(O92="IB",8.63*200,IF(O92="IR",16*100,IF(O92="YT",20*100,IF(O92="YT-XT",24*200,IF(O92="TED",80*100))))))</f>
        <v>1600</v>
      </c>
      <c r="AA92" s="52" t="s">
        <v>445</v>
      </c>
      <c r="AB92" s="52"/>
      <c r="AC92" s="52"/>
      <c r="AD92" s="231">
        <v>-6.5000000000000002E-2</v>
      </c>
      <c r="AE92" s="49"/>
      <c r="AF92" s="84"/>
      <c r="AG92" s="49"/>
      <c r="AH92" s="49"/>
      <c r="AI92" s="49"/>
      <c r="AJ92" s="226"/>
      <c r="AK92" s="49"/>
      <c r="AL92" s="113">
        <f>-0.025*Z92</f>
        <v>-40</v>
      </c>
      <c r="AM92" s="113">
        <f t="shared" si="11"/>
        <v>-880</v>
      </c>
      <c r="AN92" s="218"/>
      <c r="AO92" s="49"/>
      <c r="AP92" s="49" t="s">
        <v>446</v>
      </c>
      <c r="AQ92" s="84" t="s">
        <v>142</v>
      </c>
      <c r="AR92" s="49" t="s">
        <v>447</v>
      </c>
      <c r="AS92" s="55">
        <f>((-0.06*10)+(-0.06*27)+(-0.07*5)+(-0.07*22))/64</f>
        <v>-6.4218749999999991E-2</v>
      </c>
      <c r="AT92" s="55">
        <f t="shared" si="16"/>
        <v>7.812500000000111E-4</v>
      </c>
      <c r="AU92" s="54">
        <f t="shared" si="17"/>
        <v>80.000000000001137</v>
      </c>
      <c r="AV92" s="56">
        <f t="shared" si="18"/>
        <v>1.2500000000000178</v>
      </c>
      <c r="AW92" s="57" t="s">
        <v>101</v>
      </c>
      <c r="AX92" s="96" t="s">
        <v>448</v>
      </c>
      <c r="AY92" s="96" t="s">
        <v>449</v>
      </c>
      <c r="AZ92" s="96"/>
      <c r="BA92" s="96"/>
      <c r="BB92" s="96"/>
      <c r="BC92" s="96"/>
      <c r="BD92" s="96"/>
      <c r="BE92" s="96"/>
      <c r="BF92" s="100"/>
      <c r="BG92" s="94">
        <f>SUM($AV$4:AV92)</f>
        <v>735.9965882795608</v>
      </c>
      <c r="BH92" s="95">
        <f>SUM($AU$4:AU92)</f>
        <v>5004.3999999999623</v>
      </c>
      <c r="BI92" s="80">
        <f>SUMIFS($AU$3:AU93,$Q$3:Q93,"F")</f>
        <v>2486.4</v>
      </c>
      <c r="BJ92" s="80">
        <f>SUMIFS($AU$3:AU93,$Q$3:Q93,"S")</f>
        <v>1776.0000000000018</v>
      </c>
      <c r="BK92" s="87">
        <f>SUMIFS($AU$3:AU93,$P$3:P93,"W")</f>
        <v>2582.4000000000015</v>
      </c>
      <c r="BL92" s="87">
        <f>SUMIFS($AU$3:AU93,$P$3:P93,"R")</f>
        <v>1920.0000000000002</v>
      </c>
      <c r="BM92" s="87">
        <f>SUMIFS($AU$3:AU93,$AQ$3:AQ93,"M")</f>
        <v>1381.9999999999607</v>
      </c>
      <c r="BN92" s="87">
        <f>SUMIFS($AU$3:AU93,$AQ$3:AQ93,"H")</f>
        <v>704.00000000000102</v>
      </c>
      <c r="BO92" s="87">
        <f>SUMIFS($AU$3:AU93,$AQ$3:AQ93,"D")</f>
        <v>1504.0000000000005</v>
      </c>
      <c r="BP92" s="87">
        <f>SUMIFS($AU$3:AU95,$AQ$3:AQ95,"W")</f>
        <v>1414.3999999999999</v>
      </c>
      <c r="BQ92" s="87">
        <f>SUMIFS($AU$3:AU93,$Q$3:Q93,"O")</f>
        <v>405.99999999996044</v>
      </c>
      <c r="BR92" s="87">
        <f>SUMIFS($AU$3:AU93,$AA$3:AA93,"*")</f>
        <v>4988.3999999999623</v>
      </c>
      <c r="BS92" s="87">
        <f>SUMIFS($AU$3:AU93,$AB$3:AB93,"*")</f>
        <v>639.99999999999943</v>
      </c>
      <c r="BT92" s="87">
        <f>SUMIFS($AU$3:AU93,$AC$3:AC93,"*")</f>
        <v>1782.3999999999999</v>
      </c>
      <c r="BU92" s="87">
        <f>SUMIFS($AU$3:AU93,$AA$3:AA93,"*",$AB$3:AB93,"*")</f>
        <v>367.9999999999996</v>
      </c>
      <c r="BV92" s="87">
        <f>SUMIFS($AU$3:AU93,$AA$3:AA93,"*",$AC$3:AC93,"*")</f>
        <v>2038.3999999999999</v>
      </c>
      <c r="BW92" s="87">
        <f>SUMIFS($AU$3:AU93,$AB$3:AB93,"*",$AC$3:AC93,"*")</f>
        <v>272.00000000000006</v>
      </c>
      <c r="BX92" s="87">
        <f>SUMIFS($AV$3:AV93,$Q$3:Q93,"F")</f>
        <v>100.11428571428571</v>
      </c>
      <c r="BY92" s="87">
        <f>SUMIFS($AV$3:AV93,$Q$3:Q93,"S")</f>
        <v>144.88230256529496</v>
      </c>
      <c r="BZ92" s="87">
        <f>SUMIFS($AV$3:AV93,$Q$3:Q93,"O")</f>
        <v>202.99999999998022</v>
      </c>
    </row>
    <row r="93" spans="1:78" ht="18" customHeight="1">
      <c r="A93" s="45" t="s">
        <v>96</v>
      </c>
      <c r="B93" s="59">
        <v>45320</v>
      </c>
      <c r="C93" s="46" t="s">
        <v>450</v>
      </c>
      <c r="D93" s="46" t="s">
        <v>176</v>
      </c>
      <c r="E93" s="66"/>
      <c r="F93" s="47"/>
      <c r="G93" s="71" t="s">
        <v>111</v>
      </c>
      <c r="H93" s="49"/>
      <c r="I93" s="49"/>
      <c r="J93" s="49"/>
      <c r="K93" s="50"/>
      <c r="L93" s="49">
        <v>1</v>
      </c>
      <c r="M93" s="49"/>
      <c r="N93" s="49"/>
      <c r="O93" s="50" t="s">
        <v>100</v>
      </c>
      <c r="P93" s="50" t="s">
        <v>101</v>
      </c>
      <c r="Q93" s="50" t="s">
        <v>102</v>
      </c>
      <c r="R93" s="50">
        <v>32</v>
      </c>
      <c r="S93" s="50">
        <v>22</v>
      </c>
      <c r="T93" s="50">
        <v>32</v>
      </c>
      <c r="U93" s="50" t="s">
        <v>22</v>
      </c>
      <c r="V93" s="50"/>
      <c r="W93" s="50"/>
      <c r="X93" s="50"/>
      <c r="Y93" s="51">
        <f>IF(ISBLANK(O93),"",(IF(O93=UPPER("IB"),0.005,0.01)))</f>
        <v>0.01</v>
      </c>
      <c r="Z93" s="52">
        <f>IF(ISBLANK(O93),"",IF(O93="IB",8.63*200,IF(O93="IR",16*100,IF(O93="YT",20*100,IF(O93="YT-XT",24*200,IF(O93="TED",80*100))))))</f>
        <v>1600</v>
      </c>
      <c r="AA93" s="52" t="s">
        <v>445</v>
      </c>
      <c r="AB93" s="52"/>
      <c r="AC93" s="52"/>
      <c r="AD93" s="231">
        <v>-0.11</v>
      </c>
      <c r="AE93" s="49"/>
      <c r="AF93" s="84"/>
      <c r="AG93" s="49"/>
      <c r="AH93" s="49"/>
      <c r="AI93" s="49"/>
      <c r="AJ93" s="226"/>
      <c r="AK93" s="49"/>
      <c r="AL93" s="113">
        <f t="shared" si="19"/>
        <v>-32</v>
      </c>
      <c r="AM93" s="113">
        <f t="shared" si="11"/>
        <v>-320</v>
      </c>
      <c r="AN93" s="218"/>
      <c r="AO93" s="49"/>
      <c r="AP93" s="49" t="s">
        <v>451</v>
      </c>
      <c r="AQ93" s="84" t="s">
        <v>350</v>
      </c>
      <c r="AR93" s="49" t="s">
        <v>452</v>
      </c>
      <c r="AS93" s="55">
        <v>-0.11</v>
      </c>
      <c r="AT93" s="55">
        <f t="shared" si="16"/>
        <v>0</v>
      </c>
      <c r="AU93" s="54">
        <f t="shared" si="17"/>
        <v>0</v>
      </c>
      <c r="AV93" s="56">
        <f t="shared" si="18"/>
        <v>0</v>
      </c>
      <c r="AW93" s="57" t="s">
        <v>155</v>
      </c>
      <c r="AX93" s="96" t="s">
        <v>419</v>
      </c>
      <c r="AY93" s="96"/>
      <c r="AZ93" s="96"/>
      <c r="BA93" s="96"/>
      <c r="BB93" s="96"/>
      <c r="BC93" s="96"/>
      <c r="BD93" s="96"/>
      <c r="BE93" s="96"/>
      <c r="BF93" s="100"/>
      <c r="BG93" s="94">
        <f>SUM($AV$4:AV93)</f>
        <v>735.9965882795608</v>
      </c>
      <c r="BH93" s="95">
        <f>SUM($AU$4:AU93)</f>
        <v>5004.3999999999623</v>
      </c>
      <c r="BI93" s="80">
        <f>SUMIFS($AU$3:AU96,$Q$3:Q96,"F")</f>
        <v>2486.4</v>
      </c>
      <c r="BJ93" s="80">
        <f>SUMIFS($AU$3:AU96,$Q$3:Q96,"S")</f>
        <v>1776.0000000000018</v>
      </c>
      <c r="BK93" s="87">
        <f>SUMIFS($AU$3:AU96,$P$3:P96,"W")</f>
        <v>2582.4000000000015</v>
      </c>
      <c r="BL93" s="87">
        <f>SUMIFS($AU$3:AU96,$P$3:P96,"R")</f>
        <v>1920.0000000000002</v>
      </c>
      <c r="BM93" s="87">
        <f>SUMIFS($AU$3:AU96,$AQ$3:AQ96,"M")</f>
        <v>1381.9999999999607</v>
      </c>
      <c r="BN93" s="87">
        <f>SUMIFS($AU$3:AU96,$AQ$3:AQ96,"H")</f>
        <v>704.00000000000102</v>
      </c>
      <c r="BO93" s="87">
        <f>SUMIFS($AU$3:AU96,$AQ$3:AQ96,"D")</f>
        <v>1504.0000000000005</v>
      </c>
      <c r="BP93" s="87">
        <f>SUMIFS($AU$3:AU96,$AQ$3:AQ96,"W")</f>
        <v>1414.3999999999999</v>
      </c>
      <c r="BQ93" s="87">
        <f>SUMIFS($AU$3:AU96,$Q$3:Q96,"O")</f>
        <v>405.99999999996044</v>
      </c>
      <c r="BR93" s="87">
        <f>SUMIFS($AU$3:AU94,$AA$3:AA94,"*")</f>
        <v>4988.3999999999623</v>
      </c>
      <c r="BS93" s="87">
        <f>SUMIFS($AU$3:AU94,$AB$3:AB94,"*")</f>
        <v>639.99999999999943</v>
      </c>
      <c r="BT93" s="87">
        <f>SUMIFS($AU$3:AU94,$AC$3:AC94,"*")</f>
        <v>1782.3999999999999</v>
      </c>
      <c r="BU93" s="87">
        <f>SUMIFS($AU$3:AU94,$AA$3:AA94,"*",$AB$3:AB94,"*")</f>
        <v>367.9999999999996</v>
      </c>
      <c r="BV93" s="87">
        <f>SUMIFS($AU$3:AU94,$AA$3:AA94,"*",$AC$3:AC94,"*")</f>
        <v>2038.3999999999999</v>
      </c>
      <c r="BW93" s="87">
        <f>SUMIFS($AU$3:AU94,$AB$3:AB94,"*",$AC$3:AC94,"*")</f>
        <v>272.00000000000006</v>
      </c>
      <c r="BX93" s="87">
        <f>SUMIFS($AV$3:AV94,$Q$3:Q94,"F")</f>
        <v>100.11428571428571</v>
      </c>
      <c r="BY93" s="87">
        <f>SUMIFS($AV$3:AV94,$Q$3:Q94,"S")</f>
        <v>144.88230256529496</v>
      </c>
      <c r="BZ93" s="87">
        <f>SUMIFS($AV$3:AV94,$Q$3:Q94,"O")</f>
        <v>202.99999999998022</v>
      </c>
    </row>
    <row r="94" spans="1:78" ht="18" customHeight="1">
      <c r="A94" s="45" t="s">
        <v>96</v>
      </c>
      <c r="B94" s="59"/>
      <c r="C94" s="46"/>
      <c r="D94" s="46"/>
      <c r="E94" s="66"/>
      <c r="F94" s="47"/>
      <c r="G94" s="48"/>
      <c r="H94" s="49"/>
      <c r="I94" s="49"/>
      <c r="J94" s="49"/>
      <c r="K94" s="50"/>
      <c r="L94" s="49"/>
      <c r="M94" s="49"/>
      <c r="N94" s="49"/>
      <c r="O94" s="50"/>
      <c r="P94" s="50"/>
      <c r="Q94" s="50"/>
      <c r="R94" s="50"/>
      <c r="S94" s="50"/>
      <c r="T94" s="50"/>
      <c r="U94" s="50"/>
      <c r="V94" s="50"/>
      <c r="W94" s="50"/>
      <c r="X94" s="50"/>
      <c r="Y94" s="50"/>
      <c r="Z94" s="50"/>
      <c r="AA94" s="52"/>
      <c r="AB94" s="52"/>
      <c r="AC94" s="52"/>
      <c r="AD94" s="231"/>
      <c r="AE94" s="49"/>
      <c r="AF94" s="84"/>
      <c r="AG94" s="49"/>
      <c r="AH94" s="49"/>
      <c r="AI94" s="49"/>
      <c r="AJ94" s="226"/>
      <c r="AK94" s="49"/>
      <c r="AL94" s="113">
        <f t="shared" ref="AL94" si="20">-0.02*Z94</f>
        <v>0</v>
      </c>
      <c r="AM94" s="113">
        <f t="shared" si="11"/>
        <v>0</v>
      </c>
      <c r="AN94" s="218"/>
      <c r="AO94" s="49"/>
      <c r="AP94" s="49"/>
      <c r="AQ94" s="84" t="str">
        <f>UPPER(RIGHT(Journal_Live[[#This Row],[DURATION ]]))</f>
        <v/>
      </c>
      <c r="AR94" s="49"/>
      <c r="AS94" s="55"/>
      <c r="AT94" s="55"/>
      <c r="AU94" s="54"/>
      <c r="AV94" s="56"/>
      <c r="AW94" s="57"/>
      <c r="AX94" s="96" t="s">
        <v>453</v>
      </c>
      <c r="AY94" s="96" t="s">
        <v>454</v>
      </c>
      <c r="AZ94" s="96" t="s">
        <v>455</v>
      </c>
      <c r="BA94" s="96" t="s">
        <v>456</v>
      </c>
      <c r="BB94" s="96"/>
      <c r="BC94" s="96"/>
      <c r="BD94" s="96"/>
      <c r="BE94" s="96"/>
      <c r="BF94" s="100"/>
      <c r="BG94" s="94">
        <f>SUM($AV$4:AV94)</f>
        <v>735.9965882795608</v>
      </c>
      <c r="BH94" s="95">
        <f>SUM($AU$4:AU94)</f>
        <v>5004.3999999999623</v>
      </c>
      <c r="BI94" s="80">
        <f>SUMIFS($AU$3:AU95,$Q$3:Q95,"F")</f>
        <v>2486.4</v>
      </c>
      <c r="BJ94" s="80">
        <f>SUMIFS($AU$3:AU95,$Q$3:Q95,"S")</f>
        <v>1776.0000000000018</v>
      </c>
      <c r="BK94" s="87">
        <f>SUMIFS($AU$3:AU95,$P$3:P95,"W")</f>
        <v>2582.4000000000015</v>
      </c>
      <c r="BL94" s="87">
        <f>SUMIFS($AU$3:AU95,$P$3:P95,"R")</f>
        <v>1920.0000000000002</v>
      </c>
      <c r="BM94" s="87">
        <f>SUMIFS($AU$3:AU95,$AQ$3:AQ95,"M")</f>
        <v>1381.9999999999607</v>
      </c>
      <c r="BN94" s="87">
        <f>SUMIFS($AU$3:AU95,$AQ$3:AQ95,"H")</f>
        <v>704.00000000000102</v>
      </c>
      <c r="BO94" s="87">
        <f>SUMIFS($AU$3:AU95,$AQ$3:AQ95,"D")</f>
        <v>1504.0000000000005</v>
      </c>
      <c r="BP94" s="87">
        <f>SUMIFS($AU$3:AU97,$AQ$3:AQ97,"W")</f>
        <v>1414.3999999999999</v>
      </c>
      <c r="BQ94" s="87">
        <f>SUMIFS($AU$3:AU95,$Q$3:Q95,"O")</f>
        <v>405.99999999996044</v>
      </c>
      <c r="BR94" s="87">
        <f>SUMIFS($AU$3:AU95,$AA$3:AA95,"*")</f>
        <v>4988.3999999999623</v>
      </c>
      <c r="BS94" s="87">
        <f>SUMIFS($AU$3:AU95,$AB$3:AB95,"*")</f>
        <v>639.99999999999943</v>
      </c>
      <c r="BT94" s="87">
        <f>SUMIFS($AU$3:AU95,$AC$3:AC95,"*")</f>
        <v>1782.3999999999999</v>
      </c>
      <c r="BU94" s="87">
        <f>SUMIFS($AU$3:AU95,$AA$3:AA95,"*",$AB$3:AB95,"*")</f>
        <v>367.9999999999996</v>
      </c>
      <c r="BV94" s="87">
        <f>SUMIFS($AU$3:AU95,$AA$3:AA95,"*",$AC$3:AC95,"*")</f>
        <v>2038.3999999999999</v>
      </c>
      <c r="BW94" s="87">
        <f>SUMIFS($AU$3:AU95,$AB$3:AB95,"*",$AC$3:AC95,"*")</f>
        <v>272.00000000000006</v>
      </c>
      <c r="BX94" s="87">
        <f>SUMIFS($AV$3:AV95,$Q$3:Q95,"F")</f>
        <v>100.11428571428571</v>
      </c>
      <c r="BY94" s="87">
        <f>SUMIFS($AV$3:AV95,$Q$3:Q95,"S")</f>
        <v>144.88230256529496</v>
      </c>
      <c r="BZ94" s="87">
        <f>SUMIFS($AV$3:AV95,$Q$3:Q95,"O")</f>
        <v>202.99999999998022</v>
      </c>
    </row>
    <row r="95" spans="1:78" ht="18" customHeight="1">
      <c r="A95" s="45" t="s">
        <v>96</v>
      </c>
      <c r="B95" s="59"/>
      <c r="C95" s="46"/>
      <c r="D95" s="46"/>
      <c r="E95" s="66"/>
      <c r="F95" s="47"/>
      <c r="G95" s="48"/>
      <c r="H95" s="49"/>
      <c r="I95" s="49"/>
      <c r="J95" s="49"/>
      <c r="K95" s="50"/>
      <c r="L95" s="49"/>
      <c r="M95" s="49"/>
      <c r="N95" s="49"/>
      <c r="O95" s="50"/>
      <c r="P95" s="50"/>
      <c r="Q95" s="50"/>
      <c r="R95" s="50"/>
      <c r="S95" s="50"/>
      <c r="T95" s="50"/>
      <c r="U95" s="50"/>
      <c r="V95" s="50"/>
      <c r="W95" s="50"/>
      <c r="X95" s="50"/>
      <c r="Y95" s="50"/>
      <c r="Z95" s="50"/>
      <c r="AA95" s="52"/>
      <c r="AB95" s="52"/>
      <c r="AC95" s="52"/>
      <c r="AD95" s="231"/>
      <c r="AE95" s="49"/>
      <c r="AF95" s="84"/>
      <c r="AG95" s="49"/>
      <c r="AH95" s="49"/>
      <c r="AI95" s="49"/>
      <c r="AJ95" s="226"/>
      <c r="AK95" s="49"/>
      <c r="AL95" s="113">
        <f t="shared" ref="AL95" si="21">-0.02*Z95</f>
        <v>0</v>
      </c>
      <c r="AM95" s="113">
        <f t="shared" si="11"/>
        <v>0</v>
      </c>
      <c r="AN95" s="218"/>
      <c r="AO95" s="49"/>
      <c r="AP95" s="49"/>
      <c r="AQ95" s="84" t="str">
        <f>UPPER(RIGHT(Journal_Live[[#This Row],[DURATION ]]))</f>
        <v/>
      </c>
      <c r="AR95" s="49"/>
      <c r="AS95" s="55"/>
      <c r="AT95" s="55"/>
      <c r="AU95" s="54"/>
      <c r="AV95" s="56"/>
      <c r="AW95" s="57"/>
      <c r="AX95" s="96" t="s">
        <v>457</v>
      </c>
      <c r="AY95" s="96" t="s">
        <v>458</v>
      </c>
      <c r="AZ95" s="96"/>
      <c r="BA95" s="96"/>
      <c r="BB95" s="96"/>
      <c r="BC95" s="96"/>
      <c r="BD95" s="96"/>
      <c r="BE95" s="96"/>
      <c r="BF95" s="100"/>
      <c r="BG95" s="94">
        <f>SUM($AV$4:AV95)</f>
        <v>735.9965882795608</v>
      </c>
      <c r="BH95" s="95">
        <f>SUM($AU$4:AU95)</f>
        <v>5004.3999999999623</v>
      </c>
      <c r="BI95" s="80">
        <f>SUMIFS($AU$3:AU96,$Q$3:Q96,"F")</f>
        <v>2486.4</v>
      </c>
      <c r="BJ95" s="80">
        <f>SUMIFS($AU$3:AU96,$Q$3:Q96,"S")</f>
        <v>1776.0000000000018</v>
      </c>
      <c r="BK95" s="87">
        <f>SUMIFS($AU$3:AU96,$P$3:P96,"W")</f>
        <v>2582.4000000000015</v>
      </c>
      <c r="BL95" s="87">
        <f>SUMIFS($AU$3:AU96,$P$3:P96,"R")</f>
        <v>1920.0000000000002</v>
      </c>
      <c r="BM95" s="87">
        <f>SUMIFS($AU$3:AU96,$AQ$3:AQ96,"M")</f>
        <v>1381.9999999999607</v>
      </c>
      <c r="BN95" s="87">
        <f>SUMIFS($AU$3:AU96,$AQ$3:AQ96,"H")</f>
        <v>704.00000000000102</v>
      </c>
      <c r="BO95" s="87">
        <f>SUMIFS($AU$3:AU96,$AQ$3:AQ96,"D")</f>
        <v>1504.0000000000005</v>
      </c>
      <c r="BP95" s="87">
        <f>SUMIFS($AU$3:AU98,$AQ$3:AQ98,"W")</f>
        <v>1414.3999999999999</v>
      </c>
      <c r="BQ95" s="87">
        <f>SUMIFS($AU$3:AU96,$Q$3:Q96,"O")</f>
        <v>405.99999999996044</v>
      </c>
      <c r="BR95" s="87">
        <f>SUMIFS($AU$3:AU96,$AA$3:AA96,"*")</f>
        <v>4988.3999999999623</v>
      </c>
      <c r="BS95" s="87">
        <f>SUMIFS($AU$3:AU96,$AB$3:AB96,"*")</f>
        <v>639.99999999999943</v>
      </c>
      <c r="BT95" s="87">
        <f>SUMIFS($AU$3:AU96,$AC$3:AC96,"*")</f>
        <v>1782.3999999999999</v>
      </c>
      <c r="BU95" s="87">
        <f>SUMIFS($AU$3:AU96,$AA$3:AA96,"*",$AB$3:AB96,"*")</f>
        <v>367.9999999999996</v>
      </c>
      <c r="BV95" s="87">
        <f>SUMIFS($AU$3:AU96,$AA$3:AA96,"*",$AC$3:AC96,"*")</f>
        <v>2038.3999999999999</v>
      </c>
      <c r="BW95" s="87">
        <f>SUMIFS($AU$3:AU96,$AB$3:AB96,"*",$AC$3:AC96,"*")</f>
        <v>272.00000000000006</v>
      </c>
      <c r="BX95" s="87">
        <f>SUMIFS($AV$3:AV96,$Q$3:Q96,"F")</f>
        <v>100.11428571428571</v>
      </c>
      <c r="BY95" s="87">
        <f>SUMIFS($AV$3:AV96,$Q$3:Q96,"S")</f>
        <v>144.88230256529496</v>
      </c>
      <c r="BZ95" s="87">
        <f>SUMIFS($AV$3:AV96,$Q$3:Q96,"O")</f>
        <v>202.99999999998022</v>
      </c>
    </row>
    <row r="96" spans="1:78" ht="18" customHeight="1">
      <c r="A96" s="45" t="s">
        <v>96</v>
      </c>
      <c r="B96" s="59">
        <v>45320</v>
      </c>
      <c r="C96" s="46" t="s">
        <v>139</v>
      </c>
      <c r="D96" s="46" t="s">
        <v>176</v>
      </c>
      <c r="E96" s="66"/>
      <c r="F96" s="47"/>
      <c r="G96" s="71" t="s">
        <v>459</v>
      </c>
      <c r="H96" s="49"/>
      <c r="I96" s="49"/>
      <c r="J96" s="49"/>
      <c r="K96" s="50"/>
      <c r="L96" s="49">
        <v>1</v>
      </c>
      <c r="M96" s="49"/>
      <c r="N96" s="49"/>
      <c r="O96" s="50" t="s">
        <v>100</v>
      </c>
      <c r="P96" s="50" t="s">
        <v>101</v>
      </c>
      <c r="Q96" s="50" t="s">
        <v>102</v>
      </c>
      <c r="R96" s="50">
        <v>32</v>
      </c>
      <c r="S96" s="50">
        <v>0</v>
      </c>
      <c r="T96" s="50">
        <v>32</v>
      </c>
      <c r="U96" s="50" t="s">
        <v>22</v>
      </c>
      <c r="V96" s="50"/>
      <c r="W96" s="50"/>
      <c r="X96" s="50"/>
      <c r="Y96" s="51">
        <f>IF(ISBLANK(O96),"",(IF(O96=UPPER("IB"),0.005,0.01)))</f>
        <v>0.01</v>
      </c>
      <c r="Z96" s="52">
        <f>IF(ISBLANK(O96),"",IF(O96="IB",8.63*200,IF(O96="IR",16*100,IF(O96="YT",20*100,IF(O96="YT-XT",24*200,IF(O96="TED",80*100))))))</f>
        <v>1600</v>
      </c>
      <c r="AA96" s="97" t="s">
        <v>460</v>
      </c>
      <c r="AB96" s="52"/>
      <c r="AC96" s="52"/>
      <c r="AD96" s="231">
        <v>-0.25</v>
      </c>
      <c r="AE96" s="49"/>
      <c r="AF96" s="84"/>
      <c r="AG96" s="49"/>
      <c r="AH96" s="49"/>
      <c r="AI96" s="49"/>
      <c r="AJ96" s="226"/>
      <c r="AK96" s="49"/>
      <c r="AL96" s="113">
        <f t="shared" si="19"/>
        <v>-32</v>
      </c>
      <c r="AM96" s="113">
        <f t="shared" si="11"/>
        <v>-1024</v>
      </c>
      <c r="AN96" s="218"/>
      <c r="AO96" s="49"/>
      <c r="AP96" s="49" t="s">
        <v>461</v>
      </c>
      <c r="AQ96" s="84" t="s">
        <v>142</v>
      </c>
      <c r="AR96" s="74" t="s">
        <v>462</v>
      </c>
      <c r="AS96" s="55">
        <v>-0.25</v>
      </c>
      <c r="AT96" s="55">
        <f>IF(ISBLANK(AS96),,IF(U96="S",AD96-AS96,AS96-AD96))</f>
        <v>0</v>
      </c>
      <c r="AU96" s="54">
        <f>AV96*R96</f>
        <v>0</v>
      </c>
      <c r="AV96" s="56">
        <f>IF(ISBLANK(AS96),,(AT96*Z96))</f>
        <v>0</v>
      </c>
      <c r="AW96" s="57" t="s">
        <v>155</v>
      </c>
      <c r="AX96" s="96"/>
      <c r="AY96" s="96"/>
      <c r="AZ96" s="96"/>
      <c r="BA96" s="96"/>
      <c r="BB96" s="96"/>
      <c r="BC96" s="96"/>
      <c r="BD96" s="96"/>
      <c r="BE96" s="96"/>
      <c r="BF96" s="100"/>
      <c r="BG96" s="94">
        <f>SUM($AV$4:AV96)</f>
        <v>735.9965882795608</v>
      </c>
      <c r="BH96" s="95">
        <f>SUM($AU$4:AU96)</f>
        <v>5004.3999999999623</v>
      </c>
      <c r="BI96" s="80">
        <f>SUMIFS($AU$3:AU97,$Q$3:Q97,"F")</f>
        <v>2486.4</v>
      </c>
      <c r="BJ96" s="80">
        <f>SUMIFS($AU$3:AU97,$Q$3:Q97,"S")</f>
        <v>1776.0000000000018</v>
      </c>
      <c r="BK96" s="87">
        <f>SUMIFS($AU$3:AU97,$P$3:P97,"W")</f>
        <v>2582.4000000000015</v>
      </c>
      <c r="BL96" s="87">
        <f>SUMIFS($AU$3:AU97,$P$3:P97,"R")</f>
        <v>1920.0000000000002</v>
      </c>
      <c r="BM96" s="87">
        <f>SUMIFS($AU$3:AU97,$AQ$3:AQ97,"M")</f>
        <v>1381.9999999999607</v>
      </c>
      <c r="BN96" s="87">
        <f>SUMIFS($AU$3:AU97,$AQ$3:AQ97,"H")</f>
        <v>704.00000000000102</v>
      </c>
      <c r="BO96" s="87">
        <f>SUMIFS($AU$3:AU97,$AQ$3:AQ97,"D")</f>
        <v>1504.0000000000005</v>
      </c>
      <c r="BP96" s="87">
        <f>SUMIFS($AU$3:AU99,$AQ$3:AQ99,"W")</f>
        <v>1414.3999999999999</v>
      </c>
      <c r="BQ96" s="87">
        <f>SUMIFS($AU$3:AU97,$Q$3:Q97,"O")</f>
        <v>405.99999999996044</v>
      </c>
      <c r="BR96" s="87">
        <f>SUMIFS($AU$3:AU97,$AA$3:AA97,"*")</f>
        <v>4988.3999999999623</v>
      </c>
      <c r="BS96" s="87">
        <f>SUMIFS($AU$3:AU97,$AB$3:AB97,"*")</f>
        <v>639.99999999999943</v>
      </c>
      <c r="BT96" s="87">
        <f>SUMIFS($AU$3:AU97,$AC$3:AC97,"*")</f>
        <v>1782.3999999999999</v>
      </c>
      <c r="BU96" s="87">
        <f>SUMIFS($AU$3:AU97,$AA$3:AA97,"*",$AB$3:AB97,"*")</f>
        <v>367.9999999999996</v>
      </c>
      <c r="BV96" s="87">
        <f>SUMIFS($AU$3:AU97,$AA$3:AA97,"*",$AC$3:AC97,"*")</f>
        <v>2038.3999999999999</v>
      </c>
      <c r="BW96" s="87">
        <f>SUMIFS($AU$3:AU97,$AB$3:AB97,"*",$AC$3:AC97,"*")</f>
        <v>272.00000000000006</v>
      </c>
      <c r="BX96" s="87">
        <f>SUMIFS($AV$3:AV97,$Q$3:Q97,"F")</f>
        <v>100.11428571428571</v>
      </c>
      <c r="BY96" s="87">
        <f>SUMIFS($AV$3:AV97,$Q$3:Q97,"S")</f>
        <v>144.88230256529496</v>
      </c>
      <c r="BZ96" s="87">
        <f>SUMIFS($AV$3:AV97,$Q$3:Q97,"O")</f>
        <v>202.99999999998022</v>
      </c>
    </row>
    <row r="97" spans="1:78" ht="18" customHeight="1">
      <c r="A97" s="45" t="s">
        <v>96</v>
      </c>
      <c r="B97" s="59">
        <v>45320</v>
      </c>
      <c r="C97" s="46" t="s">
        <v>224</v>
      </c>
      <c r="D97" s="46" t="s">
        <v>176</v>
      </c>
      <c r="E97" s="66"/>
      <c r="F97" s="47"/>
      <c r="G97" s="48" t="s">
        <v>463</v>
      </c>
      <c r="H97" s="49"/>
      <c r="I97" s="49"/>
      <c r="J97" s="49"/>
      <c r="K97" s="50"/>
      <c r="L97" s="49"/>
      <c r="M97" s="49"/>
      <c r="N97" s="49"/>
      <c r="O97" s="50"/>
      <c r="P97" s="50"/>
      <c r="Q97" s="50"/>
      <c r="R97" s="50"/>
      <c r="S97" s="50"/>
      <c r="T97" s="50"/>
      <c r="U97" s="50"/>
      <c r="V97" s="50"/>
      <c r="W97" s="50"/>
      <c r="X97" s="50"/>
      <c r="Y97" s="51"/>
      <c r="Z97" s="52"/>
      <c r="AA97" s="52"/>
      <c r="AB97" s="52"/>
      <c r="AC97" s="52"/>
      <c r="AD97" s="231"/>
      <c r="AE97" s="49"/>
      <c r="AF97" s="84"/>
      <c r="AG97" s="49"/>
      <c r="AH97" s="49"/>
      <c r="AI97" s="49"/>
      <c r="AJ97" s="226"/>
      <c r="AK97" s="49"/>
      <c r="AL97" s="113">
        <f t="shared" si="19"/>
        <v>0</v>
      </c>
      <c r="AM97" s="113">
        <f t="shared" si="11"/>
        <v>0</v>
      </c>
      <c r="AN97" s="218"/>
      <c r="AO97" s="49"/>
      <c r="AP97" s="49"/>
      <c r="AQ97" s="84" t="str">
        <f>UPPER(RIGHT(Journal_Live[[#This Row],[DURATION ]]))</f>
        <v/>
      </c>
      <c r="AR97" s="49"/>
      <c r="AS97" s="55"/>
      <c r="AT97" s="55"/>
      <c r="AU97" s="54"/>
      <c r="AV97" s="56"/>
      <c r="AW97" s="57"/>
      <c r="AX97" s="96" t="s">
        <v>464</v>
      </c>
      <c r="AY97" s="96"/>
      <c r="AZ97" s="96"/>
      <c r="BA97" s="96"/>
      <c r="BB97" s="96"/>
      <c r="BC97" s="96"/>
      <c r="BD97" s="96"/>
      <c r="BE97" s="96"/>
      <c r="BF97" s="100"/>
      <c r="BG97" s="94">
        <f>SUM($AV$4:AV97)</f>
        <v>735.9965882795608</v>
      </c>
      <c r="BH97" s="95">
        <f>SUM($AU$4:AU97)</f>
        <v>5004.3999999999623</v>
      </c>
      <c r="BI97" s="80">
        <f>SUMIFS($AU$3:AU98,$Q$3:Q98,"F")</f>
        <v>2486.4</v>
      </c>
      <c r="BJ97" s="80">
        <f>SUMIFS($AU$3:AU98,$Q$3:Q98,"S")</f>
        <v>1776.0000000000018</v>
      </c>
      <c r="BK97" s="87">
        <f>SUMIFS($AU$3:AU98,$P$3:P98,"W")</f>
        <v>2582.4000000000015</v>
      </c>
      <c r="BL97" s="87">
        <f>SUMIFS($AU$3:AU98,$P$3:P98,"R")</f>
        <v>1920.0000000000002</v>
      </c>
      <c r="BM97" s="87">
        <f>SUMIFS($AU$3:AU98,$AQ$3:AQ98,"M")</f>
        <v>1381.9999999999607</v>
      </c>
      <c r="BN97" s="87">
        <f>SUMIFS($AU$3:AU98,$AQ$3:AQ98,"H")</f>
        <v>704.00000000000102</v>
      </c>
      <c r="BO97" s="87">
        <f>SUMIFS($AU$3:AU98,$AQ$3:AQ98,"D")</f>
        <v>1504.0000000000005</v>
      </c>
      <c r="BP97" s="87">
        <f>SUMIFS($AU$3:AU100,$AQ$3:AQ100,"W")</f>
        <v>1414.3999999999999</v>
      </c>
      <c r="BQ97" s="87">
        <f>SUMIFS($AU$3:AU98,$Q$3:Q98,"O")</f>
        <v>405.99999999996044</v>
      </c>
      <c r="BR97" s="87">
        <f>SUMIFS($AU$3:AU98,$AA$3:AA98,"*")</f>
        <v>4988.3999999999623</v>
      </c>
      <c r="BS97" s="87">
        <f>SUMIFS($AU$3:AU98,$AB$3:AB98,"*")</f>
        <v>639.99999999999943</v>
      </c>
      <c r="BT97" s="87">
        <f>SUMIFS($AU$3:AU98,$AC$3:AC98,"*")</f>
        <v>1782.3999999999999</v>
      </c>
      <c r="BU97" s="87">
        <f>SUMIFS($AU$3:AU98,$AA$3:AA98,"*",$AB$3:AB98,"*")</f>
        <v>367.9999999999996</v>
      </c>
      <c r="BV97" s="87">
        <f>SUMIFS($AU$3:AU98,$AA$3:AA98,"*",$AC$3:AC98,"*")</f>
        <v>2038.3999999999999</v>
      </c>
      <c r="BW97" s="87">
        <f>SUMIFS($AU$3:AU98,$AB$3:AB98,"*",$AC$3:AC98,"*")</f>
        <v>272.00000000000006</v>
      </c>
      <c r="BX97" s="87">
        <f>SUMIFS($AV$3:AV98,$Q$3:Q98,"F")</f>
        <v>100.11428571428571</v>
      </c>
      <c r="BY97" s="87">
        <f>SUMIFS($AV$3:AV98,$Q$3:Q98,"S")</f>
        <v>144.88230256529496</v>
      </c>
      <c r="BZ97" s="87">
        <f>SUMIFS($AV$3:AV98,$Q$3:Q98,"O")</f>
        <v>202.99999999998022</v>
      </c>
    </row>
    <row r="98" spans="1:78" ht="18" customHeight="1">
      <c r="A98" s="45" t="s">
        <v>96</v>
      </c>
      <c r="B98" s="59">
        <v>45320</v>
      </c>
      <c r="C98" s="46" t="s">
        <v>465</v>
      </c>
      <c r="D98" s="46" t="s">
        <v>176</v>
      </c>
      <c r="E98" s="66"/>
      <c r="F98" s="47"/>
      <c r="G98" s="71" t="s">
        <v>466</v>
      </c>
      <c r="H98" s="49"/>
      <c r="I98" s="49"/>
      <c r="J98" s="49"/>
      <c r="K98" s="50"/>
      <c r="L98" s="49">
        <v>1</v>
      </c>
      <c r="M98" s="49"/>
      <c r="N98" s="49"/>
      <c r="O98" s="50" t="s">
        <v>100</v>
      </c>
      <c r="P98" s="50" t="s">
        <v>101</v>
      </c>
      <c r="Q98" s="50" t="s">
        <v>102</v>
      </c>
      <c r="R98" s="50">
        <v>32</v>
      </c>
      <c r="S98" s="50">
        <v>0</v>
      </c>
      <c r="T98" s="50">
        <v>32</v>
      </c>
      <c r="U98" s="50" t="s">
        <v>22</v>
      </c>
      <c r="V98" s="50"/>
      <c r="W98" s="50"/>
      <c r="X98" s="50"/>
      <c r="Y98" s="51">
        <f>IF(ISBLANK(O98),"",(IF(O98=UPPER("IB"),0.005,0.01)))</f>
        <v>0.01</v>
      </c>
      <c r="Z98" s="52">
        <f>IF(ISBLANK(O98),"",IF(O98="IB",8.63*200,IF(O98="IR",16*100,IF(O98="YT",20*100,IF(O98="YT-XT",24*200,IF(O98="TED",80*100))))))</f>
        <v>1600</v>
      </c>
      <c r="AA98" s="52" t="s">
        <v>467</v>
      </c>
      <c r="AB98" s="52"/>
      <c r="AC98" s="52"/>
      <c r="AD98" s="231">
        <v>-0.26</v>
      </c>
      <c r="AE98" s="49"/>
      <c r="AF98" s="84"/>
      <c r="AG98" s="49"/>
      <c r="AH98" s="49"/>
      <c r="AI98" s="49"/>
      <c r="AJ98" s="226"/>
      <c r="AK98" s="49"/>
      <c r="AL98" s="113">
        <f t="shared" si="19"/>
        <v>-32</v>
      </c>
      <c r="AM98" s="113">
        <f t="shared" si="11"/>
        <v>-1024</v>
      </c>
      <c r="AN98" s="218"/>
      <c r="AO98" s="49"/>
      <c r="AP98" s="49" t="s">
        <v>468</v>
      </c>
      <c r="AQ98" s="84" t="s">
        <v>142</v>
      </c>
      <c r="AR98" s="49" t="s">
        <v>469</v>
      </c>
      <c r="AS98" s="55">
        <v>-0.26</v>
      </c>
      <c r="AT98" s="55">
        <f>IF(ISBLANK(AS98),,IF(U98="S",AD98-AS98,AS98-AD98))</f>
        <v>0</v>
      </c>
      <c r="AU98" s="54">
        <f>AV98*R98</f>
        <v>0</v>
      </c>
      <c r="AV98" s="56">
        <f>IF(ISBLANK(AS98),,(AT98*Z98))</f>
        <v>0</v>
      </c>
      <c r="AW98" s="57" t="s">
        <v>155</v>
      </c>
      <c r="AX98" s="96"/>
      <c r="AY98" s="96"/>
      <c r="AZ98" s="96"/>
      <c r="BA98" s="96"/>
      <c r="BB98" s="96"/>
      <c r="BC98" s="96"/>
      <c r="BD98" s="96"/>
      <c r="BE98" s="96"/>
      <c r="BF98" s="100"/>
      <c r="BG98" s="94">
        <f>SUM($AV$4:AV98)</f>
        <v>735.9965882795608</v>
      </c>
      <c r="BH98" s="95">
        <f>SUM($AU$4:AU98)</f>
        <v>5004.3999999999623</v>
      </c>
      <c r="BI98" s="80">
        <f>SUMIFS($AU$3:AU99,$Q$3:Q99,"F")</f>
        <v>2486.4</v>
      </c>
      <c r="BJ98" s="80">
        <f>SUMIFS($AU$3:AU99,$Q$3:Q99,"S")</f>
        <v>1776.0000000000018</v>
      </c>
      <c r="BK98" s="87">
        <f>SUMIFS($AU$3:AU99,$P$3:P99,"W")</f>
        <v>2582.4000000000015</v>
      </c>
      <c r="BL98" s="87">
        <f>SUMIFS($AU$3:AU99,$P$3:P99,"R")</f>
        <v>1920.0000000000002</v>
      </c>
      <c r="BM98" s="87">
        <f>SUMIFS($AU$3:AU99,$AQ$3:AQ99,"M")</f>
        <v>1381.9999999999607</v>
      </c>
      <c r="BN98" s="87">
        <f>SUMIFS($AU$3:AU99,$AQ$3:AQ99,"H")</f>
        <v>704.00000000000102</v>
      </c>
      <c r="BO98" s="87">
        <f>SUMIFS($AU$3:AU99,$AQ$3:AQ99,"D")</f>
        <v>1504.0000000000005</v>
      </c>
      <c r="BP98" s="87">
        <f>SUMIFS($AU$3:AU101,$AQ$3:AQ101,"W")</f>
        <v>1414.3999999999999</v>
      </c>
      <c r="BQ98" s="87">
        <f>SUMIFS($AU$3:AU99,$Q$3:Q99,"O")</f>
        <v>405.99999999996044</v>
      </c>
      <c r="BR98" s="87">
        <f>SUMIFS($AU$3:AU99,$AA$3:AA99,"*")</f>
        <v>4988.3999999999623</v>
      </c>
      <c r="BS98" s="87">
        <f>SUMIFS($AU$3:AU99,$AB$3:AB99,"*")</f>
        <v>639.99999999999943</v>
      </c>
      <c r="BT98" s="87">
        <f>SUMIFS($AU$3:AU99,$AC$3:AC99,"*")</f>
        <v>1782.3999999999999</v>
      </c>
      <c r="BU98" s="87">
        <f>SUMIFS($AU$3:AU99,$AA$3:AA99,"*",$AB$3:AB99,"*")</f>
        <v>367.9999999999996</v>
      </c>
      <c r="BV98" s="87">
        <f>SUMIFS($AU$3:AU99,$AA$3:AA99,"*",$AC$3:AC99,"*")</f>
        <v>2038.3999999999999</v>
      </c>
      <c r="BW98" s="87">
        <f>SUMIFS($AU$3:AU99,$AB$3:AB99,"*",$AC$3:AC99,"*")</f>
        <v>272.00000000000006</v>
      </c>
      <c r="BX98" s="87">
        <f>SUMIFS($AV$3:AV99,$Q$3:Q99,"F")</f>
        <v>100.11428571428571</v>
      </c>
      <c r="BY98" s="87">
        <f>SUMIFS($AV$3:AV99,$Q$3:Q99,"S")</f>
        <v>144.88230256529496</v>
      </c>
      <c r="BZ98" s="87">
        <f>SUMIFS($AV$3:AV99,$Q$3:Q99,"O")</f>
        <v>202.99999999998022</v>
      </c>
    </row>
    <row r="99" spans="1:78" ht="18" customHeight="1">
      <c r="A99" s="45" t="s">
        <v>96</v>
      </c>
      <c r="B99" s="59">
        <v>45321</v>
      </c>
      <c r="C99" s="46" t="s">
        <v>470</v>
      </c>
      <c r="D99" s="46" t="s">
        <v>98</v>
      </c>
      <c r="E99" s="66" t="s">
        <v>471</v>
      </c>
      <c r="F99" s="47"/>
      <c r="G99" s="48"/>
      <c r="H99" s="49"/>
      <c r="I99" s="49"/>
      <c r="J99" s="49">
        <v>1</v>
      </c>
      <c r="K99" s="50" t="s">
        <v>155</v>
      </c>
      <c r="L99" s="49"/>
      <c r="M99" s="49"/>
      <c r="N99" s="49"/>
      <c r="O99" s="50"/>
      <c r="P99" s="50"/>
      <c r="Q99" s="50"/>
      <c r="R99" s="50"/>
      <c r="S99" s="50"/>
      <c r="T99" s="50"/>
      <c r="U99" s="50"/>
      <c r="V99" s="50"/>
      <c r="W99" s="50"/>
      <c r="X99" s="50"/>
      <c r="Y99" s="50"/>
      <c r="Z99" s="50"/>
      <c r="AA99" s="52"/>
      <c r="AB99" s="52"/>
      <c r="AC99" s="52"/>
      <c r="AD99" s="231"/>
      <c r="AE99" s="49"/>
      <c r="AF99" s="84"/>
      <c r="AG99" s="49"/>
      <c r="AH99" s="49"/>
      <c r="AI99" s="49"/>
      <c r="AJ99" s="226"/>
      <c r="AK99" s="49"/>
      <c r="AL99" s="113">
        <f t="shared" si="19"/>
        <v>0</v>
      </c>
      <c r="AM99" s="113">
        <f t="shared" si="11"/>
        <v>0</v>
      </c>
      <c r="AN99" s="218"/>
      <c r="AO99" s="49"/>
      <c r="AP99" s="49"/>
      <c r="AQ99" s="84" t="str">
        <f>UPPER(RIGHT(Journal_Live[[#This Row],[DURATION ]]))</f>
        <v/>
      </c>
      <c r="AR99" s="49"/>
      <c r="AS99" s="55"/>
      <c r="AT99" s="55"/>
      <c r="AU99" s="54"/>
      <c r="AV99" s="56"/>
      <c r="AW99" s="57"/>
      <c r="AX99" s="96"/>
      <c r="AY99" s="96"/>
      <c r="AZ99" s="96"/>
      <c r="BA99" s="96"/>
      <c r="BB99" s="96"/>
      <c r="BC99" s="96"/>
      <c r="BD99" s="96"/>
      <c r="BE99" s="96"/>
      <c r="BF99" s="100"/>
      <c r="BG99" s="94">
        <f>SUM($AV$4:AV99)</f>
        <v>735.9965882795608</v>
      </c>
      <c r="BH99" s="95">
        <f>SUM($AU$4:AU99)</f>
        <v>5004.3999999999623</v>
      </c>
      <c r="BI99" s="80">
        <f>SUMIFS($AU$3:AU100,$Q$3:Q100,"F")</f>
        <v>2486.4</v>
      </c>
      <c r="BJ99" s="80">
        <f>SUMIFS($AU$3:AU100,$Q$3:Q100,"S")</f>
        <v>1776.0000000000018</v>
      </c>
      <c r="BK99" s="87">
        <f>SUMIFS($AU$3:AU100,$P$3:P100,"W")</f>
        <v>2582.4000000000015</v>
      </c>
      <c r="BL99" s="87">
        <f>SUMIFS($AU$3:AU100,$P$3:P100,"R")</f>
        <v>2000.0000000000002</v>
      </c>
      <c r="BM99" s="87">
        <f>SUMIFS($AU$3:AU100,$AQ$3:AQ100,"M")</f>
        <v>1381.9999999999607</v>
      </c>
      <c r="BN99" s="87">
        <f>SUMIFS($AU$3:AU100,$AQ$3:AQ100,"H")</f>
        <v>784.00000000000102</v>
      </c>
      <c r="BO99" s="87">
        <f>SUMIFS($AU$3:AU100,$AQ$3:AQ100,"D")</f>
        <v>1504.0000000000005</v>
      </c>
      <c r="BP99" s="87">
        <f>SUMIFS($AU$3:AU102,$AQ$3:AQ102,"W")</f>
        <v>1414.3999999999999</v>
      </c>
      <c r="BQ99" s="87">
        <f>SUMIFS($AU$3:AU100,$Q$3:Q100,"O")</f>
        <v>405.99999999996044</v>
      </c>
      <c r="BR99" s="87">
        <f>SUMIFS($AU$3:AU100,$AA$3:AA100,"*")</f>
        <v>5068.3999999999623</v>
      </c>
      <c r="BS99" s="87">
        <f>SUMIFS($AU$3:AU100,$AB$3:AB100,"*")</f>
        <v>639.99999999999943</v>
      </c>
      <c r="BT99" s="87">
        <f>SUMIFS($AU$3:AU100,$AC$3:AC100,"*")</f>
        <v>1782.3999999999999</v>
      </c>
      <c r="BU99" s="87">
        <f>SUMIFS($AU$3:AU100,$AA$3:AA100,"*",$AB$3:AB100,"*")</f>
        <v>367.9999999999996</v>
      </c>
      <c r="BV99" s="87">
        <f>SUMIFS($AU$3:AU100,$AA$3:AA100,"*",$AC$3:AC100,"*")</f>
        <v>2038.3999999999999</v>
      </c>
      <c r="BW99" s="87">
        <f>SUMIFS($AU$3:AU100,$AB$3:AB100,"*",$AC$3:AC100,"*")</f>
        <v>272.00000000000006</v>
      </c>
      <c r="BX99" s="87">
        <f>SUMIFS($AV$3:AV100,$Q$3:Q100,"F")</f>
        <v>100.11428571428571</v>
      </c>
      <c r="BY99" s="87">
        <f>SUMIFS($AV$3:AV100,$Q$3:Q100,"S")</f>
        <v>144.88230256529496</v>
      </c>
      <c r="BZ99" s="87">
        <f>SUMIFS($AV$3:AV100,$Q$3:Q100,"O")</f>
        <v>202.99999999998022</v>
      </c>
    </row>
    <row r="100" spans="1:78" ht="18" customHeight="1">
      <c r="A100" s="45" t="s">
        <v>96</v>
      </c>
      <c r="B100" s="59">
        <v>45321</v>
      </c>
      <c r="C100" s="46" t="s">
        <v>147</v>
      </c>
      <c r="D100" s="46" t="s">
        <v>98</v>
      </c>
      <c r="E100" s="66"/>
      <c r="F100" s="47"/>
      <c r="G100" s="71" t="s">
        <v>377</v>
      </c>
      <c r="H100" s="49"/>
      <c r="I100" s="49"/>
      <c r="J100" s="49"/>
      <c r="K100" s="50"/>
      <c r="L100" s="49">
        <v>1</v>
      </c>
      <c r="M100" s="49"/>
      <c r="N100" s="49"/>
      <c r="O100" s="50" t="s">
        <v>363</v>
      </c>
      <c r="P100" s="50" t="s">
        <v>126</v>
      </c>
      <c r="Q100" s="50"/>
      <c r="R100" s="50">
        <v>1</v>
      </c>
      <c r="S100" s="50">
        <v>0</v>
      </c>
      <c r="T100" s="50">
        <v>1</v>
      </c>
      <c r="U100" s="50" t="s">
        <v>22</v>
      </c>
      <c r="V100" s="50"/>
      <c r="W100" s="50"/>
      <c r="X100" s="50"/>
      <c r="Y100" s="51">
        <f>IF(ISBLANK(O100),"",(IF(O100=UPPER("IB"),0.005,0.01)))</f>
        <v>0.01</v>
      </c>
      <c r="Z100" s="52">
        <f>IF(ISBLANK(O100),"",IF(O100="IB",8.63*200,IF(O100="IR",16*100,IF(O100="YT",20*100,IF(O100="YT-XT",24*200,IF(O100="TED",80*100))))))</f>
        <v>8000</v>
      </c>
      <c r="AA100" s="52" t="s">
        <v>177</v>
      </c>
      <c r="AB100" s="52"/>
      <c r="AC100" s="52"/>
      <c r="AD100" s="231">
        <v>-0.08</v>
      </c>
      <c r="AE100" s="49"/>
      <c r="AF100" s="84"/>
      <c r="AG100" s="49"/>
      <c r="AH100" s="49"/>
      <c r="AI100" s="49"/>
      <c r="AJ100" s="226"/>
      <c r="AK100" s="49"/>
      <c r="AL100" s="113">
        <f t="shared" si="15"/>
        <v>-160</v>
      </c>
      <c r="AM100" s="113">
        <f t="shared" si="11"/>
        <v>-160</v>
      </c>
      <c r="AN100" s="218"/>
      <c r="AO100" s="49"/>
      <c r="AP100" s="49" t="s">
        <v>472</v>
      </c>
      <c r="AQ100" s="84" t="s">
        <v>142</v>
      </c>
      <c r="AR100" s="49" t="s">
        <v>473</v>
      </c>
      <c r="AS100" s="55">
        <v>-7.0000000000000007E-2</v>
      </c>
      <c r="AT100" s="55">
        <f>IF(ISBLANK(AS100),,IF(U100="S",AD100-AS100,AS100-AD100))</f>
        <v>9.999999999999995E-3</v>
      </c>
      <c r="AU100" s="54">
        <f>AV100*R100</f>
        <v>79.999999999999957</v>
      </c>
      <c r="AV100" s="56">
        <f>IF(ISBLANK(AS100),,(AT100*Z100))</f>
        <v>79.999999999999957</v>
      </c>
      <c r="AW100" s="57" t="s">
        <v>101</v>
      </c>
      <c r="AX100" s="96" t="s">
        <v>474</v>
      </c>
      <c r="AY100" s="96"/>
      <c r="AZ100" s="96"/>
      <c r="BA100" s="96"/>
      <c r="BB100" s="96"/>
      <c r="BC100" s="96"/>
      <c r="BD100" s="96"/>
      <c r="BE100" s="96"/>
      <c r="BF100" s="100"/>
      <c r="BG100" s="94">
        <f>SUM($AV$4:AV100)</f>
        <v>815.9965882795608</v>
      </c>
      <c r="BH100" s="95">
        <f>SUM($AU$4:AU100)</f>
        <v>5084.3999999999623</v>
      </c>
      <c r="BI100" s="80">
        <f>SUMIFS($AU$3:AU101,$Q$3:Q101,"F")</f>
        <v>2486.4</v>
      </c>
      <c r="BJ100" s="80">
        <f>SUMIFS($AU$3:AU101,$Q$3:Q101,"S")</f>
        <v>1776.0000000000018</v>
      </c>
      <c r="BK100" s="87">
        <f>SUMIFS($AU$3:AU101,$P$3:P101,"W")</f>
        <v>2582.4000000000015</v>
      </c>
      <c r="BL100" s="87">
        <f>SUMIFS($AU$3:AU101,$P$3:P101,"R")</f>
        <v>2000.0000000000002</v>
      </c>
      <c r="BM100" s="87">
        <f>SUMIFS($AU$3:AU101,$AQ$3:AQ101,"M")</f>
        <v>1341.9999999999686</v>
      </c>
      <c r="BN100" s="87">
        <f>SUMIFS($AU$3:AU101,$AQ$3:AQ101,"H")</f>
        <v>784.00000000000102</v>
      </c>
      <c r="BO100" s="87">
        <f>SUMIFS($AU$3:AU101,$AQ$3:AQ101,"D")</f>
        <v>1504.0000000000005</v>
      </c>
      <c r="BP100" s="87">
        <f>SUMIFS($AU$3:AU103,$AQ$3:AQ103,"W")</f>
        <v>1414.3999999999999</v>
      </c>
      <c r="BQ100" s="87">
        <f>SUMIFS($AU$3:AU101,$Q$3:Q101,"O")</f>
        <v>405.99999999996044</v>
      </c>
      <c r="BR100" s="87">
        <f>SUMIFS($AU$3:AU101,$AA$3:AA101,"*")</f>
        <v>5028.3999999999705</v>
      </c>
      <c r="BS100" s="87">
        <f>SUMIFS($AU$3:AU101,$AB$3:AB101,"*")</f>
        <v>639.99999999999943</v>
      </c>
      <c r="BT100" s="87">
        <f>SUMIFS($AU$3:AU101,$AC$3:AC101,"*")</f>
        <v>1782.3999999999999</v>
      </c>
      <c r="BU100" s="87">
        <f>SUMIFS($AU$3:AU101,$AA$3:AA101,"*",$AB$3:AB101,"*")</f>
        <v>367.9999999999996</v>
      </c>
      <c r="BV100" s="87">
        <f>SUMIFS($AU$3:AU101,$AA$3:AA101,"*",$AC$3:AC101,"*")</f>
        <v>2038.3999999999999</v>
      </c>
      <c r="BW100" s="87">
        <f>SUMIFS($AU$3:AU101,$AB$3:AB101,"*",$AC$3:AC101,"*")</f>
        <v>272.00000000000006</v>
      </c>
      <c r="BX100" s="87">
        <f>SUMIFS($AV$3:AV101,$Q$3:Q101,"F")</f>
        <v>100.11428571428571</v>
      </c>
      <c r="BY100" s="87">
        <f>SUMIFS($AV$3:AV101,$Q$3:Q101,"S")</f>
        <v>144.88230256529496</v>
      </c>
      <c r="BZ100" s="87">
        <f>SUMIFS($AV$3:AV101,$Q$3:Q101,"O")</f>
        <v>202.99999999998022</v>
      </c>
    </row>
    <row r="101" spans="1:78" ht="18" customHeight="1">
      <c r="A101" s="45" t="s">
        <v>96</v>
      </c>
      <c r="B101" s="59">
        <v>45321</v>
      </c>
      <c r="C101" s="46" t="s">
        <v>147</v>
      </c>
      <c r="D101" s="46" t="s">
        <v>98</v>
      </c>
      <c r="E101" s="66"/>
      <c r="F101" s="47"/>
      <c r="G101" s="71" t="s">
        <v>475</v>
      </c>
      <c r="H101" s="49"/>
      <c r="I101" s="49"/>
      <c r="J101" s="49"/>
      <c r="K101" s="50"/>
      <c r="L101" s="49">
        <v>1</v>
      </c>
      <c r="M101" s="49"/>
      <c r="N101" s="49"/>
      <c r="O101" s="50" t="s">
        <v>476</v>
      </c>
      <c r="P101" s="50" t="s">
        <v>197</v>
      </c>
      <c r="Q101" s="50"/>
      <c r="R101" s="50">
        <v>1</v>
      </c>
      <c r="S101" s="50">
        <v>0</v>
      </c>
      <c r="T101" s="50">
        <v>1</v>
      </c>
      <c r="U101" s="50" t="s">
        <v>22</v>
      </c>
      <c r="V101" s="50"/>
      <c r="W101" s="50"/>
      <c r="X101" s="50"/>
      <c r="Y101" s="51">
        <f>IF(ISBLANK(O101),"",(IF(O101=UPPER("IB"),0.005,0.01)))</f>
        <v>0.01</v>
      </c>
      <c r="Z101" s="52">
        <f>IF(ISBLANK(O101),"",IF(O101="IB",8.63*200,IF(O101="IR",16*100,IF(O101="YT",20*100,IF(O101="YT-XT",24*200,IF(O101="TED",80*100,IF(O101="XT",29*200)))))))</f>
        <v>2000</v>
      </c>
      <c r="AA101" s="52" t="s">
        <v>477</v>
      </c>
      <c r="AB101" s="52"/>
      <c r="AC101" s="52"/>
      <c r="AD101" s="231">
        <v>96.31</v>
      </c>
      <c r="AE101" s="49"/>
      <c r="AF101" s="84"/>
      <c r="AG101" s="49"/>
      <c r="AH101" s="49"/>
      <c r="AI101" s="49"/>
      <c r="AJ101" s="226"/>
      <c r="AK101" s="49"/>
      <c r="AL101" s="113">
        <f t="shared" si="14"/>
        <v>-40</v>
      </c>
      <c r="AM101" s="113">
        <f t="shared" si="11"/>
        <v>-40</v>
      </c>
      <c r="AN101" s="218"/>
      <c r="AO101" s="49"/>
      <c r="AP101" s="49"/>
      <c r="AQ101" s="84" t="s">
        <v>350</v>
      </c>
      <c r="AR101" s="49" t="s">
        <v>147</v>
      </c>
      <c r="AS101" s="55">
        <v>96.29</v>
      </c>
      <c r="AT101" s="55">
        <f>IF(ISBLANK(AS101),,IF(U101="S",AD101-AS101,AS101-AD101))</f>
        <v>-1.9999999999996021E-2</v>
      </c>
      <c r="AU101" s="54">
        <f>AV101*R101</f>
        <v>-39.999999999992042</v>
      </c>
      <c r="AV101" s="56">
        <f>IF(ISBLANK(AS101),,(AT101*Z101))</f>
        <v>-39.999999999992042</v>
      </c>
      <c r="AW101" s="57" t="s">
        <v>121</v>
      </c>
      <c r="AX101" s="96" t="s">
        <v>478</v>
      </c>
      <c r="AY101" s="96"/>
      <c r="AZ101" s="96"/>
      <c r="BA101" s="96"/>
      <c r="BB101" s="96"/>
      <c r="BC101" s="96"/>
      <c r="BD101" s="96"/>
      <c r="BE101" s="96"/>
      <c r="BF101" s="100"/>
      <c r="BG101" s="94">
        <f>SUM($AV$4:AV101)</f>
        <v>775.99658827956875</v>
      </c>
      <c r="BH101" s="95">
        <f>SUM($AU$4:AU101)</f>
        <v>5044.3999999999705</v>
      </c>
      <c r="BI101" s="80">
        <f>SUMIFS($AU$3:AU102,$Q$3:Q102,"F")</f>
        <v>2486.4</v>
      </c>
      <c r="BJ101" s="80">
        <f>SUMIFS($AU$3:AU102,$Q$3:Q102,"S")</f>
        <v>1776.0000000000018</v>
      </c>
      <c r="BK101" s="87">
        <f>SUMIFS($AU$3:AU102,$P$3:P102,"W")</f>
        <v>2582.4000000000015</v>
      </c>
      <c r="BL101" s="87">
        <f>SUMIFS($AU$3:AU102,$P$3:P102,"R")</f>
        <v>2000.0000000000002</v>
      </c>
      <c r="BM101" s="87">
        <f>SUMIFS($AU$3:AU102,$AQ$3:AQ102,"M")</f>
        <v>1341.9999999999686</v>
      </c>
      <c r="BN101" s="87">
        <f>SUMIFS($AU$3:AU102,$AQ$3:AQ102,"H")</f>
        <v>784.00000000000102</v>
      </c>
      <c r="BO101" s="87">
        <f>SUMIFS($AU$3:AU102,$AQ$3:AQ102,"D")</f>
        <v>1504.0000000000005</v>
      </c>
      <c r="BP101" s="87">
        <f>SUMIFS($AU$3:AU104,$AQ$3:AQ104,"W")</f>
        <v>1414.3999999999999</v>
      </c>
      <c r="BQ101" s="87">
        <f>SUMIFS($AU$3:AU102,$Q$3:Q102,"O")</f>
        <v>405.99999999996044</v>
      </c>
      <c r="BR101" s="87">
        <f>SUMIFS($AU$3:AU102,$AA$3:AA102,"*")</f>
        <v>5028.3999999999705</v>
      </c>
      <c r="BS101" s="87">
        <f>SUMIFS($AU$3:AU102,$AB$3:AB102,"*")</f>
        <v>639.99999999999943</v>
      </c>
      <c r="BT101" s="87">
        <f>SUMIFS($AU$3:AU102,$AC$3:AC102,"*")</f>
        <v>1782.3999999999999</v>
      </c>
      <c r="BU101" s="87">
        <f>SUMIFS($AU$3:AU102,$AA$3:AA102,"*",$AB$3:AB102,"*")</f>
        <v>367.9999999999996</v>
      </c>
      <c r="BV101" s="87">
        <f>SUMIFS($AU$3:AU102,$AA$3:AA102,"*",$AC$3:AC102,"*")</f>
        <v>2038.3999999999999</v>
      </c>
      <c r="BW101" s="87">
        <f>SUMIFS($AU$3:AU102,$AB$3:AB102,"*",$AC$3:AC102,"*")</f>
        <v>272.00000000000006</v>
      </c>
      <c r="BX101" s="87">
        <f>SUMIFS($AV$3:AV102,$Q$3:Q102,"F")</f>
        <v>100.11428571428571</v>
      </c>
      <c r="BY101" s="87">
        <f>SUMIFS($AV$3:AV102,$Q$3:Q102,"S")</f>
        <v>144.88230256529496</v>
      </c>
      <c r="BZ101" s="87">
        <f>SUMIFS($AV$3:AV102,$Q$3:Q102,"O")</f>
        <v>202.99999999998022</v>
      </c>
    </row>
    <row r="102" spans="1:78" ht="18" customHeight="1">
      <c r="A102" s="45" t="s">
        <v>96</v>
      </c>
      <c r="B102" s="59">
        <v>45321</v>
      </c>
      <c r="C102" s="46" t="s">
        <v>479</v>
      </c>
      <c r="D102" s="46" t="s">
        <v>98</v>
      </c>
      <c r="E102" s="66"/>
      <c r="F102" s="47"/>
      <c r="G102" s="48" t="s">
        <v>276</v>
      </c>
      <c r="H102" s="49"/>
      <c r="I102" s="49"/>
      <c r="J102" s="49"/>
      <c r="K102" s="50"/>
      <c r="L102" s="49"/>
      <c r="M102" s="49"/>
      <c r="N102" s="49"/>
      <c r="O102" s="50"/>
      <c r="P102" s="50"/>
      <c r="Q102" s="50"/>
      <c r="R102" s="50"/>
      <c r="S102" s="50"/>
      <c r="T102" s="50"/>
      <c r="U102" s="50"/>
      <c r="V102" s="50"/>
      <c r="W102" s="50"/>
      <c r="X102" s="50"/>
      <c r="Y102" s="51"/>
      <c r="Z102" s="52"/>
      <c r="AA102" s="52"/>
      <c r="AB102" s="52"/>
      <c r="AC102" s="52"/>
      <c r="AD102" s="231"/>
      <c r="AE102" s="49"/>
      <c r="AF102" s="84"/>
      <c r="AG102" s="49"/>
      <c r="AH102" s="49"/>
      <c r="AI102" s="49"/>
      <c r="AJ102" s="226"/>
      <c r="AK102" s="49"/>
      <c r="AL102" s="113">
        <f t="shared" si="14"/>
        <v>0</v>
      </c>
      <c r="AM102" s="113">
        <f t="shared" si="11"/>
        <v>0</v>
      </c>
      <c r="AN102" s="218"/>
      <c r="AO102" s="49"/>
      <c r="AP102" s="49"/>
      <c r="AQ102" s="84" t="str">
        <f>UPPER(RIGHT(Journal_Live[[#This Row],[DURATION ]]))</f>
        <v/>
      </c>
      <c r="AR102" s="49"/>
      <c r="AS102" s="55"/>
      <c r="AT102" s="55"/>
      <c r="AU102" s="54"/>
      <c r="AV102" s="56"/>
      <c r="AW102" s="57"/>
      <c r="AX102" s="96"/>
      <c r="AY102" s="96"/>
      <c r="AZ102" s="96"/>
      <c r="BA102" s="96"/>
      <c r="BB102" s="96"/>
      <c r="BC102" s="96"/>
      <c r="BD102" s="96"/>
      <c r="BE102" s="96"/>
      <c r="BF102" s="100"/>
      <c r="BG102" s="94">
        <f>SUM($AV$4:AV102)</f>
        <v>775.99658827956875</v>
      </c>
      <c r="BH102" s="95">
        <f>SUM($AU$4:AU102)</f>
        <v>5044.3999999999705</v>
      </c>
      <c r="BI102" s="80">
        <f>SUMIFS($AU$3:AU103,$Q$3:Q103,"F")</f>
        <v>2486.4</v>
      </c>
      <c r="BJ102" s="80">
        <f>SUMIFS($AU$3:AU103,$Q$3:Q103,"S")</f>
        <v>1776.0000000000018</v>
      </c>
      <c r="BK102" s="87">
        <f>SUMIFS($AU$3:AU103,$P$3:P103,"W")</f>
        <v>2582.4000000000015</v>
      </c>
      <c r="BL102" s="87">
        <f>SUMIFS($AU$3:AU103,$P$3:P103,"R")</f>
        <v>2000.0000000000002</v>
      </c>
      <c r="BM102" s="87">
        <f>SUMIFS($AU$3:AU103,$AQ$3:AQ103,"M")</f>
        <v>1341.9999999999686</v>
      </c>
      <c r="BN102" s="87">
        <f>SUMIFS($AU$3:AU103,$AQ$3:AQ103,"H")</f>
        <v>784.00000000000102</v>
      </c>
      <c r="BO102" s="87">
        <f>SUMIFS($AU$3:AU103,$AQ$3:AQ103,"D")</f>
        <v>1504.0000000000005</v>
      </c>
      <c r="BP102" s="87">
        <f>SUMIFS($AU$3:AU105,$AQ$3:AQ105,"W")</f>
        <v>1414.3999999999999</v>
      </c>
      <c r="BQ102" s="87">
        <f>SUMIFS($AU$3:AU103,$Q$3:Q103,"O")</f>
        <v>405.99999999996044</v>
      </c>
      <c r="BR102" s="87">
        <f>SUMIFS($AU$3:AU103,$AA$3:AA103,"*")</f>
        <v>5028.3999999999705</v>
      </c>
      <c r="BS102" s="87">
        <f>SUMIFS($AU$3:AU103,$AB$3:AB103,"*")</f>
        <v>639.99999999999943</v>
      </c>
      <c r="BT102" s="87">
        <f>SUMIFS($AU$3:AU103,$AC$3:AC103,"*")</f>
        <v>1782.3999999999999</v>
      </c>
      <c r="BU102" s="87">
        <f>SUMIFS($AU$3:AU103,$AA$3:AA103,"*",$AB$3:AB103,"*")</f>
        <v>367.9999999999996</v>
      </c>
      <c r="BV102" s="87">
        <f>SUMIFS($AU$3:AU103,$AA$3:AA103,"*",$AC$3:AC103,"*")</f>
        <v>2038.3999999999999</v>
      </c>
      <c r="BW102" s="87">
        <f>SUMIFS($AU$3:AU103,$AB$3:AB103,"*",$AC$3:AC103,"*")</f>
        <v>272.00000000000006</v>
      </c>
      <c r="BX102" s="87">
        <f>SUMIFS($AV$3:AV103,$Q$3:Q103,"F")</f>
        <v>100.11428571428571</v>
      </c>
      <c r="BY102" s="87">
        <f>SUMIFS($AV$3:AV103,$Q$3:Q103,"S")</f>
        <v>144.88230256529496</v>
      </c>
      <c r="BZ102" s="87">
        <f>SUMIFS($AV$3:AV103,$Q$3:Q103,"O")</f>
        <v>202.99999999998022</v>
      </c>
    </row>
    <row r="103" spans="1:78" ht="18" customHeight="1">
      <c r="A103" s="45" t="s">
        <v>96</v>
      </c>
      <c r="B103" s="59">
        <v>45321</v>
      </c>
      <c r="C103" s="46" t="s">
        <v>479</v>
      </c>
      <c r="D103" s="46" t="s">
        <v>98</v>
      </c>
      <c r="E103" s="66"/>
      <c r="F103" s="47"/>
      <c r="G103" s="48" t="s">
        <v>111</v>
      </c>
      <c r="H103" s="49"/>
      <c r="I103" s="49"/>
      <c r="J103" s="49"/>
      <c r="K103" s="50"/>
      <c r="L103" s="49"/>
      <c r="M103" s="49"/>
      <c r="N103" s="49"/>
      <c r="O103" s="50"/>
      <c r="P103" s="50"/>
      <c r="Q103" s="50"/>
      <c r="R103" s="50"/>
      <c r="S103" s="50"/>
      <c r="T103" s="50"/>
      <c r="U103" s="50"/>
      <c r="V103" s="50"/>
      <c r="W103" s="50"/>
      <c r="X103" s="50"/>
      <c r="Y103" s="51"/>
      <c r="Z103" s="52"/>
      <c r="AA103" s="52"/>
      <c r="AB103" s="52"/>
      <c r="AC103" s="52"/>
      <c r="AD103" s="231"/>
      <c r="AE103" s="49"/>
      <c r="AF103" s="84"/>
      <c r="AG103" s="49"/>
      <c r="AH103" s="49" t="s">
        <v>480</v>
      </c>
      <c r="AI103" s="49"/>
      <c r="AJ103" s="226" t="s">
        <v>481</v>
      </c>
      <c r="AK103" s="49"/>
      <c r="AL103" s="113">
        <f t="shared" si="14"/>
        <v>0</v>
      </c>
      <c r="AM103" s="113">
        <f t="shared" si="11"/>
        <v>0</v>
      </c>
      <c r="AN103" s="218"/>
      <c r="AO103" s="49"/>
      <c r="AP103" s="49"/>
      <c r="AQ103" s="84" t="str">
        <f>UPPER(RIGHT(Journal_Live[[#This Row],[DURATION ]]))</f>
        <v/>
      </c>
      <c r="AR103" s="49"/>
      <c r="AS103" s="55"/>
      <c r="AT103" s="55"/>
      <c r="AU103" s="54"/>
      <c r="AV103" s="56"/>
      <c r="AW103" s="57"/>
      <c r="AX103" s="96"/>
      <c r="AY103" s="96"/>
      <c r="AZ103" s="96"/>
      <c r="BA103" s="96"/>
      <c r="BB103" s="96"/>
      <c r="BC103" s="96"/>
      <c r="BD103" s="96"/>
      <c r="BE103" s="96"/>
      <c r="BF103" s="100"/>
      <c r="BG103" s="94">
        <f>SUM($AV$4:AV103)</f>
        <v>775.99658827956875</v>
      </c>
      <c r="BH103" s="95">
        <f>SUM($AU$4:AU103)</f>
        <v>5044.3999999999705</v>
      </c>
      <c r="BI103" s="80">
        <f>SUMIFS($AU$3:AU131,$Q$3:Q131,"F")</f>
        <v>4438.3999999999996</v>
      </c>
      <c r="BJ103" s="80">
        <f>SUMIFS($AU$3:AU131,$Q$3:Q131,"S")</f>
        <v>4144.0000000000009</v>
      </c>
      <c r="BK103" s="87">
        <f>SUMIFS($AU$3:AU131,$P$3:P131,"W")</f>
        <v>6973.5799999999363</v>
      </c>
      <c r="BL103" s="87">
        <f>SUMIFS($AU$3:AU131,$P$3:P131,"R")</f>
        <v>2000.0000000000002</v>
      </c>
      <c r="BM103" s="87">
        <f>SUMIFS($AU$3:AU131,$AQ$3:AQ131,"M")</f>
        <v>2963.5799999997967</v>
      </c>
      <c r="BN103" s="87">
        <f>SUMIFS($AU$3:AU131,$AQ$3:AQ131,"H")</f>
        <v>3599.9999999999991</v>
      </c>
      <c r="BO103" s="87">
        <f>SUMIFS($AU$3:AU131,$AQ$3:AQ131,"D")</f>
        <v>1504.0000000000005</v>
      </c>
      <c r="BP103" s="87">
        <f>SUMIFS($AU$3:AU106,$AQ$3:AQ106,"W")</f>
        <v>1414.3999999999999</v>
      </c>
      <c r="BQ103" s="87">
        <f>SUMIFS($AU$3:AU131,$Q$3:Q131,"O")</f>
        <v>523.57999999978756</v>
      </c>
      <c r="BR103" s="87">
        <f>SUMIFS($AU$3:AU104,$AA$3:AA104,"*")</f>
        <v>6980.3999999999705</v>
      </c>
      <c r="BS103" s="87">
        <f>SUMIFS($AU$3:AU104,$AB$3:AB104,"*")</f>
        <v>2591.9999999999991</v>
      </c>
      <c r="BT103" s="87">
        <f>SUMIFS($AU$3:AU104,$AC$3:AC104,"*")</f>
        <v>3734.3999999999996</v>
      </c>
      <c r="BU103" s="87">
        <f>SUMIFS($AU$3:AU104,$AA$3:AA104,"*",$AB$3:AB104,"*")</f>
        <v>2319.9999999999991</v>
      </c>
      <c r="BV103" s="87">
        <f>SUMIFS($AU$3:AU104,$AA$3:AA104,"*",$AC$3:AC104,"*")</f>
        <v>3990.3999999999996</v>
      </c>
      <c r="BW103" s="87">
        <f>SUMIFS($AU$3:AU104,$AB$3:AB104,"*",$AC$3:AC104,"*")</f>
        <v>2223.9999999999995</v>
      </c>
      <c r="BX103" s="87">
        <f>SUMIFS($AV$3:AV104,$Q$3:Q104,"F")</f>
        <v>142.54906832298136</v>
      </c>
      <c r="BY103" s="87">
        <f>SUMIFS($AV$3:AV104,$Q$3:Q104,"S")</f>
        <v>144.88230256529496</v>
      </c>
      <c r="BZ103" s="87">
        <f>SUMIFS($AV$3:AV104,$Q$3:Q104,"O")</f>
        <v>202.99999999998022</v>
      </c>
    </row>
    <row r="104" spans="1:78" ht="18" customHeight="1">
      <c r="A104" s="45" t="s">
        <v>96</v>
      </c>
      <c r="B104" s="59">
        <v>45321</v>
      </c>
      <c r="C104" s="46" t="s">
        <v>482</v>
      </c>
      <c r="D104" s="46" t="s">
        <v>98</v>
      </c>
      <c r="E104" s="66"/>
      <c r="F104" s="47"/>
      <c r="G104" s="71" t="s">
        <v>483</v>
      </c>
      <c r="H104" s="49"/>
      <c r="I104" s="49"/>
      <c r="J104" s="49"/>
      <c r="K104" s="50"/>
      <c r="L104" s="49">
        <v>1</v>
      </c>
      <c r="M104" s="49">
        <v>1</v>
      </c>
      <c r="N104" s="49"/>
      <c r="O104" s="50" t="s">
        <v>100</v>
      </c>
      <c r="P104" s="50" t="s">
        <v>101</v>
      </c>
      <c r="Q104" s="50" t="s">
        <v>127</v>
      </c>
      <c r="R104" s="50">
        <v>46</v>
      </c>
      <c r="S104" s="50">
        <v>26</v>
      </c>
      <c r="T104" s="50">
        <v>32</v>
      </c>
      <c r="U104" s="50" t="s">
        <v>102</v>
      </c>
      <c r="V104" s="50"/>
      <c r="W104" s="50"/>
      <c r="X104" s="50"/>
      <c r="Y104" s="51">
        <f>IF(ISBLANK(O104),"",(IF(O104=UPPER("IB"),0.005,0.01)))</f>
        <v>0.01</v>
      </c>
      <c r="Z104" s="52">
        <f>IF(ISBLANK(O104),"",IF(O104="IB",8.63*200,IF(O104="IR",16*100,IF(O104="YT",20*100,IF(O104="YT-XT",24*200,IF(O104="TED",80*100))))))</f>
        <v>1600</v>
      </c>
      <c r="AA104" s="52" t="s">
        <v>318</v>
      </c>
      <c r="AB104" s="52" t="s">
        <v>484</v>
      </c>
      <c r="AC104" s="52" t="s">
        <v>485</v>
      </c>
      <c r="AD104" s="231">
        <f>(0.05*36+0.06*10)/46</f>
        <v>5.2173913043478258E-2</v>
      </c>
      <c r="AE104" s="49"/>
      <c r="AF104" s="84"/>
      <c r="AG104" s="49"/>
      <c r="AH104" s="49"/>
      <c r="AI104" s="49"/>
      <c r="AJ104" s="226"/>
      <c r="AK104" s="49"/>
      <c r="AL104" s="113">
        <f>-0.03*Z104</f>
        <v>-48</v>
      </c>
      <c r="AM104" s="113">
        <f t="shared" si="11"/>
        <v>-960</v>
      </c>
      <c r="AN104" s="218"/>
      <c r="AO104" s="49"/>
      <c r="AP104" s="49" t="s">
        <v>486</v>
      </c>
      <c r="AQ104" s="84" t="s">
        <v>142</v>
      </c>
      <c r="AR104" s="49" t="s">
        <v>487</v>
      </c>
      <c r="AS104" s="55">
        <f>(0.03*26+0.02*20)/46</f>
        <v>2.5652173913043481E-2</v>
      </c>
      <c r="AT104" s="55">
        <f>IF(ISBLANK(AS104),,IF(U104="S",AD104-AS104,AS104-AD104))</f>
        <v>2.6521739130434777E-2</v>
      </c>
      <c r="AU104" s="54">
        <f>AV104*R104</f>
        <v>1951.9999999999995</v>
      </c>
      <c r="AV104" s="56">
        <f>IF(ISBLANK(AS104),,(AT104*Z104))</f>
        <v>42.434782608695642</v>
      </c>
      <c r="AW104" s="57" t="s">
        <v>101</v>
      </c>
      <c r="AX104" s="96" t="s">
        <v>488</v>
      </c>
      <c r="AY104" s="96"/>
      <c r="AZ104" s="96"/>
      <c r="BA104" s="96" t="s">
        <v>489</v>
      </c>
      <c r="BB104" s="96"/>
      <c r="BC104" s="96"/>
      <c r="BD104" s="96"/>
      <c r="BE104" s="96"/>
      <c r="BF104" s="100"/>
      <c r="BG104" s="94">
        <f>SUM($AV$4:AV104)</f>
        <v>818.43137088826438</v>
      </c>
      <c r="BH104" s="95">
        <f>SUM($AU$4:AU104)</f>
        <v>6996.3999999999705</v>
      </c>
      <c r="BI104" s="80">
        <f>SUMIFS($AU$3:AU105,$Q$3:Q105,"F")</f>
        <v>4438.3999999999996</v>
      </c>
      <c r="BJ104" s="80">
        <f>SUMIFS($AU$3:AU105,$Q$3:Q105,"S")</f>
        <v>1776.0000000000018</v>
      </c>
      <c r="BK104" s="87">
        <f>SUMIFS($AU$3:AU105,$P$3:P105,"W")</f>
        <v>4534.4000000000015</v>
      </c>
      <c r="BL104" s="87">
        <f>SUMIFS($AU$3:AU105,$P$3:P105,"R")</f>
        <v>2000.0000000000002</v>
      </c>
      <c r="BM104" s="87">
        <f>SUMIFS($AU$3:AU105,$AQ$3:AQ105,"M")</f>
        <v>1341.9999999999686</v>
      </c>
      <c r="BN104" s="87">
        <f>SUMIFS($AU$3:AU105,$AQ$3:AQ105,"H")</f>
        <v>2736.0000000000005</v>
      </c>
      <c r="BO104" s="87">
        <f>SUMIFS($AU$3:AU105,$AQ$3:AQ105,"D")</f>
        <v>1504.0000000000005</v>
      </c>
      <c r="BP104" s="87">
        <f>SUMIFS($AU$3:AU107,$AQ$3:AQ107,"W")</f>
        <v>1414.3999999999999</v>
      </c>
      <c r="BQ104" s="87">
        <f>SUMIFS($AU$3:AU105,$Q$3:Q105,"O")</f>
        <v>405.99999999996044</v>
      </c>
      <c r="BR104" s="87">
        <f>SUMIFS($AU$3:AU105,$AA$3:AA105,"*")</f>
        <v>6980.3999999999705</v>
      </c>
      <c r="BS104" s="87">
        <f>SUMIFS($AU$3:AU105,$AB$3:AB105,"*")</f>
        <v>2591.9999999999991</v>
      </c>
      <c r="BT104" s="87">
        <f>SUMIFS($AU$3:AU105,$AC$3:AC105,"*")</f>
        <v>3734.3999999999996</v>
      </c>
      <c r="BU104" s="87">
        <f>SUMIFS($AU$3:AU105,$AA$3:AA105,"*",$AB$3:AB105,"*")</f>
        <v>2319.9999999999991</v>
      </c>
      <c r="BV104" s="87">
        <f>SUMIFS($AU$3:AU105,$AA$3:AA105,"*",$AC$3:AC105,"*")</f>
        <v>3990.3999999999996</v>
      </c>
      <c r="BW104" s="87">
        <f>SUMIFS($AU$3:AU105,$AB$3:AB105,"*",$AC$3:AC105,"*")</f>
        <v>2223.9999999999995</v>
      </c>
      <c r="BX104" s="87">
        <f>SUMIFS($AV$3:AV105,$Q$3:Q105,"F")</f>
        <v>142.54906832298136</v>
      </c>
      <c r="BY104" s="87">
        <f>SUMIFS($AV$3:AV105,$Q$3:Q105,"S")</f>
        <v>144.88230256529496</v>
      </c>
      <c r="BZ104" s="87">
        <f>SUMIFS($AV$3:AV105,$Q$3:Q105,"O")</f>
        <v>202.99999999998022</v>
      </c>
    </row>
    <row r="105" spans="1:78" ht="18" customHeight="1">
      <c r="A105" s="45" t="s">
        <v>96</v>
      </c>
      <c r="B105" s="59">
        <v>45321</v>
      </c>
      <c r="C105" s="46" t="s">
        <v>490</v>
      </c>
      <c r="D105" s="46" t="s">
        <v>98</v>
      </c>
      <c r="E105" s="66"/>
      <c r="F105" s="47"/>
      <c r="G105" s="48" t="s">
        <v>227</v>
      </c>
      <c r="H105" s="49"/>
      <c r="I105" s="49"/>
      <c r="J105" s="49"/>
      <c r="K105" s="50"/>
      <c r="L105" s="49"/>
      <c r="M105" s="49"/>
      <c r="N105" s="49"/>
      <c r="O105" s="50"/>
      <c r="P105" s="50"/>
      <c r="Q105" s="50"/>
      <c r="R105" s="50"/>
      <c r="S105" s="50"/>
      <c r="T105" s="50"/>
      <c r="U105" s="50"/>
      <c r="V105" s="50"/>
      <c r="W105" s="50"/>
      <c r="X105" s="50"/>
      <c r="Y105" s="51"/>
      <c r="Z105" s="52"/>
      <c r="AA105" s="52"/>
      <c r="AB105" s="52"/>
      <c r="AC105" s="52"/>
      <c r="AD105" s="231"/>
      <c r="AE105" s="49"/>
      <c r="AF105" s="84"/>
      <c r="AG105" s="49"/>
      <c r="AH105" s="49"/>
      <c r="AI105" s="49"/>
      <c r="AJ105" s="226"/>
      <c r="AK105" s="49"/>
      <c r="AL105" s="113">
        <f t="shared" ref="AL105:AL108" si="22">-0.02*Z105</f>
        <v>0</v>
      </c>
      <c r="AM105" s="113">
        <f t="shared" si="11"/>
        <v>0</v>
      </c>
      <c r="AN105" s="218"/>
      <c r="AO105" s="49"/>
      <c r="AP105" s="49"/>
      <c r="AQ105" s="84" t="str">
        <f>UPPER(RIGHT(Journal_Live[[#This Row],[DURATION ]]))</f>
        <v/>
      </c>
      <c r="AR105" s="49"/>
      <c r="AS105" s="55"/>
      <c r="AT105" s="55"/>
      <c r="AU105" s="54"/>
      <c r="AV105" s="56"/>
      <c r="AW105" s="57"/>
      <c r="AX105" s="96"/>
      <c r="AY105" s="96"/>
      <c r="AZ105" s="96"/>
      <c r="BA105" s="96"/>
      <c r="BB105" s="96"/>
      <c r="BC105" s="96"/>
      <c r="BD105" s="96"/>
      <c r="BE105" s="96"/>
      <c r="BF105" s="100"/>
      <c r="BG105" s="94">
        <f>SUM($AV$4:AV105)</f>
        <v>818.43137088826438</v>
      </c>
      <c r="BH105" s="95">
        <f>SUM($AU$4:AU105)</f>
        <v>6996.3999999999705</v>
      </c>
      <c r="BI105" s="80">
        <f>SUMIFS($AU$3:AU106,$Q$3:Q106,"F")</f>
        <v>4438.3999999999996</v>
      </c>
      <c r="BJ105" s="80">
        <f>SUMIFS($AU$3:AU106,$Q$3:Q106,"S")</f>
        <v>1776.0000000000018</v>
      </c>
      <c r="BK105" s="87">
        <f>SUMIFS($AU$3:AU106,$P$3:P106,"W")</f>
        <v>4534.4000000000015</v>
      </c>
      <c r="BL105" s="87">
        <f>SUMIFS($AU$3:AU106,$P$3:P106,"R")</f>
        <v>2000.0000000000002</v>
      </c>
      <c r="BM105" s="87">
        <f>SUMIFS($AU$3:AU106,$AQ$3:AQ106,"M")</f>
        <v>1341.9999999999686</v>
      </c>
      <c r="BN105" s="87">
        <f>SUMIFS($AU$3:AU106,$AQ$3:AQ106,"H")</f>
        <v>2736.0000000000005</v>
      </c>
      <c r="BO105" s="87">
        <f>SUMIFS($AU$3:AU106,$AQ$3:AQ106,"D")</f>
        <v>1504.0000000000005</v>
      </c>
      <c r="BP105" s="87">
        <f>SUMIFS($AU$3:AU108,$AQ$3:AQ108,"W")</f>
        <v>1414.3999999999999</v>
      </c>
      <c r="BQ105" s="87">
        <f>SUMIFS($AU$3:AU106,$Q$3:Q106,"O")</f>
        <v>405.99999999996044</v>
      </c>
      <c r="BR105" s="87">
        <f>SUMIFS($AU$3:AU106,$AA$3:AA106,"*")</f>
        <v>6980.3999999999705</v>
      </c>
      <c r="BS105" s="87">
        <f>SUMIFS($AU$3:AU106,$AB$3:AB106,"*")</f>
        <v>2591.9999999999991</v>
      </c>
      <c r="BT105" s="87">
        <f>SUMIFS($AU$3:AU106,$AC$3:AC106,"*")</f>
        <v>3734.3999999999996</v>
      </c>
      <c r="BU105" s="87">
        <f>SUMIFS($AU$3:AU106,$AA$3:AA106,"*",$AB$3:AB106,"*")</f>
        <v>2319.9999999999991</v>
      </c>
      <c r="BV105" s="87">
        <f>SUMIFS($AU$3:AU106,$AA$3:AA106,"*",$AC$3:AC106,"*")</f>
        <v>3990.3999999999996</v>
      </c>
      <c r="BW105" s="87">
        <f>SUMIFS($AU$3:AU106,$AB$3:AB106,"*",$AC$3:AC106,"*")</f>
        <v>2223.9999999999995</v>
      </c>
      <c r="BX105" s="87">
        <f>SUMIFS($AV$3:AV106,$Q$3:Q106,"F")</f>
        <v>142.54906832298136</v>
      </c>
      <c r="BY105" s="87">
        <f>SUMIFS($AV$3:AV106,$Q$3:Q106,"S")</f>
        <v>144.88230256529496</v>
      </c>
      <c r="BZ105" s="87">
        <f>SUMIFS($AV$3:AV106,$Q$3:Q106,"O")</f>
        <v>202.99999999998022</v>
      </c>
    </row>
    <row r="106" spans="1:78" ht="18" customHeight="1">
      <c r="A106" s="45" t="s">
        <v>96</v>
      </c>
      <c r="B106" s="59">
        <v>45321</v>
      </c>
      <c r="C106" s="46" t="s">
        <v>491</v>
      </c>
      <c r="D106" s="46" t="s">
        <v>98</v>
      </c>
      <c r="E106" s="66"/>
      <c r="F106" s="47"/>
      <c r="G106" s="48" t="s">
        <v>111</v>
      </c>
      <c r="H106" s="49"/>
      <c r="I106" s="49"/>
      <c r="J106" s="49"/>
      <c r="K106" s="50"/>
      <c r="L106" s="49"/>
      <c r="M106" s="49"/>
      <c r="N106" s="49"/>
      <c r="O106" s="50"/>
      <c r="P106" s="50"/>
      <c r="Q106" s="50"/>
      <c r="R106" s="50"/>
      <c r="S106" s="50"/>
      <c r="T106" s="50"/>
      <c r="U106" s="50"/>
      <c r="V106" s="50"/>
      <c r="W106" s="50"/>
      <c r="X106" s="50"/>
      <c r="Y106" s="51"/>
      <c r="Z106" s="52"/>
      <c r="AA106" s="52"/>
      <c r="AB106" s="52"/>
      <c r="AC106" s="52"/>
      <c r="AD106" s="231"/>
      <c r="AE106" s="49"/>
      <c r="AF106" s="84"/>
      <c r="AG106" s="49"/>
      <c r="AH106" s="49"/>
      <c r="AI106" s="49"/>
      <c r="AJ106" s="226"/>
      <c r="AK106" s="49"/>
      <c r="AL106" s="113">
        <f t="shared" si="22"/>
        <v>0</v>
      </c>
      <c r="AM106" s="113">
        <f t="shared" si="11"/>
        <v>0</v>
      </c>
      <c r="AN106" s="218"/>
      <c r="AO106" s="49"/>
      <c r="AP106" s="49"/>
      <c r="AQ106" s="84" t="str">
        <f>UPPER(RIGHT(Journal_Live[[#This Row],[DURATION ]]))</f>
        <v/>
      </c>
      <c r="AR106" s="49"/>
      <c r="AS106" s="55"/>
      <c r="AT106" s="55"/>
      <c r="AU106" s="54"/>
      <c r="AV106" s="56"/>
      <c r="AW106" s="57"/>
      <c r="AX106" s="96" t="s">
        <v>492</v>
      </c>
      <c r="AY106" s="96"/>
      <c r="AZ106" s="96"/>
      <c r="BA106" s="96"/>
      <c r="BB106" s="96"/>
      <c r="BC106" s="96"/>
      <c r="BD106" s="96"/>
      <c r="BE106" s="96"/>
      <c r="BF106" s="100"/>
      <c r="BG106" s="94">
        <f>SUM($AV$4:AV106)</f>
        <v>818.43137088826438</v>
      </c>
      <c r="BH106" s="95">
        <f>SUM($AU$4:AU106)</f>
        <v>6996.3999999999705</v>
      </c>
      <c r="BI106" s="80">
        <f>SUMIFS($AU$3:AU107,$Q$3:Q107,"F")</f>
        <v>4438.3999999999996</v>
      </c>
      <c r="BJ106" s="80">
        <f>SUMIFS($AU$3:AU107,$Q$3:Q107,"S")</f>
        <v>1776.0000000000018</v>
      </c>
      <c r="BK106" s="87">
        <f>SUMIFS($AU$3:AU107,$P$3:P107,"W")</f>
        <v>4534.4000000000015</v>
      </c>
      <c r="BL106" s="87">
        <f>SUMIFS($AU$3:AU107,$P$3:P107,"R")</f>
        <v>2000.0000000000002</v>
      </c>
      <c r="BM106" s="87">
        <f>SUMIFS($AU$3:AU107,$AQ$3:AQ107,"M")</f>
        <v>1341.9999999999686</v>
      </c>
      <c r="BN106" s="87">
        <f>SUMIFS($AU$3:AU107,$AQ$3:AQ107,"H")</f>
        <v>2736.0000000000005</v>
      </c>
      <c r="BO106" s="87">
        <f>SUMIFS($AU$3:AU107,$AQ$3:AQ107,"D")</f>
        <v>1504.0000000000005</v>
      </c>
      <c r="BP106" s="87">
        <f>SUMIFS($AU$3:AU109,$AQ$3:AQ109,"W")</f>
        <v>1414.3999999999999</v>
      </c>
      <c r="BQ106" s="87">
        <f>SUMIFS($AU$3:AU107,$Q$3:Q107,"O")</f>
        <v>405.99999999996044</v>
      </c>
      <c r="BR106" s="87">
        <f>SUMIFS($AU$3:AU107,$AA$3:AA107,"*")</f>
        <v>6980.3999999999705</v>
      </c>
      <c r="BS106" s="87">
        <f>SUMIFS($AU$3:AU107,$AB$3:AB107,"*")</f>
        <v>2591.9999999999991</v>
      </c>
      <c r="BT106" s="87">
        <f>SUMIFS($AU$3:AU107,$AC$3:AC107,"*")</f>
        <v>3734.3999999999996</v>
      </c>
      <c r="BU106" s="87">
        <f>SUMIFS($AU$3:AU107,$AA$3:AA107,"*",$AB$3:AB107,"*")</f>
        <v>2319.9999999999991</v>
      </c>
      <c r="BV106" s="87">
        <f>SUMIFS($AU$3:AU107,$AA$3:AA107,"*",$AC$3:AC107,"*")</f>
        <v>3990.3999999999996</v>
      </c>
      <c r="BW106" s="87">
        <f>SUMIFS($AU$3:AU107,$AB$3:AB107,"*",$AC$3:AC107,"*")</f>
        <v>2223.9999999999995</v>
      </c>
      <c r="BX106" s="87">
        <f>SUMIFS($AV$3:AV107,$Q$3:Q107,"F")</f>
        <v>142.54906832298136</v>
      </c>
      <c r="BY106" s="87">
        <f>SUMIFS($AV$3:AV107,$Q$3:Q107,"S")</f>
        <v>144.88230256529496</v>
      </c>
      <c r="BZ106" s="87">
        <f>SUMIFS($AV$3:AV107,$Q$3:Q107,"O")</f>
        <v>202.99999999998022</v>
      </c>
    </row>
    <row r="107" spans="1:78" ht="18" customHeight="1">
      <c r="A107" s="45" t="s">
        <v>96</v>
      </c>
      <c r="B107" s="59">
        <v>45321</v>
      </c>
      <c r="C107" s="46" t="s">
        <v>493</v>
      </c>
      <c r="D107" s="46" t="s">
        <v>98</v>
      </c>
      <c r="E107" s="66" t="s">
        <v>494</v>
      </c>
      <c r="F107" s="47"/>
      <c r="G107" s="48"/>
      <c r="H107" s="49"/>
      <c r="I107" s="49"/>
      <c r="J107" s="49"/>
      <c r="K107" s="50"/>
      <c r="L107" s="49"/>
      <c r="M107" s="49"/>
      <c r="N107" s="49"/>
      <c r="O107" s="50"/>
      <c r="P107" s="50"/>
      <c r="Q107" s="50"/>
      <c r="R107" s="50"/>
      <c r="S107" s="50"/>
      <c r="T107" s="50"/>
      <c r="U107" s="50"/>
      <c r="V107" s="50"/>
      <c r="W107" s="50"/>
      <c r="X107" s="50"/>
      <c r="Y107" s="50"/>
      <c r="Z107" s="50"/>
      <c r="AA107" s="52"/>
      <c r="AB107" s="52"/>
      <c r="AC107" s="52"/>
      <c r="AD107" s="231"/>
      <c r="AE107" s="49"/>
      <c r="AF107" s="84"/>
      <c r="AG107" s="49"/>
      <c r="AH107" s="49"/>
      <c r="AI107" s="49"/>
      <c r="AJ107" s="226"/>
      <c r="AK107" s="49"/>
      <c r="AL107" s="113">
        <f t="shared" si="22"/>
        <v>0</v>
      </c>
      <c r="AM107" s="113">
        <f t="shared" si="11"/>
        <v>0</v>
      </c>
      <c r="AN107" s="218"/>
      <c r="AO107" s="49"/>
      <c r="AP107" s="49"/>
      <c r="AQ107" s="84" t="str">
        <f>UPPER(RIGHT(Journal_Live[[#This Row],[DURATION ]]))</f>
        <v/>
      </c>
      <c r="AR107" s="49"/>
      <c r="AS107" s="55"/>
      <c r="AT107" s="55"/>
      <c r="AU107" s="54"/>
      <c r="AV107" s="56"/>
      <c r="AW107" s="57"/>
      <c r="AX107" s="96" t="s">
        <v>495</v>
      </c>
      <c r="AY107" s="96"/>
      <c r="AZ107" s="96"/>
      <c r="BA107" s="96"/>
      <c r="BB107" s="96"/>
      <c r="BC107" s="96"/>
      <c r="BD107" s="96"/>
      <c r="BE107" s="96"/>
      <c r="BF107" s="100"/>
      <c r="BG107" s="94">
        <f>SUM($AV$4:AV107)</f>
        <v>818.43137088826438</v>
      </c>
      <c r="BH107" s="95">
        <f>SUM($AU$4:AU107)</f>
        <v>6996.3999999999705</v>
      </c>
      <c r="BI107" s="80">
        <f>SUMIFS($AU$3:AU108,$Q$3:Q108,"F")</f>
        <v>4438.3999999999996</v>
      </c>
      <c r="BJ107" s="80">
        <f>SUMIFS($AU$3:AU108,$Q$3:Q108,"S")</f>
        <v>1776.0000000000018</v>
      </c>
      <c r="BK107" s="87">
        <f>SUMIFS($AU$3:AU108,$P$3:P108,"W")</f>
        <v>4534.4000000000015</v>
      </c>
      <c r="BL107" s="87">
        <f>SUMIFS($AU$3:AU108,$P$3:P108,"R")</f>
        <v>2000.0000000000002</v>
      </c>
      <c r="BM107" s="87">
        <f>SUMIFS($AU$3:AU108,$AQ$3:AQ108,"M")</f>
        <v>1388.3999999998605</v>
      </c>
      <c r="BN107" s="87">
        <f>SUMIFS($AU$3:AU108,$AQ$3:AQ108,"H")</f>
        <v>2736.0000000000005</v>
      </c>
      <c r="BO107" s="87">
        <f>SUMIFS($AU$3:AU108,$AQ$3:AQ108,"D")</f>
        <v>1504.0000000000005</v>
      </c>
      <c r="BP107" s="87">
        <f>SUMIFS($AU$3:AU110,$AQ$3:AQ110,"W")</f>
        <v>1414.3999999999999</v>
      </c>
      <c r="BQ107" s="87">
        <f>SUMIFS($AU$3:AU108,$Q$3:Q108,"O")</f>
        <v>452.3999999998523</v>
      </c>
      <c r="BR107" s="87">
        <f>SUMIFS($AU$3:AU108,$AA$3:AA108,"*")</f>
        <v>7026.7999999998628</v>
      </c>
      <c r="BS107" s="87">
        <f>SUMIFS($AU$3:AU108,$AB$3:AB108,"*")</f>
        <v>2591.9999999999991</v>
      </c>
      <c r="BT107" s="87">
        <f>SUMIFS($AU$3:AU108,$AC$3:AC108,"*")</f>
        <v>3734.3999999999996</v>
      </c>
      <c r="BU107" s="87">
        <f>SUMIFS($AU$3:AU108,$AA$3:AA108,"*",$AB$3:AB108,"*")</f>
        <v>2319.9999999999991</v>
      </c>
      <c r="BV107" s="87">
        <f>SUMIFS($AU$3:AU108,$AA$3:AA108,"*",$AC$3:AC108,"*")</f>
        <v>3990.3999999999996</v>
      </c>
      <c r="BW107" s="87">
        <f>SUMIFS($AU$3:AU108,$AB$3:AB108,"*",$AC$3:AC108,"*")</f>
        <v>2223.9999999999995</v>
      </c>
      <c r="BX107" s="87">
        <f>SUMIFS($AV$3:AV108,$Q$3:Q108,"F")</f>
        <v>142.54906832298136</v>
      </c>
      <c r="BY107" s="87">
        <f>SUMIFS($AV$3:AV108,$Q$3:Q108,"S")</f>
        <v>144.88230256529496</v>
      </c>
      <c r="BZ107" s="87">
        <f>SUMIFS($AV$3:AV108,$Q$3:Q108,"O")</f>
        <v>226.19999999992615</v>
      </c>
    </row>
    <row r="108" spans="1:78" ht="18" customHeight="1">
      <c r="A108" s="45" t="s">
        <v>96</v>
      </c>
      <c r="B108" s="59">
        <v>45321</v>
      </c>
      <c r="C108" s="46" t="s">
        <v>147</v>
      </c>
      <c r="D108" s="46" t="s">
        <v>98</v>
      </c>
      <c r="E108" s="66"/>
      <c r="F108" s="47"/>
      <c r="G108" s="71" t="s">
        <v>195</v>
      </c>
      <c r="H108" s="49"/>
      <c r="I108" s="49"/>
      <c r="J108" s="49"/>
      <c r="K108" s="50"/>
      <c r="L108" s="49">
        <v>1</v>
      </c>
      <c r="M108" s="49"/>
      <c r="N108" s="49"/>
      <c r="O108" s="50" t="s">
        <v>196</v>
      </c>
      <c r="P108" s="50" t="s">
        <v>197</v>
      </c>
      <c r="Q108" s="50" t="s">
        <v>198</v>
      </c>
      <c r="R108" s="50">
        <v>2</v>
      </c>
      <c r="S108" s="50">
        <v>0</v>
      </c>
      <c r="T108" s="50">
        <v>1</v>
      </c>
      <c r="U108" s="50" t="s">
        <v>102</v>
      </c>
      <c r="V108" s="50"/>
      <c r="W108" s="50"/>
      <c r="X108" s="50"/>
      <c r="Y108" s="51">
        <f>IF(ISBLANK(O108),"",(IF(O108=UPPER("IB"),0.005,0.01)))</f>
        <v>0.01</v>
      </c>
      <c r="Z108" s="52">
        <f>IF(ISBLANK(O108),"",IF(O108="IB",8.63*200,IF(O108="IR",16*100,IF(O108="YT",20*100,IF(O108="YT-XT",24*200,IF(O108="TED",80*100,IF(O108="XT",29*200)))))))</f>
        <v>5800</v>
      </c>
      <c r="AA108" s="52" t="s">
        <v>496</v>
      </c>
      <c r="AB108" s="52"/>
      <c r="AC108" s="52"/>
      <c r="AD108" s="231">
        <v>95.816999999999993</v>
      </c>
      <c r="AE108" s="49"/>
      <c r="AF108" s="84"/>
      <c r="AG108" s="49"/>
      <c r="AH108" s="49"/>
      <c r="AI108" s="49"/>
      <c r="AJ108" s="226"/>
      <c r="AK108" s="49"/>
      <c r="AL108" s="113">
        <f t="shared" si="22"/>
        <v>-116</v>
      </c>
      <c r="AM108" s="113">
        <f t="shared" si="11"/>
        <v>-232</v>
      </c>
      <c r="AN108" s="218"/>
      <c r="AO108" s="49"/>
      <c r="AP108" s="49" t="s">
        <v>497</v>
      </c>
      <c r="AQ108" s="84" t="s">
        <v>350</v>
      </c>
      <c r="AR108" s="49" t="s">
        <v>498</v>
      </c>
      <c r="AS108" s="55">
        <v>95.813000000000002</v>
      </c>
      <c r="AT108" s="55">
        <f>IF(ISBLANK(AS108),,IF(U108="S",AD108-AS108,AS108-AD108))</f>
        <v>3.9999999999906777E-3</v>
      </c>
      <c r="AU108" s="54">
        <f>AV108*R108</f>
        <v>46.399999999891861</v>
      </c>
      <c r="AV108" s="56">
        <f>IF(ISBLANK(AS108),,(AT108*Z108))</f>
        <v>23.199999999945931</v>
      </c>
      <c r="AW108" s="57" t="s">
        <v>101</v>
      </c>
      <c r="AX108" s="96" t="s">
        <v>499</v>
      </c>
      <c r="AY108" s="96"/>
      <c r="AZ108" s="96"/>
      <c r="BA108" s="96"/>
      <c r="BB108" s="96"/>
      <c r="BC108" s="96"/>
      <c r="BD108" s="96"/>
      <c r="BE108" s="96"/>
      <c r="BF108" s="100"/>
      <c r="BG108" s="94">
        <f>SUM($AV$4:AV108)</f>
        <v>841.63137088821031</v>
      </c>
      <c r="BH108" s="95">
        <f>SUM($AU$4:AU108)</f>
        <v>7042.7999999998628</v>
      </c>
      <c r="BI108" s="80">
        <f>SUMIFS($AU$3:AU109,$Q$3:Q109,"F")</f>
        <v>4438.3999999999996</v>
      </c>
      <c r="BJ108" s="80">
        <f>SUMIFS($AU$3:AU109,$Q$3:Q109,"S")</f>
        <v>2128.0000000000014</v>
      </c>
      <c r="BK108" s="87">
        <f>SUMIFS($AU$3:AU109,$P$3:P109,"W")</f>
        <v>4886.4000000000015</v>
      </c>
      <c r="BL108" s="87">
        <f>SUMIFS($AU$3:AU109,$P$3:P109,"R")</f>
        <v>2000.0000000000002</v>
      </c>
      <c r="BM108" s="87">
        <f>SUMIFS($AU$3:AU109,$AQ$3:AQ109,"M")</f>
        <v>1388.3999999998605</v>
      </c>
      <c r="BN108" s="87">
        <f>SUMIFS($AU$3:AU109,$AQ$3:AQ109,"H")</f>
        <v>3088</v>
      </c>
      <c r="BO108" s="87">
        <f>SUMIFS($AU$3:AU109,$AQ$3:AQ109,"D")</f>
        <v>1504.0000000000005</v>
      </c>
      <c r="BP108" s="87">
        <f>SUMIFS($AU$3:AU111,$AQ$3:AQ111,"W")</f>
        <v>1414.3999999999999</v>
      </c>
      <c r="BQ108" s="87">
        <f>SUMIFS($AU$3:AU109,$Q$3:Q109,"O")</f>
        <v>452.3999999998523</v>
      </c>
      <c r="BR108" s="87">
        <f>SUMIFS($AU$3:AU109,$AA$3:AA109,"*")</f>
        <v>7378.7999999998628</v>
      </c>
      <c r="BS108" s="87">
        <f>SUMIFS($AU$3:AU109,$AB$3:AB109,"*")</f>
        <v>2591.9999999999991</v>
      </c>
      <c r="BT108" s="87">
        <f>SUMIFS($AU$3:AU109,$AC$3:AC109,"*")</f>
        <v>3734.3999999999996</v>
      </c>
      <c r="BU108" s="87">
        <f>SUMIFS($AU$3:AU109,$AA$3:AA109,"*",$AB$3:AB109,"*")</f>
        <v>2319.9999999999991</v>
      </c>
      <c r="BV108" s="87">
        <f>SUMIFS($AU$3:AU109,$AA$3:AA109,"*",$AC$3:AC109,"*")</f>
        <v>3990.3999999999996</v>
      </c>
      <c r="BW108" s="87">
        <f>SUMIFS($AU$3:AU109,$AB$3:AB109,"*",$AC$3:AC109,"*")</f>
        <v>2223.9999999999995</v>
      </c>
      <c r="BX108" s="87">
        <f>SUMIFS($AV$3:AV109,$Q$3:Q109,"F")</f>
        <v>142.54906832298136</v>
      </c>
      <c r="BY108" s="87">
        <f>SUMIFS($AV$3:AV109,$Q$3:Q109,"S")</f>
        <v>163.40861835476863</v>
      </c>
      <c r="BZ108" s="87">
        <f>SUMIFS($AV$3:AV109,$Q$3:Q109,"O")</f>
        <v>226.19999999992615</v>
      </c>
    </row>
    <row r="109" spans="1:78" ht="18" customHeight="1">
      <c r="A109" s="45" t="s">
        <v>96</v>
      </c>
      <c r="B109" s="59">
        <v>45321</v>
      </c>
      <c r="C109" s="46" t="s">
        <v>500</v>
      </c>
      <c r="D109" s="46" t="s">
        <v>98</v>
      </c>
      <c r="E109" s="66"/>
      <c r="F109" s="47"/>
      <c r="G109" s="71" t="s">
        <v>99</v>
      </c>
      <c r="H109" s="49"/>
      <c r="I109" s="49"/>
      <c r="J109" s="49"/>
      <c r="K109" s="50"/>
      <c r="L109" s="49">
        <v>1</v>
      </c>
      <c r="M109" s="49"/>
      <c r="N109" s="49"/>
      <c r="O109" s="50" t="s">
        <v>100</v>
      </c>
      <c r="P109" s="50" t="s">
        <v>101</v>
      </c>
      <c r="Q109" s="50" t="s">
        <v>102</v>
      </c>
      <c r="R109" s="50">
        <v>19</v>
      </c>
      <c r="S109" s="50">
        <v>16</v>
      </c>
      <c r="T109" s="50">
        <v>16</v>
      </c>
      <c r="U109" s="50" t="s">
        <v>102</v>
      </c>
      <c r="V109" s="50"/>
      <c r="W109" s="50"/>
      <c r="X109" s="50"/>
      <c r="Y109" s="51">
        <f>IF(ISBLANK(O109),"",(IF(O109=UPPER("IB"),0.005,0.01)))</f>
        <v>0.01</v>
      </c>
      <c r="Z109" s="52">
        <f>IF(ISBLANK(O109),"",IF(O109="IB",8.63*200,IF(O109="IR",16*100,IF(O109="YT",20*100,IF(O109="YT-XT",24*200,IF(O109="TED",80*100))))))</f>
        <v>1600</v>
      </c>
      <c r="AA109" s="52" t="s">
        <v>501</v>
      </c>
      <c r="AB109" s="52"/>
      <c r="AC109" s="52"/>
      <c r="AD109" s="231">
        <v>-0.05</v>
      </c>
      <c r="AE109" s="49"/>
      <c r="AF109" s="84"/>
      <c r="AG109" s="49"/>
      <c r="AH109" s="49"/>
      <c r="AI109" s="49"/>
      <c r="AJ109" s="226"/>
      <c r="AK109" s="49"/>
      <c r="AL109" s="113">
        <f t="shared" si="14"/>
        <v>-32</v>
      </c>
      <c r="AM109" s="113">
        <f t="shared" si="11"/>
        <v>-96</v>
      </c>
      <c r="AN109" s="218"/>
      <c r="AO109" s="49"/>
      <c r="AP109" s="49" t="s">
        <v>104</v>
      </c>
      <c r="AQ109" s="84" t="s">
        <v>142</v>
      </c>
      <c r="AR109" s="49" t="s">
        <v>502</v>
      </c>
      <c r="AS109" s="55">
        <f>((-0.06*16)+(-0.07*3))/19</f>
        <v>-6.1578947368421046E-2</v>
      </c>
      <c r="AT109" s="55">
        <f>IF(ISBLANK(AS109),,IF(U109="S",AD109-AS109,AS109-AD109))</f>
        <v>1.1578947368421043E-2</v>
      </c>
      <c r="AU109" s="54">
        <f>AV109*R109</f>
        <v>351.99999999999966</v>
      </c>
      <c r="AV109" s="56">
        <f>IF(ISBLANK(AS109),,(AT109*Z109))</f>
        <v>18.526315789473667</v>
      </c>
      <c r="AW109" s="57" t="s">
        <v>101</v>
      </c>
      <c r="AX109" s="96"/>
      <c r="AY109" s="96"/>
      <c r="AZ109" s="96"/>
      <c r="BA109" s="96"/>
      <c r="BB109" s="96"/>
      <c r="BC109" s="96"/>
      <c r="BD109" s="96"/>
      <c r="BE109" s="96"/>
      <c r="BF109" s="100"/>
      <c r="BG109" s="94">
        <f>SUM($AV$4:AV109)</f>
        <v>860.15768667768396</v>
      </c>
      <c r="BH109" s="95">
        <f>SUM($AU$4:AU109)</f>
        <v>7394.7999999998628</v>
      </c>
      <c r="BI109" s="80">
        <f>SUMIFS($AU$3:AU110,$Q$3:Q110,"F")</f>
        <v>4438.3999999999996</v>
      </c>
      <c r="BJ109" s="80">
        <f>SUMIFS($AU$3:AU110,$Q$3:Q110,"S")</f>
        <v>2128.0000000000014</v>
      </c>
      <c r="BK109" s="87">
        <f>SUMIFS($AU$3:AU110,$P$3:P110,"W")</f>
        <v>4886.4000000000015</v>
      </c>
      <c r="BL109" s="87">
        <f>SUMIFS($AU$3:AU110,$P$3:P110,"R")</f>
        <v>2000.0000000000002</v>
      </c>
      <c r="BM109" s="87">
        <f>SUMIFS($AU$3:AU110,$AQ$3:AQ110,"M")</f>
        <v>1388.3999999998605</v>
      </c>
      <c r="BN109" s="87">
        <f>SUMIFS($AU$3:AU110,$AQ$3:AQ110,"H")</f>
        <v>3088</v>
      </c>
      <c r="BO109" s="87">
        <f>SUMIFS($AU$3:AU110,$AQ$3:AQ110,"D")</f>
        <v>1504.0000000000005</v>
      </c>
      <c r="BP109" s="87">
        <f>SUMIFS($AU$3:AU112,$AQ$3:AQ112,"W")</f>
        <v>1414.3999999999999</v>
      </c>
      <c r="BQ109" s="87">
        <f>SUMIFS($AU$3:AU110,$Q$3:Q110,"O")</f>
        <v>452.3999999998523</v>
      </c>
      <c r="BR109" s="87">
        <f>SUMIFS($AU$3:AU110,$AA$3:AA110,"*")</f>
        <v>7378.7999999998628</v>
      </c>
      <c r="BS109" s="87">
        <f>SUMIFS($AU$3:AU110,$AB$3:AB110,"*")</f>
        <v>2591.9999999999991</v>
      </c>
      <c r="BT109" s="87">
        <f>SUMIFS($AU$3:AU110,$AC$3:AC110,"*")</f>
        <v>3734.3999999999996</v>
      </c>
      <c r="BU109" s="87">
        <f>SUMIFS($AU$3:AU110,$AA$3:AA110,"*",$AB$3:AB110,"*")</f>
        <v>2319.9999999999991</v>
      </c>
      <c r="BV109" s="87">
        <f>SUMIFS($AU$3:AU110,$AA$3:AA110,"*",$AC$3:AC110,"*")</f>
        <v>3990.3999999999996</v>
      </c>
      <c r="BW109" s="87">
        <f>SUMIFS($AU$3:AU110,$AB$3:AB110,"*",$AC$3:AC110,"*")</f>
        <v>2223.9999999999995</v>
      </c>
      <c r="BX109" s="87">
        <f>SUMIFS($AV$3:AV110,$Q$3:Q110,"F")</f>
        <v>142.54906832298136</v>
      </c>
      <c r="BY109" s="87">
        <f>SUMIFS($AV$3:AV110,$Q$3:Q110,"S")</f>
        <v>163.40861835476863</v>
      </c>
      <c r="BZ109" s="87">
        <f>SUMIFS($AV$3:AV110,$Q$3:Q110,"O")</f>
        <v>226.19999999992615</v>
      </c>
    </row>
    <row r="110" spans="1:78" ht="18" customHeight="1">
      <c r="A110" s="45" t="s">
        <v>96</v>
      </c>
      <c r="B110" s="59">
        <v>45321</v>
      </c>
      <c r="C110" s="46" t="s">
        <v>503</v>
      </c>
      <c r="D110" s="46" t="s">
        <v>98</v>
      </c>
      <c r="E110" s="66"/>
      <c r="F110" s="47"/>
      <c r="G110" s="48" t="s">
        <v>111</v>
      </c>
      <c r="H110" s="49"/>
      <c r="I110" s="49"/>
      <c r="J110" s="49"/>
      <c r="K110" s="50"/>
      <c r="L110" s="49"/>
      <c r="M110" s="49"/>
      <c r="N110" s="49"/>
      <c r="O110" s="50"/>
      <c r="P110" s="50"/>
      <c r="Q110" s="50"/>
      <c r="R110" s="50"/>
      <c r="S110" s="50"/>
      <c r="T110" s="50"/>
      <c r="U110" s="50"/>
      <c r="V110" s="50"/>
      <c r="W110" s="50"/>
      <c r="X110" s="50"/>
      <c r="Y110" s="51"/>
      <c r="Z110" s="52"/>
      <c r="AA110" s="52"/>
      <c r="AB110" s="52"/>
      <c r="AC110" s="52"/>
      <c r="AD110" s="231"/>
      <c r="AE110" s="49"/>
      <c r="AF110" s="84"/>
      <c r="AG110" s="49"/>
      <c r="AH110" s="49"/>
      <c r="AI110" s="49"/>
      <c r="AJ110" s="226"/>
      <c r="AK110" s="49"/>
      <c r="AL110" s="113">
        <f t="shared" si="14"/>
        <v>0</v>
      </c>
      <c r="AM110" s="113">
        <f t="shared" si="11"/>
        <v>0</v>
      </c>
      <c r="AN110" s="218"/>
      <c r="AO110" s="49"/>
      <c r="AP110" s="49"/>
      <c r="AQ110" s="84" t="str">
        <f>UPPER(RIGHT(Journal_Live[[#This Row],[DURATION ]]))</f>
        <v/>
      </c>
      <c r="AR110" s="49"/>
      <c r="AS110" s="55"/>
      <c r="AT110" s="55"/>
      <c r="AU110" s="54"/>
      <c r="AV110" s="56"/>
      <c r="AW110" s="57"/>
      <c r="AX110" s="96"/>
      <c r="AY110" s="96"/>
      <c r="AZ110" s="96"/>
      <c r="BA110" s="96"/>
      <c r="BB110" s="96"/>
      <c r="BC110" s="96"/>
      <c r="BD110" s="96"/>
      <c r="BE110" s="96"/>
      <c r="BF110" s="100"/>
      <c r="BG110" s="94">
        <f>SUM($AV$4:AV110)</f>
        <v>860.15768667768396</v>
      </c>
      <c r="BH110" s="95">
        <f>SUM($AU$4:AU110)</f>
        <v>7394.7999999998628</v>
      </c>
      <c r="BI110" s="80">
        <f>SUMIFS($AU$3:AU111,$Q$3:Q111,"F")</f>
        <v>4438.3999999999996</v>
      </c>
      <c r="BJ110" s="80">
        <f>SUMIFS($AU$3:AU111,$Q$3:Q111,"S")</f>
        <v>2128.0000000000014</v>
      </c>
      <c r="BK110" s="87">
        <f>SUMIFS($AU$3:AU111,$P$3:P111,"W")</f>
        <v>4886.4000000000015</v>
      </c>
      <c r="BL110" s="87">
        <f>SUMIFS($AU$3:AU111,$P$3:P111,"R")</f>
        <v>2000.0000000000002</v>
      </c>
      <c r="BM110" s="87">
        <f>SUMIFS($AU$3:AU111,$AQ$3:AQ111,"M")</f>
        <v>1388.3999999998605</v>
      </c>
      <c r="BN110" s="87">
        <f>SUMIFS($AU$3:AU111,$AQ$3:AQ111,"H")</f>
        <v>3088</v>
      </c>
      <c r="BO110" s="87">
        <f>SUMIFS($AU$3:AU111,$AQ$3:AQ111,"D")</f>
        <v>1504.0000000000005</v>
      </c>
      <c r="BP110" s="87">
        <f>SUMIFS($AU$3:AU113,$AQ$3:AQ113,"W")</f>
        <v>1414.3999999999999</v>
      </c>
      <c r="BQ110" s="87">
        <f>SUMIFS($AU$3:AU111,$Q$3:Q111,"O")</f>
        <v>452.3999999998523</v>
      </c>
      <c r="BR110" s="87">
        <f>SUMIFS($AU$3:AU111,$AA$3:AA111,"*")</f>
        <v>7378.7999999998628</v>
      </c>
      <c r="BS110" s="87">
        <f>SUMIFS($AU$3:AU111,$AB$3:AB111,"*")</f>
        <v>2591.9999999999991</v>
      </c>
      <c r="BT110" s="87">
        <f>SUMIFS($AU$3:AU111,$AC$3:AC111,"*")</f>
        <v>3734.3999999999996</v>
      </c>
      <c r="BU110" s="87">
        <f>SUMIFS($AU$3:AU111,$AA$3:AA111,"*",$AB$3:AB111,"*")</f>
        <v>2319.9999999999991</v>
      </c>
      <c r="BV110" s="87">
        <f>SUMIFS($AU$3:AU111,$AA$3:AA111,"*",$AC$3:AC111,"*")</f>
        <v>3990.3999999999996</v>
      </c>
      <c r="BW110" s="87">
        <f>SUMIFS($AU$3:AU111,$AB$3:AB111,"*",$AC$3:AC111,"*")</f>
        <v>2223.9999999999995</v>
      </c>
      <c r="BX110" s="87">
        <f>SUMIFS($AV$3:AV111,$Q$3:Q111,"F")</f>
        <v>142.54906832298136</v>
      </c>
      <c r="BY110" s="87">
        <f>SUMIFS($AV$3:AV111,$Q$3:Q111,"S")</f>
        <v>163.40861835476863</v>
      </c>
      <c r="BZ110" s="87">
        <f>SUMIFS($AV$3:AV111,$Q$3:Q111,"O")</f>
        <v>226.19999999992615</v>
      </c>
    </row>
    <row r="111" spans="1:78" ht="18" customHeight="1">
      <c r="A111" s="45" t="s">
        <v>96</v>
      </c>
      <c r="B111" s="59">
        <v>45322</v>
      </c>
      <c r="C111" s="46" t="s">
        <v>504</v>
      </c>
      <c r="D111" s="46" t="s">
        <v>186</v>
      </c>
      <c r="E111" s="66"/>
      <c r="F111" s="47"/>
      <c r="G111" s="48" t="s">
        <v>227</v>
      </c>
      <c r="H111" s="49"/>
      <c r="I111" s="49"/>
      <c r="J111" s="49"/>
      <c r="K111" s="50"/>
      <c r="L111" s="49"/>
      <c r="M111" s="49"/>
      <c r="N111" s="49"/>
      <c r="O111" s="50"/>
      <c r="P111" s="50"/>
      <c r="Q111" s="50"/>
      <c r="R111" s="50"/>
      <c r="S111" s="50"/>
      <c r="T111" s="50"/>
      <c r="U111" s="50"/>
      <c r="V111" s="50"/>
      <c r="W111" s="50"/>
      <c r="X111" s="50"/>
      <c r="Y111" s="51"/>
      <c r="Z111" s="52"/>
      <c r="AA111" s="52"/>
      <c r="AB111" s="52"/>
      <c r="AC111" s="52"/>
      <c r="AD111" s="231"/>
      <c r="AE111" s="49"/>
      <c r="AF111" s="84"/>
      <c r="AG111" s="49"/>
      <c r="AH111" s="49"/>
      <c r="AI111" s="49"/>
      <c r="AJ111" s="226"/>
      <c r="AK111" s="49"/>
      <c r="AL111" s="113">
        <f t="shared" si="14"/>
        <v>0</v>
      </c>
      <c r="AM111" s="113">
        <f t="shared" si="11"/>
        <v>0</v>
      </c>
      <c r="AN111" s="218"/>
      <c r="AO111" s="49"/>
      <c r="AP111" s="49"/>
      <c r="AQ111" s="84" t="str">
        <f>UPPER(RIGHT(Journal_Live[[#This Row],[DURATION ]]))</f>
        <v/>
      </c>
      <c r="AR111" s="49"/>
      <c r="AS111" s="55"/>
      <c r="AT111" s="55"/>
      <c r="AU111" s="54"/>
      <c r="AV111" s="56"/>
      <c r="AW111" s="57"/>
      <c r="AX111" s="96"/>
      <c r="AY111" s="96"/>
      <c r="AZ111" s="96"/>
      <c r="BA111" s="96"/>
      <c r="BB111" s="96"/>
      <c r="BC111" s="96"/>
      <c r="BD111" s="96"/>
      <c r="BE111" s="96"/>
      <c r="BF111" s="100"/>
      <c r="BG111" s="94">
        <f>SUM($AV$4:AV111)</f>
        <v>860.15768667768396</v>
      </c>
      <c r="BH111" s="95">
        <f>SUM($AU$4:AU111)</f>
        <v>7394.7999999998628</v>
      </c>
      <c r="BI111" s="80">
        <f>SUMIFS($AU$3:AU112,$Q$3:Q112,"F")</f>
        <v>4438.3999999999996</v>
      </c>
      <c r="BJ111" s="80">
        <f>SUMIFS($AU$3:AU112,$Q$3:Q112,"S")</f>
        <v>2128.0000000000014</v>
      </c>
      <c r="BK111" s="87">
        <f>SUMIFS($AU$3:AU112,$P$3:P112,"W")</f>
        <v>4886.4000000000015</v>
      </c>
      <c r="BL111" s="87">
        <f>SUMIFS($AU$3:AU112,$P$3:P112,"R")</f>
        <v>2000.0000000000002</v>
      </c>
      <c r="BM111" s="87">
        <f>SUMIFS($AU$3:AU112,$AQ$3:AQ112,"M")</f>
        <v>1388.3999999998605</v>
      </c>
      <c r="BN111" s="87">
        <f>SUMIFS($AU$3:AU112,$AQ$3:AQ112,"H")</f>
        <v>3088</v>
      </c>
      <c r="BO111" s="87">
        <f>SUMIFS($AU$3:AU112,$AQ$3:AQ112,"D")</f>
        <v>1504.0000000000005</v>
      </c>
      <c r="BP111" s="87">
        <f>SUMIFS($AU$3:AU114,$AQ$3:AQ114,"W")</f>
        <v>1414.3999999999999</v>
      </c>
      <c r="BQ111" s="87">
        <f>SUMIFS($AU$3:AU112,$Q$3:Q112,"O")</f>
        <v>452.3999999998523</v>
      </c>
      <c r="BR111" s="87">
        <f>SUMIFS($AU$3:AU112,$AA$3:AA112,"*")</f>
        <v>7378.7999999998628</v>
      </c>
      <c r="BS111" s="87">
        <f>SUMIFS($AU$3:AU112,$AB$3:AB112,"*")</f>
        <v>2591.9999999999991</v>
      </c>
      <c r="BT111" s="87">
        <f>SUMIFS($AU$3:AU112,$AC$3:AC112,"*")</f>
        <v>3734.3999999999996</v>
      </c>
      <c r="BU111" s="87">
        <f>SUMIFS($AU$3:AU112,$AA$3:AA112,"*",$AB$3:AB112,"*")</f>
        <v>2319.9999999999991</v>
      </c>
      <c r="BV111" s="87">
        <f>SUMIFS($AU$3:AU112,$AA$3:AA112,"*",$AC$3:AC112,"*")</f>
        <v>3990.3999999999996</v>
      </c>
      <c r="BW111" s="87">
        <f>SUMIFS($AU$3:AU112,$AB$3:AB112,"*",$AC$3:AC112,"*")</f>
        <v>2223.9999999999995</v>
      </c>
      <c r="BX111" s="87">
        <f>SUMIFS($AV$3:AV112,$Q$3:Q112,"F")</f>
        <v>142.54906832298136</v>
      </c>
      <c r="BY111" s="87">
        <f>SUMIFS($AV$3:AV112,$Q$3:Q112,"S")</f>
        <v>163.40861835476863</v>
      </c>
      <c r="BZ111" s="87">
        <f>SUMIFS($AV$3:AV112,$Q$3:Q112,"O")</f>
        <v>226.19999999992615</v>
      </c>
    </row>
    <row r="112" spans="1:78" ht="18" customHeight="1">
      <c r="A112" s="45" t="s">
        <v>96</v>
      </c>
      <c r="B112" s="59">
        <v>45322</v>
      </c>
      <c r="C112" s="46" t="s">
        <v>470</v>
      </c>
      <c r="D112" s="46" t="s">
        <v>186</v>
      </c>
      <c r="E112" s="66" t="s">
        <v>505</v>
      </c>
      <c r="F112" s="47" t="s">
        <v>506</v>
      </c>
      <c r="G112" s="48"/>
      <c r="H112" s="49"/>
      <c r="I112" s="49"/>
      <c r="J112" s="49">
        <v>1</v>
      </c>
      <c r="K112" s="50" t="s">
        <v>155</v>
      </c>
      <c r="L112" s="49"/>
      <c r="M112" s="49"/>
      <c r="N112" s="49"/>
      <c r="O112" s="50"/>
      <c r="P112" s="50"/>
      <c r="Q112" s="50"/>
      <c r="R112" s="50"/>
      <c r="S112" s="50"/>
      <c r="T112" s="50"/>
      <c r="U112" s="50"/>
      <c r="V112" s="50"/>
      <c r="W112" s="50"/>
      <c r="X112" s="50"/>
      <c r="Y112" s="51" t="str">
        <f t="shared" ref="Y112:Y119" si="23">IF(ISBLANK(O112),"",(IF(O112=UPPER("IB"),0.005,0.01)))</f>
        <v/>
      </c>
      <c r="Z112" s="52" t="str">
        <f t="shared" ref="Z112:Z119" si="24">IF(ISBLANK(O112),"",IF(O112="IB",8.63*200,IF(O112="IR",16*100,IF(O112="YT",20*100,IF(O112="YT-XT",24*200,IF(O112="TED",80*100))))))</f>
        <v/>
      </c>
      <c r="AA112" s="52"/>
      <c r="AB112" s="52"/>
      <c r="AC112" s="52"/>
      <c r="AD112" s="231"/>
      <c r="AE112" s="49"/>
      <c r="AF112" s="84"/>
      <c r="AG112" s="49"/>
      <c r="AH112" s="49"/>
      <c r="AI112" s="49"/>
      <c r="AJ112" s="226"/>
      <c r="AK112" s="49"/>
      <c r="AL112" s="113"/>
      <c r="AM112" s="113"/>
      <c r="AN112" s="218"/>
      <c r="AO112" s="49"/>
      <c r="AP112" s="49"/>
      <c r="AQ112" s="84" t="str">
        <f>UPPER(RIGHT(Journal_Live[[#This Row],[DURATION ]]))</f>
        <v/>
      </c>
      <c r="AR112" s="49"/>
      <c r="AS112" s="55"/>
      <c r="AT112" s="55"/>
      <c r="AU112" s="54"/>
      <c r="AV112" s="56"/>
      <c r="AW112" s="57"/>
      <c r="AX112" s="96"/>
      <c r="AY112" s="96"/>
      <c r="AZ112" s="96"/>
      <c r="BA112" s="96"/>
      <c r="BB112" s="96"/>
      <c r="BC112" s="96"/>
      <c r="BD112" s="96"/>
      <c r="BE112" s="96"/>
      <c r="BF112" s="100"/>
      <c r="BG112" s="94">
        <f>SUM($AV$4:AV112)</f>
        <v>860.15768667768396</v>
      </c>
      <c r="BH112" s="95">
        <f>SUM($AU$4:AU112)</f>
        <v>7394.7999999998628</v>
      </c>
      <c r="BI112" s="80">
        <f>SUMIFS($AU$3:AU113,$Q$3:Q113,"F")</f>
        <v>4438.3999999999996</v>
      </c>
      <c r="BJ112" s="80">
        <f>SUMIFS($AU$3:AU113,$Q$3:Q113,"S")</f>
        <v>2128.0000000000014</v>
      </c>
      <c r="BK112" s="87">
        <f>SUMIFS($AU$3:AU113,$P$3:P113,"W")</f>
        <v>4886.4000000000015</v>
      </c>
      <c r="BL112" s="87">
        <f>SUMIFS($AU$3:AU113,$P$3:P113,"R")</f>
        <v>2000.0000000000002</v>
      </c>
      <c r="BM112" s="87">
        <f>SUMIFS($AU$3:AU113,$AQ$3:AQ113,"M")</f>
        <v>1388.3999999998605</v>
      </c>
      <c r="BN112" s="87">
        <f>SUMIFS($AU$3:AU113,$AQ$3:AQ113,"H")</f>
        <v>3088</v>
      </c>
      <c r="BO112" s="87">
        <f>SUMIFS($AU$3:AU113,$AQ$3:AQ113,"D")</f>
        <v>1504.0000000000005</v>
      </c>
      <c r="BP112" s="87">
        <f>SUMIFS($AU$3:AU115,$AQ$3:AQ115,"W")</f>
        <v>1414.3999999999999</v>
      </c>
      <c r="BQ112" s="87">
        <f>SUMIFS($AU$3:AU113,$Q$3:Q113,"O")</f>
        <v>452.3999999998523</v>
      </c>
      <c r="BR112" s="87">
        <f>SUMIFS($AU$3:AU113,$AA$3:AA113,"*")</f>
        <v>7378.7999999998628</v>
      </c>
      <c r="BS112" s="87">
        <f>SUMIFS($AU$3:AU113,$AB$3:AB113,"*")</f>
        <v>2591.9999999999991</v>
      </c>
      <c r="BT112" s="87">
        <f>SUMIFS($AU$3:AU113,$AC$3:AC113,"*")</f>
        <v>3734.3999999999996</v>
      </c>
      <c r="BU112" s="87">
        <f>SUMIFS($AU$3:AU113,$AA$3:AA113,"*",$AB$3:AB113,"*")</f>
        <v>2319.9999999999991</v>
      </c>
      <c r="BV112" s="87">
        <f>SUMIFS($AU$3:AU113,$AA$3:AA113,"*",$AC$3:AC113,"*")</f>
        <v>3990.3999999999996</v>
      </c>
      <c r="BW112" s="87">
        <f>SUMIFS($AU$3:AU113,$AB$3:AB113,"*",$AC$3:AC113,"*")</f>
        <v>2223.9999999999995</v>
      </c>
      <c r="BX112" s="87">
        <f>SUMIFS($AV$3:AV113,$Q$3:Q113,"F")</f>
        <v>142.54906832298136</v>
      </c>
      <c r="BY112" s="87">
        <f>SUMIFS($AV$3:AV113,$Q$3:Q113,"S")</f>
        <v>163.40861835476863</v>
      </c>
      <c r="BZ112" s="87">
        <f>SUMIFS($AV$3:AV113,$Q$3:Q113,"O")</f>
        <v>226.19999999992615</v>
      </c>
    </row>
    <row r="113" spans="1:78" ht="18" customHeight="1">
      <c r="A113" s="45" t="s">
        <v>96</v>
      </c>
      <c r="B113" s="59"/>
      <c r="C113" s="46"/>
      <c r="D113" s="46"/>
      <c r="E113" s="66" t="s">
        <v>507</v>
      </c>
      <c r="F113" s="47"/>
      <c r="G113" s="48"/>
      <c r="H113" s="49"/>
      <c r="I113" s="49"/>
      <c r="J113" s="49">
        <v>1</v>
      </c>
      <c r="K113" s="50" t="s">
        <v>155</v>
      </c>
      <c r="L113" s="49"/>
      <c r="M113" s="49"/>
      <c r="N113" s="49"/>
      <c r="O113" s="50"/>
      <c r="P113" s="50"/>
      <c r="Q113" s="50"/>
      <c r="R113" s="50"/>
      <c r="S113" s="50"/>
      <c r="T113" s="50"/>
      <c r="U113" s="50"/>
      <c r="V113" s="50"/>
      <c r="W113" s="50"/>
      <c r="X113" s="50"/>
      <c r="Y113" s="51" t="str">
        <f t="shared" si="23"/>
        <v/>
      </c>
      <c r="Z113" s="52" t="str">
        <f t="shared" si="24"/>
        <v/>
      </c>
      <c r="AA113" s="52"/>
      <c r="AB113" s="52"/>
      <c r="AC113" s="52"/>
      <c r="AD113" s="231"/>
      <c r="AE113" s="49"/>
      <c r="AF113" s="84"/>
      <c r="AG113" s="49"/>
      <c r="AH113" s="49"/>
      <c r="AI113" s="49"/>
      <c r="AJ113" s="226"/>
      <c r="AK113" s="49"/>
      <c r="AL113" s="113"/>
      <c r="AM113" s="113"/>
      <c r="AN113" s="218"/>
      <c r="AO113" s="49"/>
      <c r="AP113" s="49"/>
      <c r="AQ113" s="84" t="str">
        <f>UPPER(RIGHT(Journal_Live[[#This Row],[DURATION ]]))</f>
        <v/>
      </c>
      <c r="AR113" s="49"/>
      <c r="AS113" s="55"/>
      <c r="AT113" s="55"/>
      <c r="AU113" s="54"/>
      <c r="AV113" s="56"/>
      <c r="AW113" s="57"/>
      <c r="AX113" s="96" t="s">
        <v>508</v>
      </c>
      <c r="AY113" s="96" t="s">
        <v>509</v>
      </c>
      <c r="AZ113" s="96" t="s">
        <v>510</v>
      </c>
      <c r="BA113" s="96" t="s">
        <v>511</v>
      </c>
      <c r="BB113" s="96" t="s">
        <v>512</v>
      </c>
      <c r="BC113" s="96"/>
      <c r="BD113" s="96"/>
      <c r="BE113" s="96"/>
      <c r="BF113" s="100"/>
      <c r="BG113" s="94">
        <f>SUM($AV$4:AV113)</f>
        <v>860.15768667768396</v>
      </c>
      <c r="BH113" s="95">
        <f>SUM($AU$4:AU113)</f>
        <v>7394.7999999998628</v>
      </c>
      <c r="BI113" s="80">
        <f>SUMIFS($AU$3:AU114,$Q$3:Q114,"F")</f>
        <v>4438.3999999999996</v>
      </c>
      <c r="BJ113" s="80">
        <f>SUMIFS($AU$3:AU114,$Q$3:Q114,"S")</f>
        <v>2128.0000000000014</v>
      </c>
      <c r="BK113" s="87">
        <f>SUMIFS($AU$3:AU114,$P$3:P114,"W")</f>
        <v>4886.4000000000015</v>
      </c>
      <c r="BL113" s="87">
        <f>SUMIFS($AU$3:AU114,$P$3:P114,"R")</f>
        <v>2000.0000000000002</v>
      </c>
      <c r="BM113" s="87">
        <f>SUMIFS($AU$3:AU114,$AQ$3:AQ114,"M")</f>
        <v>1388.3999999998605</v>
      </c>
      <c r="BN113" s="87">
        <f>SUMIFS($AU$3:AU114,$AQ$3:AQ114,"H")</f>
        <v>3088</v>
      </c>
      <c r="BO113" s="87">
        <f>SUMIFS($AU$3:AU114,$AQ$3:AQ114,"D")</f>
        <v>1504.0000000000005</v>
      </c>
      <c r="BP113" s="87">
        <f>SUMIFS($AU$3:AU116,$AQ$3:AQ116,"W")</f>
        <v>1414.3999999999999</v>
      </c>
      <c r="BQ113" s="87">
        <f>SUMIFS($AU$3:AU114,$Q$3:Q114,"O")</f>
        <v>452.3999999998523</v>
      </c>
      <c r="BR113" s="87">
        <f>SUMIFS($AU$3:AU114,$AA$3:AA114,"*")</f>
        <v>7378.7999999998628</v>
      </c>
      <c r="BS113" s="87">
        <f>SUMIFS($AU$3:AU114,$AB$3:AB114,"*")</f>
        <v>2591.9999999999991</v>
      </c>
      <c r="BT113" s="87">
        <f>SUMIFS($AU$3:AU114,$AC$3:AC114,"*")</f>
        <v>3734.3999999999996</v>
      </c>
      <c r="BU113" s="87">
        <f>SUMIFS($AU$3:AU114,$AA$3:AA114,"*",$AB$3:AB114,"*")</f>
        <v>2319.9999999999991</v>
      </c>
      <c r="BV113" s="87">
        <f>SUMIFS($AU$3:AU114,$AA$3:AA114,"*",$AC$3:AC114,"*")</f>
        <v>3990.3999999999996</v>
      </c>
      <c r="BW113" s="87">
        <f>SUMIFS($AU$3:AU114,$AB$3:AB114,"*",$AC$3:AC114,"*")</f>
        <v>2223.9999999999995</v>
      </c>
      <c r="BX113" s="87">
        <f>SUMIFS($AV$3:AV114,$Q$3:Q114,"F")</f>
        <v>142.54906832298136</v>
      </c>
      <c r="BY113" s="87">
        <f>SUMIFS($AV$3:AV114,$Q$3:Q114,"S")</f>
        <v>163.40861835476863</v>
      </c>
      <c r="BZ113" s="87">
        <f>SUMIFS($AV$3:AV114,$Q$3:Q114,"O")</f>
        <v>226.19999999992615</v>
      </c>
    </row>
    <row r="114" spans="1:78" ht="18" customHeight="1">
      <c r="A114" s="45" t="s">
        <v>96</v>
      </c>
      <c r="B114" s="59"/>
      <c r="C114" s="46"/>
      <c r="D114" s="46"/>
      <c r="E114" s="66" t="s">
        <v>513</v>
      </c>
      <c r="F114" s="47"/>
      <c r="G114" s="48"/>
      <c r="H114" s="49"/>
      <c r="I114" s="49"/>
      <c r="J114" s="49">
        <v>1</v>
      </c>
      <c r="K114" s="50" t="s">
        <v>155</v>
      </c>
      <c r="L114" s="49"/>
      <c r="M114" s="49"/>
      <c r="N114" s="49"/>
      <c r="O114" s="50"/>
      <c r="P114" s="50"/>
      <c r="Q114" s="50"/>
      <c r="R114" s="50"/>
      <c r="S114" s="50"/>
      <c r="T114" s="50"/>
      <c r="U114" s="50"/>
      <c r="V114" s="50"/>
      <c r="W114" s="50"/>
      <c r="X114" s="50"/>
      <c r="Y114" s="51" t="str">
        <f t="shared" si="23"/>
        <v/>
      </c>
      <c r="Z114" s="52" t="str">
        <f t="shared" si="24"/>
        <v/>
      </c>
      <c r="AA114" s="52"/>
      <c r="AB114" s="52"/>
      <c r="AC114" s="52"/>
      <c r="AD114" s="231"/>
      <c r="AE114" s="49"/>
      <c r="AF114" s="84"/>
      <c r="AG114" s="49"/>
      <c r="AH114" s="49"/>
      <c r="AI114" s="49"/>
      <c r="AJ114" s="226"/>
      <c r="AK114" s="49"/>
      <c r="AL114" s="113"/>
      <c r="AM114" s="113"/>
      <c r="AN114" s="218"/>
      <c r="AO114" s="49"/>
      <c r="AP114" s="49"/>
      <c r="AQ114" s="84" t="str">
        <f>UPPER(RIGHT(Journal_Live[[#This Row],[DURATION ]]))</f>
        <v/>
      </c>
      <c r="AR114" s="49"/>
      <c r="AS114" s="55"/>
      <c r="AT114" s="55"/>
      <c r="AU114" s="54"/>
      <c r="AV114" s="56"/>
      <c r="AW114" s="57"/>
      <c r="AX114" s="96"/>
      <c r="AY114" s="96"/>
      <c r="AZ114" s="96"/>
      <c r="BA114" s="96"/>
      <c r="BB114" s="96"/>
      <c r="BC114" s="96"/>
      <c r="BD114" s="96"/>
      <c r="BE114" s="96"/>
      <c r="BF114" s="100"/>
      <c r="BG114" s="94">
        <f>SUM($AV$4:AV114)</f>
        <v>860.15768667768396</v>
      </c>
      <c r="BH114" s="95">
        <f>SUM($AU$4:AU114)</f>
        <v>7394.7999999998628</v>
      </c>
      <c r="BI114" s="80">
        <f>SUMIFS($AU$3:AU131,$Q$3:Q131,"F")</f>
        <v>4438.3999999999996</v>
      </c>
      <c r="BJ114" s="80">
        <f>SUMIFS($AU$3:AU131,$Q$3:Q131,"S")</f>
        <v>4144.0000000000009</v>
      </c>
      <c r="BK114" s="87">
        <f>SUMIFS($AU$3:AU131,$P$3:P131,"W")</f>
        <v>6973.5799999999363</v>
      </c>
      <c r="BL114" s="87">
        <f>SUMIFS($AU$3:AU131,$P$3:P131,"R")</f>
        <v>2000.0000000000002</v>
      </c>
      <c r="BM114" s="87">
        <f>SUMIFS($AU$3:AU131,$AQ$3:AQ131,"M")</f>
        <v>2963.5799999997967</v>
      </c>
      <c r="BN114" s="87">
        <f>SUMIFS($AU$3:AU131,$AQ$3:AQ131,"H")</f>
        <v>3599.9999999999991</v>
      </c>
      <c r="BO114" s="87">
        <f>SUMIFS($AU$3:AU131,$AQ$3:AQ131,"D")</f>
        <v>1504.0000000000005</v>
      </c>
      <c r="BP114" s="87">
        <f>SUMIFS($AU$3:AU117,$AQ$3:AQ117,"W")</f>
        <v>1414.3999999999999</v>
      </c>
      <c r="BQ114" s="87">
        <f>SUMIFS($AU$3:AU131,$Q$3:Q131,"O")</f>
        <v>523.57999999978756</v>
      </c>
      <c r="BR114" s="87">
        <f>SUMIFS($AU$3:AU115,$AA$3:AA115,"*")</f>
        <v>7570.7999999996882</v>
      </c>
      <c r="BS114" s="87">
        <f>SUMIFS($AU$3:AU115,$AB$3:AB115,"*")</f>
        <v>2783.9999999998245</v>
      </c>
      <c r="BT114" s="87">
        <f>SUMIFS($AU$3:AU115,$AC$3:AC115,"*")</f>
        <v>3734.3999999999996</v>
      </c>
      <c r="BU114" s="87">
        <f>SUMIFS($AU$3:AU115,$AA$3:AA115,"*",$AB$3:AB115,"*")</f>
        <v>2511.9999999998245</v>
      </c>
      <c r="BV114" s="87">
        <f>SUMIFS($AU$3:AU115,$AA$3:AA115,"*",$AC$3:AC115,"*")</f>
        <v>3990.3999999999996</v>
      </c>
      <c r="BW114" s="87">
        <f>SUMIFS($AU$3:AU115,$AB$3:AB115,"*",$AC$3:AC115,"*")</f>
        <v>2223.9999999999995</v>
      </c>
      <c r="BX114" s="87">
        <f>SUMIFS($AV$3:AV115,$Q$3:Q115,"F")</f>
        <v>142.54906832298136</v>
      </c>
      <c r="BY114" s="87">
        <f>SUMIFS($AV$3:AV115,$Q$3:Q115,"S")</f>
        <v>163.40861835476863</v>
      </c>
      <c r="BZ114" s="87">
        <f>SUMIFS($AV$3:AV115,$Q$3:Q115,"O")</f>
        <v>242.1999999999116</v>
      </c>
    </row>
    <row r="115" spans="1:78" ht="18" customHeight="1">
      <c r="A115" s="45" t="s">
        <v>96</v>
      </c>
      <c r="B115" s="59">
        <v>45322</v>
      </c>
      <c r="C115" s="46" t="s">
        <v>147</v>
      </c>
      <c r="D115" s="46" t="s">
        <v>186</v>
      </c>
      <c r="E115" s="66"/>
      <c r="F115" s="47"/>
      <c r="G115" s="48" t="s">
        <v>514</v>
      </c>
      <c r="H115" s="49"/>
      <c r="I115" s="49"/>
      <c r="J115" s="49"/>
      <c r="K115" s="50"/>
      <c r="L115" s="49"/>
      <c r="M115" s="49">
        <v>2</v>
      </c>
      <c r="N115" s="49"/>
      <c r="O115" s="50" t="s">
        <v>100</v>
      </c>
      <c r="P115" s="50" t="s">
        <v>101</v>
      </c>
      <c r="Q115" s="50" t="s">
        <v>198</v>
      </c>
      <c r="R115" s="50">
        <v>12</v>
      </c>
      <c r="S115" s="50">
        <v>0</v>
      </c>
      <c r="T115" s="50">
        <v>12</v>
      </c>
      <c r="U115" s="50" t="s">
        <v>102</v>
      </c>
      <c r="V115" s="50"/>
      <c r="W115" s="50"/>
      <c r="X115" s="50"/>
      <c r="Y115" s="51">
        <f t="shared" si="23"/>
        <v>0.01</v>
      </c>
      <c r="Z115" s="52">
        <f t="shared" si="24"/>
        <v>1600</v>
      </c>
      <c r="AA115" s="52" t="s">
        <v>515</v>
      </c>
      <c r="AB115" s="52" t="s">
        <v>516</v>
      </c>
      <c r="AC115" s="52"/>
      <c r="AD115" s="231">
        <f>(95.73*5+95.74*7)/12</f>
        <v>95.735833333333332</v>
      </c>
      <c r="AE115" s="49"/>
      <c r="AF115" s="84"/>
      <c r="AG115" s="49"/>
      <c r="AH115" s="49"/>
      <c r="AI115" s="49"/>
      <c r="AJ115" s="226"/>
      <c r="AK115" s="49"/>
      <c r="AL115" s="113">
        <f t="shared" ref="AL115:AL120" si="25">-0.02*Z115</f>
        <v>-32</v>
      </c>
      <c r="AM115" s="113">
        <f t="shared" ref="AM115:AM120" si="26">AL115*(R115-S115)</f>
        <v>-384</v>
      </c>
      <c r="AN115" s="218"/>
      <c r="AO115" s="49"/>
      <c r="AP115" s="49" t="s">
        <v>517</v>
      </c>
      <c r="AQ115" s="84" t="s">
        <v>350</v>
      </c>
      <c r="AR115" s="49"/>
      <c r="AS115" s="55">
        <f>(95.73*7+95.72*5)/12</f>
        <v>95.725833333333341</v>
      </c>
      <c r="AT115" s="55">
        <f t="shared" ref="AT115:AT120" si="27">IF(ISBLANK(AS115),,IF(U115="S",AD115-AS115,AS115-AD115))</f>
        <v>9.9999999999909051E-3</v>
      </c>
      <c r="AU115" s="54">
        <f t="shared" ref="AU115:AU120" si="28">AV115*R115</f>
        <v>191.99999999982538</v>
      </c>
      <c r="AV115" s="56">
        <f t="shared" ref="AV115:AV120" si="29">IF(ISBLANK(AS115),,(AT115*Z115))</f>
        <v>15.999999999985448</v>
      </c>
      <c r="AW115" s="57" t="s">
        <v>101</v>
      </c>
      <c r="AX115" s="96"/>
      <c r="AY115" s="96"/>
      <c r="AZ115" s="96"/>
      <c r="BA115" s="96"/>
      <c r="BB115" s="96"/>
      <c r="BC115" s="96"/>
      <c r="BD115" s="96"/>
      <c r="BE115" s="96"/>
      <c r="BF115" s="100"/>
      <c r="BG115" s="94">
        <f>SUM($AV$4:AV115)</f>
        <v>876.1576866776694</v>
      </c>
      <c r="BH115" s="95">
        <f>SUM($AU$4:AU115)</f>
        <v>7586.7999999996882</v>
      </c>
      <c r="BI115" s="80">
        <f>SUMIFS($AU$3:AU116,$Q$3:Q116,"F")</f>
        <v>4438.3999999999996</v>
      </c>
      <c r="BJ115" s="80">
        <f>SUMIFS($AU$3:AU116,$Q$3:Q116,"S")</f>
        <v>2384.0000000000014</v>
      </c>
      <c r="BK115" s="87">
        <f>SUMIFS($AU$3:AU116,$P$3:P116,"W")</f>
        <v>5334.3999999998268</v>
      </c>
      <c r="BL115" s="87">
        <f>SUMIFS($AU$3:AU116,$P$3:P116,"R")</f>
        <v>2000.0000000000002</v>
      </c>
      <c r="BM115" s="87">
        <f>SUMIFS($AU$3:AU116,$AQ$3:AQ116,"M")</f>
        <v>1836.3999999996859</v>
      </c>
      <c r="BN115" s="87">
        <f>SUMIFS($AU$3:AU116,$AQ$3:AQ116,"H")</f>
        <v>3088</v>
      </c>
      <c r="BO115" s="87">
        <f>SUMIFS($AU$3:AU116,$AQ$3:AQ116,"D")</f>
        <v>1504.0000000000005</v>
      </c>
      <c r="BP115" s="87">
        <f>SUMIFS($AU$3:AU118,$AQ$3:AQ118,"W")</f>
        <v>1414.3999999999999</v>
      </c>
      <c r="BQ115" s="87">
        <f>SUMIFS($AU$3:AU116,$Q$3:Q116,"O")</f>
        <v>644.39999999967768</v>
      </c>
      <c r="BR115" s="87">
        <f>SUMIFS($AU$3:AU116,$AA$3:AA116,"*")</f>
        <v>7826.7999999996882</v>
      </c>
      <c r="BS115" s="87">
        <f>SUMIFS($AU$3:AU116,$AB$3:AB116,"*")</f>
        <v>2783.9999999998245</v>
      </c>
      <c r="BT115" s="87">
        <f>SUMIFS($AU$3:AU116,$AC$3:AC116,"*")</f>
        <v>3734.3999999999996</v>
      </c>
      <c r="BU115" s="87">
        <f>SUMIFS($AU$3:AU116,$AA$3:AA116,"*",$AB$3:AB116,"*")</f>
        <v>2511.9999999998245</v>
      </c>
      <c r="BV115" s="87">
        <f>SUMIFS($AU$3:AU116,$AA$3:AA116,"*",$AC$3:AC116,"*")</f>
        <v>3990.3999999999996</v>
      </c>
      <c r="BW115" s="87">
        <f>SUMIFS($AU$3:AU116,$AB$3:AB116,"*",$AC$3:AC116,"*")</f>
        <v>2223.9999999999995</v>
      </c>
      <c r="BX115" s="87">
        <f>SUMIFS($AV$3:AV116,$Q$3:Q116,"F")</f>
        <v>142.54906832298136</v>
      </c>
      <c r="BY115" s="87">
        <f>SUMIFS($AV$3:AV116,$Q$3:Q116,"S")</f>
        <v>179.40861835476863</v>
      </c>
      <c r="BZ115" s="87">
        <f>SUMIFS($AV$3:AV116,$Q$3:Q116,"O")</f>
        <v>242.1999999999116</v>
      </c>
    </row>
    <row r="116" spans="1:78" ht="18" customHeight="1">
      <c r="A116" s="45" t="s">
        <v>96</v>
      </c>
      <c r="B116" s="59">
        <v>45322</v>
      </c>
      <c r="C116" s="46" t="s">
        <v>147</v>
      </c>
      <c r="D116" s="46" t="s">
        <v>186</v>
      </c>
      <c r="E116" s="66"/>
      <c r="F116" s="47"/>
      <c r="G116" s="48" t="s">
        <v>99</v>
      </c>
      <c r="H116" s="49"/>
      <c r="I116" s="49"/>
      <c r="J116" s="49"/>
      <c r="K116" s="50"/>
      <c r="L116" s="49"/>
      <c r="M116" s="49">
        <v>2</v>
      </c>
      <c r="N116" s="49"/>
      <c r="O116" s="50" t="s">
        <v>100</v>
      </c>
      <c r="P116" s="50" t="s">
        <v>101</v>
      </c>
      <c r="Q116" s="50" t="s">
        <v>102</v>
      </c>
      <c r="R116" s="50">
        <v>16</v>
      </c>
      <c r="S116" s="50">
        <v>0</v>
      </c>
      <c r="T116" s="50">
        <v>16</v>
      </c>
      <c r="U116" s="50" t="s">
        <v>22</v>
      </c>
      <c r="V116" s="50"/>
      <c r="W116" s="50"/>
      <c r="X116" s="50"/>
      <c r="Y116" s="51">
        <f t="shared" si="23"/>
        <v>0.01</v>
      </c>
      <c r="Z116" s="52">
        <f t="shared" si="24"/>
        <v>1600</v>
      </c>
      <c r="AA116" s="52" t="s">
        <v>518</v>
      </c>
      <c r="AB116" s="52"/>
      <c r="AC116" s="52"/>
      <c r="AD116" s="231">
        <v>-0.09</v>
      </c>
      <c r="AE116" s="49"/>
      <c r="AF116" s="84"/>
      <c r="AG116" s="49"/>
      <c r="AH116" s="49"/>
      <c r="AI116" s="49"/>
      <c r="AJ116" s="226"/>
      <c r="AK116" s="49"/>
      <c r="AL116" s="113">
        <f t="shared" si="25"/>
        <v>-32</v>
      </c>
      <c r="AM116" s="113">
        <f t="shared" si="26"/>
        <v>-512</v>
      </c>
      <c r="AN116" s="218"/>
      <c r="AO116" s="49"/>
      <c r="AP116" s="49" t="s">
        <v>519</v>
      </c>
      <c r="AQ116" s="84" t="s">
        <v>350</v>
      </c>
      <c r="AR116" s="49"/>
      <c r="AS116" s="55">
        <v>-0.08</v>
      </c>
      <c r="AT116" s="55">
        <f t="shared" si="27"/>
        <v>9.999999999999995E-3</v>
      </c>
      <c r="AU116" s="54">
        <f t="shared" si="28"/>
        <v>255.99999999999989</v>
      </c>
      <c r="AV116" s="56">
        <f t="shared" si="29"/>
        <v>15.999999999999993</v>
      </c>
      <c r="AW116" s="57" t="s">
        <v>101</v>
      </c>
      <c r="AX116" s="96" t="s">
        <v>520</v>
      </c>
      <c r="AY116" s="96"/>
      <c r="AZ116" s="96"/>
      <c r="BA116" s="96"/>
      <c r="BB116" s="96"/>
      <c r="BC116" s="96"/>
      <c r="BD116" s="96"/>
      <c r="BE116" s="96"/>
      <c r="BF116" s="100"/>
      <c r="BG116" s="94">
        <f>SUM($AV$4:AV116)</f>
        <v>892.1576866776694</v>
      </c>
      <c r="BH116" s="95">
        <f>SUM($AU$4:AU116)</f>
        <v>7842.7999999996882</v>
      </c>
      <c r="BI116" s="80">
        <f>SUMIFS($AU$3:AU117,$Q$3:Q117,"F")</f>
        <v>4438.3999999999996</v>
      </c>
      <c r="BJ116" s="80">
        <f>SUMIFS($AU$3:AU117,$Q$3:Q117,"S")</f>
        <v>2704.0000000000014</v>
      </c>
      <c r="BK116" s="87">
        <f>SUMIFS($AU$3:AU117,$P$3:P117,"W")</f>
        <v>5654.3999999998268</v>
      </c>
      <c r="BL116" s="87">
        <f>SUMIFS($AU$3:AU117,$P$3:P117,"R")</f>
        <v>2000.0000000000002</v>
      </c>
      <c r="BM116" s="87">
        <f>SUMIFS($AU$3:AU117,$AQ$3:AQ117,"M")</f>
        <v>2156.3999999996859</v>
      </c>
      <c r="BN116" s="87">
        <f>SUMIFS($AU$3:AU117,$AQ$3:AQ117,"H")</f>
        <v>3088</v>
      </c>
      <c r="BO116" s="87">
        <f>SUMIFS($AU$3:AU117,$AQ$3:AQ117,"D")</f>
        <v>1504.0000000000005</v>
      </c>
      <c r="BP116" s="87">
        <f>SUMIFS($AU$3:AU119,$AQ$3:AQ119,"W")</f>
        <v>1414.3999999999999</v>
      </c>
      <c r="BQ116" s="87">
        <f>SUMIFS($AU$3:AU117,$Q$3:Q117,"O")</f>
        <v>644.39999999967768</v>
      </c>
      <c r="BR116" s="87">
        <f>SUMIFS($AU$3:AU117,$AA$3:AA117,"*")</f>
        <v>7826.7999999996882</v>
      </c>
      <c r="BS116" s="87">
        <f>SUMIFS($AU$3:AU117,$AB$3:AB117,"*")</f>
        <v>2783.9999999998245</v>
      </c>
      <c r="BT116" s="87">
        <f>SUMIFS($AU$3:AU117,$AC$3:AC117,"*")</f>
        <v>4054.3999999999996</v>
      </c>
      <c r="BU116" s="87">
        <f>SUMIFS($AU$3:AU117,$AA$3:AA117,"*",$AB$3:AB117,"*")</f>
        <v>2511.9999999998245</v>
      </c>
      <c r="BV116" s="87">
        <f>SUMIFS($AU$3:AU117,$AA$3:AA117,"*",$AC$3:AC117,"*")</f>
        <v>3990.3999999999996</v>
      </c>
      <c r="BW116" s="87">
        <f>SUMIFS($AU$3:AU117,$AB$3:AB117,"*",$AC$3:AC117,"*")</f>
        <v>2223.9999999999995</v>
      </c>
      <c r="BX116" s="87">
        <f>SUMIFS($AV$3:AV117,$Q$3:Q117,"F")</f>
        <v>142.54906832298136</v>
      </c>
      <c r="BY116" s="87">
        <f>SUMIFS($AV$3:AV117,$Q$3:Q117,"S")</f>
        <v>211.40861835476863</v>
      </c>
      <c r="BZ116" s="87">
        <f>SUMIFS($AV$3:AV117,$Q$3:Q117,"O")</f>
        <v>242.1999999999116</v>
      </c>
    </row>
    <row r="117" spans="1:78" ht="18" customHeight="1">
      <c r="A117" s="45" t="s">
        <v>96</v>
      </c>
      <c r="B117" s="59">
        <v>45322</v>
      </c>
      <c r="C117" s="46" t="s">
        <v>147</v>
      </c>
      <c r="D117" s="46" t="s">
        <v>186</v>
      </c>
      <c r="E117" s="66"/>
      <c r="F117" s="47"/>
      <c r="G117" s="48" t="s">
        <v>111</v>
      </c>
      <c r="H117" s="49"/>
      <c r="I117" s="49"/>
      <c r="J117" s="49"/>
      <c r="K117" s="50"/>
      <c r="L117" s="49"/>
      <c r="M117" s="49">
        <v>2</v>
      </c>
      <c r="N117" s="49"/>
      <c r="O117" s="50" t="s">
        <v>100</v>
      </c>
      <c r="P117" s="50" t="s">
        <v>101</v>
      </c>
      <c r="Q117" s="50" t="s">
        <v>102</v>
      </c>
      <c r="R117" s="50">
        <v>10</v>
      </c>
      <c r="S117" s="50">
        <v>0</v>
      </c>
      <c r="T117" s="50">
        <v>10</v>
      </c>
      <c r="U117" s="50" t="s">
        <v>102</v>
      </c>
      <c r="V117" s="50"/>
      <c r="W117" s="50"/>
      <c r="X117" s="50"/>
      <c r="Y117" s="51">
        <f t="shared" si="23"/>
        <v>0.01</v>
      </c>
      <c r="Z117" s="52">
        <f t="shared" si="24"/>
        <v>1600</v>
      </c>
      <c r="AA117" s="52"/>
      <c r="AB117" s="52"/>
      <c r="AC117" s="52" t="s">
        <v>521</v>
      </c>
      <c r="AD117" s="231">
        <v>-0.1</v>
      </c>
      <c r="AE117" s="49"/>
      <c r="AF117" s="84"/>
      <c r="AG117" s="49"/>
      <c r="AH117" s="49"/>
      <c r="AI117" s="49"/>
      <c r="AJ117" s="226"/>
      <c r="AK117" s="49"/>
      <c r="AL117" s="113">
        <f t="shared" si="25"/>
        <v>-32</v>
      </c>
      <c r="AM117" s="113">
        <f t="shared" si="26"/>
        <v>-320</v>
      </c>
      <c r="AN117" s="218"/>
      <c r="AO117" s="49"/>
      <c r="AP117" s="49" t="s">
        <v>522</v>
      </c>
      <c r="AQ117" s="84" t="s">
        <v>350</v>
      </c>
      <c r="AR117" s="49"/>
      <c r="AS117" s="55">
        <v>-0.12</v>
      </c>
      <c r="AT117" s="55">
        <f t="shared" si="27"/>
        <v>1.999999999999999E-2</v>
      </c>
      <c r="AU117" s="54">
        <f t="shared" si="28"/>
        <v>319.99999999999989</v>
      </c>
      <c r="AV117" s="56">
        <f t="shared" si="29"/>
        <v>31.999999999999986</v>
      </c>
      <c r="AW117" s="57" t="s">
        <v>101</v>
      </c>
      <c r="AX117" s="96"/>
      <c r="AY117" s="96"/>
      <c r="AZ117" s="96"/>
      <c r="BA117" s="96"/>
      <c r="BB117" s="96"/>
      <c r="BC117" s="96"/>
      <c r="BD117" s="96"/>
      <c r="BE117" s="96"/>
      <c r="BF117" s="100"/>
      <c r="BG117" s="94">
        <f>SUM($AV$4:AV117)</f>
        <v>924.1576866776694</v>
      </c>
      <c r="BH117" s="95">
        <f>SUM($AU$4:AU117)</f>
        <v>8162.7999999996882</v>
      </c>
      <c r="BI117" s="80">
        <f>SUMIFS($AU$3:AU118,$Q$3:Q118,"F")</f>
        <v>4438.3999999999996</v>
      </c>
      <c r="BJ117" s="80">
        <f>SUMIFS($AU$3:AU118,$Q$3:Q118,"S")</f>
        <v>3408.0000000000018</v>
      </c>
      <c r="BK117" s="87">
        <f>SUMIFS($AU$3:AU118,$P$3:P118,"W")</f>
        <v>6358.3999999998277</v>
      </c>
      <c r="BL117" s="87">
        <f>SUMIFS($AU$3:AU118,$P$3:P118,"R")</f>
        <v>2000.0000000000002</v>
      </c>
      <c r="BM117" s="87">
        <f>SUMIFS($AU$3:AU118,$AQ$3:AQ118,"M")</f>
        <v>2860.3999999996868</v>
      </c>
      <c r="BN117" s="87">
        <f>SUMIFS($AU$3:AU118,$AQ$3:AQ118,"H")</f>
        <v>3088</v>
      </c>
      <c r="BO117" s="87">
        <f>SUMIFS($AU$3:AU118,$AQ$3:AQ118,"D")</f>
        <v>1504.0000000000005</v>
      </c>
      <c r="BP117" s="87">
        <f>SUMIFS($AU$3:AU120,$AQ$3:AQ120,"W")</f>
        <v>1414.3999999999999</v>
      </c>
      <c r="BQ117" s="87">
        <f>SUMIFS($AU$3:AU118,$Q$3:Q118,"O")</f>
        <v>644.39999999967768</v>
      </c>
      <c r="BR117" s="87">
        <f>SUMIFS($AU$3:AU118,$AA$3:AA118,"*")</f>
        <v>8530.7999999996882</v>
      </c>
      <c r="BS117" s="87">
        <f>SUMIFS($AU$3:AU118,$AB$3:AB118,"*")</f>
        <v>2783.9999999998245</v>
      </c>
      <c r="BT117" s="87">
        <f>SUMIFS($AU$3:AU118,$AC$3:AC118,"*")</f>
        <v>4054.3999999999996</v>
      </c>
      <c r="BU117" s="87">
        <f>SUMIFS($AU$3:AU118,$AA$3:AA118,"*",$AB$3:AB118,"*")</f>
        <v>2511.9999999998245</v>
      </c>
      <c r="BV117" s="87">
        <f>SUMIFS($AU$3:AU118,$AA$3:AA118,"*",$AC$3:AC118,"*")</f>
        <v>3990.3999999999996</v>
      </c>
      <c r="BW117" s="87">
        <f>SUMIFS($AU$3:AU118,$AB$3:AB118,"*",$AC$3:AC118,"*")</f>
        <v>2223.9999999999995</v>
      </c>
      <c r="BX117" s="87">
        <f>SUMIFS($AV$3:AV118,$Q$3:Q118,"F")</f>
        <v>142.54906832298136</v>
      </c>
      <c r="BY117" s="87">
        <f>SUMIFS($AV$3:AV118,$Q$3:Q118,"S")</f>
        <v>227.40861835476863</v>
      </c>
      <c r="BZ117" s="87">
        <f>SUMIFS($AV$3:AV118,$Q$3:Q118,"O")</f>
        <v>242.1999999999116</v>
      </c>
    </row>
    <row r="118" spans="1:78" ht="18" customHeight="1">
      <c r="A118" s="45" t="s">
        <v>96</v>
      </c>
      <c r="B118" s="59">
        <v>45322</v>
      </c>
      <c r="C118" s="46" t="s">
        <v>147</v>
      </c>
      <c r="D118" s="46" t="s">
        <v>186</v>
      </c>
      <c r="E118" s="66"/>
      <c r="F118" s="47"/>
      <c r="G118" s="48" t="s">
        <v>99</v>
      </c>
      <c r="H118" s="49"/>
      <c r="I118" s="49"/>
      <c r="J118" s="49"/>
      <c r="K118" s="50"/>
      <c r="L118" s="49"/>
      <c r="M118" s="49">
        <v>2</v>
      </c>
      <c r="N118" s="49"/>
      <c r="O118" s="50" t="s">
        <v>100</v>
      </c>
      <c r="P118" s="50" t="s">
        <v>101</v>
      </c>
      <c r="Q118" s="50" t="s">
        <v>102</v>
      </c>
      <c r="R118" s="50">
        <v>44</v>
      </c>
      <c r="S118" s="50">
        <v>0</v>
      </c>
      <c r="T118" s="50">
        <v>44</v>
      </c>
      <c r="U118" s="50" t="s">
        <v>22</v>
      </c>
      <c r="V118" s="50"/>
      <c r="W118" s="50"/>
      <c r="X118" s="50"/>
      <c r="Y118" s="51">
        <f t="shared" si="23"/>
        <v>0.01</v>
      </c>
      <c r="Z118" s="52">
        <f t="shared" si="24"/>
        <v>1600</v>
      </c>
      <c r="AA118" s="52" t="s">
        <v>523</v>
      </c>
      <c r="AB118" s="52"/>
      <c r="AC118" s="52"/>
      <c r="AD118" s="231">
        <v>-0.1</v>
      </c>
      <c r="AE118" s="49"/>
      <c r="AF118" s="84"/>
      <c r="AG118" s="49"/>
      <c r="AH118" s="49"/>
      <c r="AI118" s="49"/>
      <c r="AJ118" s="226"/>
      <c r="AK118" s="49"/>
      <c r="AL118" s="113">
        <f t="shared" si="25"/>
        <v>-32</v>
      </c>
      <c r="AM118" s="113">
        <f t="shared" si="26"/>
        <v>-1408</v>
      </c>
      <c r="AN118" s="218"/>
      <c r="AO118" s="49"/>
      <c r="AP118" s="49" t="s">
        <v>522</v>
      </c>
      <c r="AQ118" s="84" t="s">
        <v>350</v>
      </c>
      <c r="AR118" s="49"/>
      <c r="AS118" s="55">
        <v>-0.09</v>
      </c>
      <c r="AT118" s="55">
        <f t="shared" si="27"/>
        <v>1.0000000000000009E-2</v>
      </c>
      <c r="AU118" s="54">
        <f t="shared" si="28"/>
        <v>704.00000000000068</v>
      </c>
      <c r="AV118" s="56">
        <f t="shared" si="29"/>
        <v>16.000000000000014</v>
      </c>
      <c r="AW118" s="57" t="s">
        <v>101</v>
      </c>
      <c r="AX118" s="96"/>
      <c r="AY118" s="96"/>
      <c r="AZ118" s="96"/>
      <c r="BA118" s="96" t="s">
        <v>489</v>
      </c>
      <c r="BB118" s="96"/>
      <c r="BC118" s="96"/>
      <c r="BD118" s="96"/>
      <c r="BE118" s="96"/>
      <c r="BF118" s="100"/>
      <c r="BG118" s="94">
        <f>SUM($AV$4:AV118)</f>
        <v>940.1576866776694</v>
      </c>
      <c r="BH118" s="95">
        <f>SUM($AU$4:AU118)</f>
        <v>8866.7999999996882</v>
      </c>
      <c r="BI118" s="80">
        <f>SUMIFS($AU$3:AU119,$Q$3:Q119,"F")</f>
        <v>4438.3999999999996</v>
      </c>
      <c r="BJ118" s="80">
        <f>SUMIFS($AU$3:AU119,$Q$3:Q119,"S")</f>
        <v>3920.0000000000009</v>
      </c>
      <c r="BK118" s="87">
        <f>SUMIFS($AU$3:AU119,$P$3:P119,"W")</f>
        <v>6870.3999999998268</v>
      </c>
      <c r="BL118" s="87">
        <f>SUMIFS($AU$3:AU119,$P$3:P119,"R")</f>
        <v>2000.0000000000002</v>
      </c>
      <c r="BM118" s="87">
        <f>SUMIFS($AU$3:AU119,$AQ$3:AQ119,"M")</f>
        <v>2860.3999999996868</v>
      </c>
      <c r="BN118" s="87">
        <f>SUMIFS($AU$3:AU119,$AQ$3:AQ119,"H")</f>
        <v>3599.9999999999991</v>
      </c>
      <c r="BO118" s="87">
        <f>SUMIFS($AU$3:AU119,$AQ$3:AQ119,"D")</f>
        <v>1504.0000000000005</v>
      </c>
      <c r="BP118" s="87">
        <f>SUMIFS($AU$3:AU121,$AQ$3:AQ121,"W")</f>
        <v>1414.3999999999999</v>
      </c>
      <c r="BQ118" s="87">
        <f>SUMIFS($AU$3:AU119,$Q$3:Q119,"O")</f>
        <v>644.39999999967768</v>
      </c>
      <c r="BR118" s="87">
        <f>SUMIFS($AU$3:AU119,$AA$3:AA119,"*")</f>
        <v>9042.7999999996882</v>
      </c>
      <c r="BS118" s="87">
        <f>SUMIFS($AU$3:AU119,$AB$3:AB119,"*")</f>
        <v>2783.9999999998245</v>
      </c>
      <c r="BT118" s="87">
        <f>SUMIFS($AU$3:AU119,$AC$3:AC119,"*")</f>
        <v>4054.3999999999996</v>
      </c>
      <c r="BU118" s="87">
        <f>SUMIFS($AU$3:AU119,$AA$3:AA119,"*",$AB$3:AB119,"*")</f>
        <v>2511.9999999998245</v>
      </c>
      <c r="BV118" s="87">
        <f>SUMIFS($AU$3:AU119,$AA$3:AA119,"*",$AC$3:AC119,"*")</f>
        <v>3990.3999999999996</v>
      </c>
      <c r="BW118" s="87">
        <f>SUMIFS($AU$3:AU119,$AB$3:AB119,"*",$AC$3:AC119,"*")</f>
        <v>2223.9999999999995</v>
      </c>
      <c r="BX118" s="87">
        <f>SUMIFS($AV$3:AV119,$Q$3:Q119,"F")</f>
        <v>142.54906832298136</v>
      </c>
      <c r="BY118" s="87">
        <f>SUMIFS($AV$3:AV119,$Q$3:Q119,"S")</f>
        <v>239.59909454524481</v>
      </c>
      <c r="BZ118" s="87">
        <f>SUMIFS($AV$3:AV119,$Q$3:Q119,"O")</f>
        <v>242.1999999999116</v>
      </c>
    </row>
    <row r="119" spans="1:78" ht="18" customHeight="1">
      <c r="A119" s="45" t="s">
        <v>96</v>
      </c>
      <c r="B119" s="59">
        <v>45322</v>
      </c>
      <c r="C119" s="46" t="s">
        <v>147</v>
      </c>
      <c r="D119" s="46" t="s">
        <v>186</v>
      </c>
      <c r="E119" s="66"/>
      <c r="F119" s="47"/>
      <c r="G119" s="71" t="s">
        <v>227</v>
      </c>
      <c r="H119" s="49"/>
      <c r="I119" s="49"/>
      <c r="J119" s="49"/>
      <c r="K119" s="50"/>
      <c r="L119" s="49"/>
      <c r="M119" s="49">
        <v>2</v>
      </c>
      <c r="N119" s="49"/>
      <c r="O119" s="50" t="s">
        <v>100</v>
      </c>
      <c r="P119" s="50" t="s">
        <v>101</v>
      </c>
      <c r="Q119" s="50" t="s">
        <v>102</v>
      </c>
      <c r="R119" s="50">
        <v>42</v>
      </c>
      <c r="S119" s="50">
        <v>0</v>
      </c>
      <c r="T119" s="50">
        <v>32</v>
      </c>
      <c r="U119" s="50" t="s">
        <v>22</v>
      </c>
      <c r="V119" s="50"/>
      <c r="W119" s="50"/>
      <c r="X119" s="50"/>
      <c r="Y119" s="51">
        <f t="shared" si="23"/>
        <v>0.01</v>
      </c>
      <c r="Z119" s="52">
        <f t="shared" si="24"/>
        <v>1600</v>
      </c>
      <c r="AA119" s="52" t="s">
        <v>524</v>
      </c>
      <c r="AB119" s="52"/>
      <c r="AC119" s="52"/>
      <c r="AD119" s="231">
        <f>((-0.14*10)+(-0.15*32))/42</f>
        <v>-0.14761904761904762</v>
      </c>
      <c r="AE119" s="49"/>
      <c r="AF119" s="84"/>
      <c r="AG119" s="49"/>
      <c r="AH119" s="49"/>
      <c r="AI119" s="49"/>
      <c r="AJ119" s="226"/>
      <c r="AK119" s="49"/>
      <c r="AL119" s="113">
        <f>-0.03*Z119</f>
        <v>-48</v>
      </c>
      <c r="AM119" s="113">
        <f t="shared" si="26"/>
        <v>-2016</v>
      </c>
      <c r="AN119" s="218"/>
      <c r="AO119" s="49"/>
      <c r="AP119" s="49" t="s">
        <v>472</v>
      </c>
      <c r="AQ119" s="84" t="s">
        <v>142</v>
      </c>
      <c r="AR119" s="49" t="s">
        <v>525</v>
      </c>
      <c r="AS119" s="55">
        <v>-0.14000000000000001</v>
      </c>
      <c r="AT119" s="55">
        <f t="shared" si="27"/>
        <v>7.6190476190476086E-3</v>
      </c>
      <c r="AU119" s="54">
        <f t="shared" si="28"/>
        <v>511.99999999999932</v>
      </c>
      <c r="AV119" s="56">
        <f t="shared" si="29"/>
        <v>12.190476190476174</v>
      </c>
      <c r="AW119" s="57" t="s">
        <v>101</v>
      </c>
      <c r="AX119" s="96"/>
      <c r="AY119" s="96"/>
      <c r="AZ119" s="96"/>
      <c r="BA119" s="96" t="s">
        <v>526</v>
      </c>
      <c r="BB119" s="96"/>
      <c r="BC119" s="96"/>
      <c r="BD119" s="96"/>
      <c r="BE119" s="96"/>
      <c r="BF119" s="100"/>
      <c r="BG119" s="94">
        <f>SUM($AV$4:AV119)</f>
        <v>952.34816286814555</v>
      </c>
      <c r="BH119" s="95">
        <f>SUM($AU$4:AU119)</f>
        <v>9378.7999999996882</v>
      </c>
      <c r="BI119" s="80">
        <f>SUMIFS($AU$3:AU120,$Q$3:Q120,"F")</f>
        <v>4438.3999999999996</v>
      </c>
      <c r="BJ119" s="80">
        <f>SUMIFS($AU$3:AU120,$Q$3:Q120,"S")</f>
        <v>3920.0000000000009</v>
      </c>
      <c r="BK119" s="87">
        <f>SUMIFS($AU$3:AU120,$P$3:P120,"W")</f>
        <v>6870.3999999998268</v>
      </c>
      <c r="BL119" s="87">
        <f>SUMIFS($AU$3:AU120,$P$3:P120,"R")</f>
        <v>2000.0000000000002</v>
      </c>
      <c r="BM119" s="87">
        <f>SUMIFS($AU$3:AU120,$AQ$3:AQ120,"M")</f>
        <v>2860.3999999996868</v>
      </c>
      <c r="BN119" s="87">
        <f>SUMIFS($AU$3:AU120,$AQ$3:AQ120,"H")</f>
        <v>3599.9999999999991</v>
      </c>
      <c r="BO119" s="87">
        <f>SUMIFS($AU$3:AU120,$AQ$3:AQ120,"D")</f>
        <v>1504.0000000000005</v>
      </c>
      <c r="BP119" s="87">
        <f>SUMIFS($AU$3:AU122,$AQ$3:AQ122,"W")</f>
        <v>1414.3999999999999</v>
      </c>
      <c r="BQ119" s="87">
        <f>SUMIFS($AU$3:AU120,$Q$3:Q120,"O")</f>
        <v>644.39999999967768</v>
      </c>
      <c r="BR119" s="87">
        <f>SUMIFS($AU$3:AU120,$AA$3:AA120,"*")</f>
        <v>9042.7999999996882</v>
      </c>
      <c r="BS119" s="87">
        <f>SUMIFS($AU$3:AU120,$AB$3:AB120,"*")</f>
        <v>2783.9999999998245</v>
      </c>
      <c r="BT119" s="87">
        <f>SUMIFS($AU$3:AU120,$AC$3:AC120,"*")</f>
        <v>4054.3999999999996</v>
      </c>
      <c r="BU119" s="87">
        <f>SUMIFS($AU$3:AU120,$AA$3:AA120,"*",$AB$3:AB120,"*")</f>
        <v>2511.9999999998245</v>
      </c>
      <c r="BV119" s="87">
        <f>SUMIFS($AU$3:AU120,$AA$3:AA120,"*",$AC$3:AC120,"*")</f>
        <v>3990.3999999999996</v>
      </c>
      <c r="BW119" s="87">
        <f>SUMIFS($AU$3:AU120,$AB$3:AB120,"*",$AC$3:AC120,"*")</f>
        <v>2223.9999999999995</v>
      </c>
      <c r="BX119" s="87">
        <f>SUMIFS($AV$3:AV120,$Q$3:Q120,"F")</f>
        <v>142.54906832298136</v>
      </c>
      <c r="BY119" s="87">
        <f>SUMIFS($AV$3:AV120,$Q$3:Q120,"S")</f>
        <v>239.59909454524481</v>
      </c>
      <c r="BZ119" s="87">
        <f>SUMIFS($AV$3:AV120,$Q$3:Q120,"O")</f>
        <v>242.1999999999116</v>
      </c>
    </row>
    <row r="120" spans="1:78" ht="18" customHeight="1">
      <c r="A120" s="45" t="s">
        <v>96</v>
      </c>
      <c r="B120" s="59">
        <v>45322</v>
      </c>
      <c r="C120" s="46" t="s">
        <v>147</v>
      </c>
      <c r="D120" s="46" t="s">
        <v>186</v>
      </c>
      <c r="E120" s="66"/>
      <c r="F120" s="47"/>
      <c r="G120" s="48" t="s">
        <v>527</v>
      </c>
      <c r="H120" s="49"/>
      <c r="I120" s="49"/>
      <c r="J120" s="49"/>
      <c r="K120" s="50"/>
      <c r="L120" s="49"/>
      <c r="M120" s="49"/>
      <c r="N120" s="49"/>
      <c r="O120" s="50"/>
      <c r="P120" s="50"/>
      <c r="Q120" s="50"/>
      <c r="R120" s="50"/>
      <c r="S120" s="50"/>
      <c r="T120" s="50"/>
      <c r="U120" s="50"/>
      <c r="V120" s="50"/>
      <c r="W120" s="50"/>
      <c r="X120" s="50"/>
      <c r="Y120" s="51"/>
      <c r="Z120" s="52"/>
      <c r="AA120" s="52"/>
      <c r="AB120" s="52"/>
      <c r="AC120" s="52"/>
      <c r="AD120" s="231"/>
      <c r="AE120" s="49"/>
      <c r="AF120" s="84"/>
      <c r="AG120" s="49"/>
      <c r="AH120" s="49"/>
      <c r="AI120" s="49"/>
      <c r="AJ120" s="226"/>
      <c r="AK120" s="49"/>
      <c r="AL120" s="113">
        <f t="shared" si="25"/>
        <v>0</v>
      </c>
      <c r="AM120" s="113">
        <f t="shared" si="26"/>
        <v>0</v>
      </c>
      <c r="AN120" s="218"/>
      <c r="AO120" s="49"/>
      <c r="AP120" s="49"/>
      <c r="AQ120" s="84" t="str">
        <f>UPPER(RIGHT(Journal_Live[[#This Row],[DURATION ]]))</f>
        <v/>
      </c>
      <c r="AR120" s="49"/>
      <c r="AS120" s="55"/>
      <c r="AT120" s="55">
        <f t="shared" si="27"/>
        <v>0</v>
      </c>
      <c r="AU120" s="54">
        <f t="shared" si="28"/>
        <v>0</v>
      </c>
      <c r="AV120" s="56">
        <f t="shared" si="29"/>
        <v>0</v>
      </c>
      <c r="AW120" s="57"/>
      <c r="AX120" s="96"/>
      <c r="AY120" s="96"/>
      <c r="AZ120" s="96"/>
      <c r="BA120" s="96"/>
      <c r="BB120" s="96"/>
      <c r="BC120" s="96"/>
      <c r="BD120" s="96"/>
      <c r="BE120" s="96"/>
      <c r="BF120" s="100"/>
      <c r="BG120" s="94">
        <f>SUM($AV$4:AV120)</f>
        <v>952.34816286814555</v>
      </c>
      <c r="BH120" s="95">
        <f>SUM($AU$4:AU120)</f>
        <v>9378.7999999996882</v>
      </c>
      <c r="BI120" s="80">
        <f>SUMIFS($AU$3:AU121,$Q$3:Q121,"F")</f>
        <v>4438.3999999999996</v>
      </c>
      <c r="BJ120" s="80">
        <f>SUMIFS($AU$3:AU121,$Q$3:Q121,"S")</f>
        <v>3920.0000000000009</v>
      </c>
      <c r="BK120" s="87">
        <f>SUMIFS($AU$3:AU121,$P$3:P121,"W")</f>
        <v>6870.3999999998268</v>
      </c>
      <c r="BL120" s="87">
        <f>SUMIFS($AU$3:AU121,$P$3:P121,"R")</f>
        <v>2000.0000000000002</v>
      </c>
      <c r="BM120" s="87">
        <f>SUMIFS($AU$3:AU121,$AQ$3:AQ121,"M")</f>
        <v>2860.3999999996868</v>
      </c>
      <c r="BN120" s="87">
        <f>SUMIFS($AU$3:AU121,$AQ$3:AQ121,"H")</f>
        <v>3599.9999999999991</v>
      </c>
      <c r="BO120" s="87">
        <f>SUMIFS($AU$3:AU121,$AQ$3:AQ121,"D")</f>
        <v>1504.0000000000005</v>
      </c>
      <c r="BP120" s="87">
        <f>SUMIFS($AU$3:AU123,$AQ$3:AQ123,"W")</f>
        <v>1414.3999999999999</v>
      </c>
      <c r="BQ120" s="87">
        <f>SUMIFS($AU$3:AU121,$Q$3:Q121,"O")</f>
        <v>644.39999999967768</v>
      </c>
      <c r="BR120" s="87">
        <f>SUMIFS($AU$3:AU121,$AA$3:AA121,"*")</f>
        <v>9042.7999999996882</v>
      </c>
      <c r="BS120" s="87">
        <f>SUMIFS($AU$3:AU121,$AB$3:AB121,"*")</f>
        <v>2783.9999999998245</v>
      </c>
      <c r="BT120" s="87">
        <f>SUMIFS($AU$3:AU121,$AC$3:AC121,"*")</f>
        <v>4054.3999999999996</v>
      </c>
      <c r="BU120" s="87">
        <f>SUMIFS($AU$3:AU121,$AA$3:AA121,"*",$AB$3:AB121,"*")</f>
        <v>2511.9999999998245</v>
      </c>
      <c r="BV120" s="87">
        <f>SUMIFS($AU$3:AU121,$AA$3:AA121,"*",$AC$3:AC121,"*")</f>
        <v>3990.3999999999996</v>
      </c>
      <c r="BW120" s="87">
        <f>SUMIFS($AU$3:AU121,$AB$3:AB121,"*",$AC$3:AC121,"*")</f>
        <v>2223.9999999999995</v>
      </c>
      <c r="BX120" s="87">
        <f>SUMIFS($AV$3:AV121,$Q$3:Q121,"F")</f>
        <v>142.54906832298136</v>
      </c>
      <c r="BY120" s="87">
        <f>SUMIFS($AV$3:AV121,$Q$3:Q121,"S")</f>
        <v>239.59909454524481</v>
      </c>
      <c r="BZ120" s="87">
        <f>SUMIFS($AV$3:AV121,$Q$3:Q121,"O")</f>
        <v>242.1999999999116</v>
      </c>
    </row>
    <row r="121" spans="1:78" ht="18" customHeight="1">
      <c r="A121" s="45" t="s">
        <v>96</v>
      </c>
      <c r="B121" s="59">
        <v>45322</v>
      </c>
      <c r="C121" s="46" t="s">
        <v>528</v>
      </c>
      <c r="D121" s="46" t="s">
        <v>186</v>
      </c>
      <c r="E121" s="66"/>
      <c r="F121" s="47"/>
      <c r="G121" s="48" t="s">
        <v>111</v>
      </c>
      <c r="H121" s="49"/>
      <c r="I121" s="49"/>
      <c r="J121" s="49"/>
      <c r="K121" s="50"/>
      <c r="L121" s="49"/>
      <c r="M121" s="49"/>
      <c r="N121" s="49"/>
      <c r="O121" s="50"/>
      <c r="P121" s="50"/>
      <c r="Q121" s="50"/>
      <c r="R121" s="50"/>
      <c r="S121" s="50"/>
      <c r="T121" s="50"/>
      <c r="U121" s="50"/>
      <c r="V121" s="50"/>
      <c r="W121" s="50"/>
      <c r="X121" s="50"/>
      <c r="Y121" s="51" t="str">
        <f>IF(ISBLANK(O121),"",(IF(O121=UPPER("IB"),0.005,0.01)))</f>
        <v/>
      </c>
      <c r="Z121" s="52" t="str">
        <f>IF(ISBLANK(O121),"",IF(O121="IB",8.63*200,IF(O121="IR",16*100,IF(O121="YT",20*100,IF(O121="YT-XT",24*200,IF(O121="TED",80*100))))))</f>
        <v/>
      </c>
      <c r="AA121" s="52"/>
      <c r="AB121" s="52"/>
      <c r="AC121" s="52"/>
      <c r="AD121" s="231"/>
      <c r="AE121" s="49"/>
      <c r="AF121" s="84"/>
      <c r="AG121" s="49"/>
      <c r="AH121" s="49"/>
      <c r="AI121" s="49"/>
      <c r="AJ121" s="226"/>
      <c r="AK121" s="49"/>
      <c r="AL121" s="113"/>
      <c r="AM121" s="113"/>
      <c r="AN121" s="218"/>
      <c r="AO121" s="49"/>
      <c r="AP121" s="49"/>
      <c r="AQ121" s="84" t="str">
        <f>UPPER(RIGHT(Journal_Live[[#This Row],[DURATION ]]))</f>
        <v/>
      </c>
      <c r="AR121" s="49"/>
      <c r="AS121" s="55"/>
      <c r="AT121" s="55"/>
      <c r="AU121" s="54"/>
      <c r="AV121" s="56"/>
      <c r="AW121" s="57"/>
      <c r="AX121" s="96"/>
      <c r="AY121" s="96"/>
      <c r="AZ121" s="96"/>
      <c r="BA121" s="96"/>
      <c r="BB121" s="96"/>
      <c r="BC121" s="96"/>
      <c r="BD121" s="96"/>
      <c r="BE121" s="96"/>
      <c r="BF121" s="100"/>
      <c r="BG121" s="94">
        <f>SUM($AV$4:AV121)</f>
        <v>952.34816286814555</v>
      </c>
      <c r="BH121" s="95">
        <f>SUM($AU$4:AU121)</f>
        <v>9378.7999999996882</v>
      </c>
      <c r="BI121" s="80">
        <f>SUMIFS($AU$3:AU122,$Q$3:Q122,"F")</f>
        <v>4438.3999999999996</v>
      </c>
      <c r="BJ121" s="80">
        <f>SUMIFS($AU$3:AU122,$Q$3:Q122,"S")</f>
        <v>3920.0000000000009</v>
      </c>
      <c r="BK121" s="87">
        <f>SUMIFS($AU$3:AU122,$P$3:P122,"W")</f>
        <v>6870.3999999998268</v>
      </c>
      <c r="BL121" s="87">
        <f>SUMIFS($AU$3:AU122,$P$3:P122,"R")</f>
        <v>2000.0000000000002</v>
      </c>
      <c r="BM121" s="87">
        <f>SUMIFS($AU$3:AU122,$AQ$3:AQ122,"M")</f>
        <v>2860.3999999996868</v>
      </c>
      <c r="BN121" s="87">
        <f>SUMIFS($AU$3:AU122,$AQ$3:AQ122,"H")</f>
        <v>3599.9999999999991</v>
      </c>
      <c r="BO121" s="87">
        <f>SUMIFS($AU$3:AU122,$AQ$3:AQ122,"D")</f>
        <v>1504.0000000000005</v>
      </c>
      <c r="BP121" s="87">
        <f>SUMIFS($AU$3:AU124,$AQ$3:AQ124,"W")</f>
        <v>1414.3999999999999</v>
      </c>
      <c r="BQ121" s="87">
        <f>SUMIFS($AU$3:AU122,$Q$3:Q122,"O")</f>
        <v>644.39999999967768</v>
      </c>
      <c r="BR121" s="87">
        <f>SUMIFS($AU$3:AU122,$AA$3:AA122,"*")</f>
        <v>9042.7999999996882</v>
      </c>
      <c r="BS121" s="87">
        <f>SUMIFS($AU$3:AU122,$AB$3:AB122,"*")</f>
        <v>2783.9999999998245</v>
      </c>
      <c r="BT121" s="87">
        <f>SUMIFS($AU$3:AU122,$AC$3:AC122,"*")</f>
        <v>4054.3999999999996</v>
      </c>
      <c r="BU121" s="87">
        <f>SUMIFS($AU$3:AU122,$AA$3:AA122,"*",$AB$3:AB122,"*")</f>
        <v>2511.9999999998245</v>
      </c>
      <c r="BV121" s="87">
        <f>SUMIFS($AU$3:AU122,$AA$3:AA122,"*",$AC$3:AC122,"*")</f>
        <v>3990.3999999999996</v>
      </c>
      <c r="BW121" s="87">
        <f>SUMIFS($AU$3:AU122,$AB$3:AB122,"*",$AC$3:AC122,"*")</f>
        <v>2223.9999999999995</v>
      </c>
      <c r="BX121" s="87">
        <f>SUMIFS($AV$3:AV122,$Q$3:Q122,"F")</f>
        <v>142.54906832298136</v>
      </c>
      <c r="BY121" s="87">
        <f>SUMIFS($AV$3:AV122,$Q$3:Q122,"S")</f>
        <v>239.59909454524481</v>
      </c>
      <c r="BZ121" s="87">
        <f>SUMIFS($AV$3:AV122,$Q$3:Q122,"O")</f>
        <v>242.1999999999116</v>
      </c>
    </row>
    <row r="122" spans="1:78" ht="18" customHeight="1">
      <c r="A122" s="45" t="s">
        <v>96</v>
      </c>
      <c r="B122" s="59">
        <v>45322</v>
      </c>
      <c r="C122" s="46" t="s">
        <v>529</v>
      </c>
      <c r="D122" s="46" t="s">
        <v>186</v>
      </c>
      <c r="E122" s="66"/>
      <c r="F122" s="47"/>
      <c r="G122" s="48" t="s">
        <v>111</v>
      </c>
      <c r="H122" s="49"/>
      <c r="I122" s="49"/>
      <c r="J122" s="49"/>
      <c r="K122" s="50"/>
      <c r="L122" s="49"/>
      <c r="M122" s="49"/>
      <c r="N122" s="49"/>
      <c r="O122" s="50"/>
      <c r="P122" s="50"/>
      <c r="Q122" s="50"/>
      <c r="R122" s="50"/>
      <c r="S122" s="50"/>
      <c r="T122" s="50"/>
      <c r="U122" s="50"/>
      <c r="V122" s="50"/>
      <c r="W122" s="50"/>
      <c r="X122" s="50"/>
      <c r="Y122" s="51"/>
      <c r="Z122" s="52"/>
      <c r="AA122" s="52"/>
      <c r="AB122" s="52"/>
      <c r="AC122" s="52"/>
      <c r="AD122" s="231"/>
      <c r="AE122" s="49"/>
      <c r="AF122" s="84"/>
      <c r="AG122" s="49"/>
      <c r="AH122" s="49"/>
      <c r="AI122" s="49"/>
      <c r="AJ122" s="226"/>
      <c r="AK122" s="49"/>
      <c r="AL122" s="113">
        <f t="shared" si="14"/>
        <v>0</v>
      </c>
      <c r="AM122" s="113">
        <f t="shared" ref="AM122:AM139" si="30">AL122*(R122-S122)</f>
        <v>0</v>
      </c>
      <c r="AN122" s="218"/>
      <c r="AO122" s="49"/>
      <c r="AP122" s="49"/>
      <c r="AQ122" s="84" t="str">
        <f>UPPER(RIGHT(Journal_Live[[#This Row],[DURATION ]]))</f>
        <v/>
      </c>
      <c r="AR122" s="49"/>
      <c r="AS122" s="55"/>
      <c r="AT122" s="55"/>
      <c r="AU122" s="54"/>
      <c r="AV122" s="56"/>
      <c r="AW122" s="57"/>
      <c r="AX122" s="96"/>
      <c r="AY122" s="96"/>
      <c r="AZ122" s="96"/>
      <c r="BA122" s="96"/>
      <c r="BB122" s="96"/>
      <c r="BC122" s="96"/>
      <c r="BD122" s="96"/>
      <c r="BE122" s="96"/>
      <c r="BF122" s="100"/>
      <c r="BG122" s="94">
        <f>SUM($AV$4:AV122)</f>
        <v>952.34816286814555</v>
      </c>
      <c r="BH122" s="95">
        <f>SUM($AU$4:AU122)</f>
        <v>9378.7999999996882</v>
      </c>
      <c r="BI122" s="80">
        <f>SUMIFS($AU$3:AU123,$Q$3:Q123,"F")</f>
        <v>4438.3999999999996</v>
      </c>
      <c r="BJ122" s="80">
        <f>SUMIFS($AU$3:AU123,$Q$3:Q123,"S")</f>
        <v>3920.0000000000009</v>
      </c>
      <c r="BK122" s="87">
        <f>SUMIFS($AU$3:AU123,$P$3:P123,"W")</f>
        <v>6870.3999999998268</v>
      </c>
      <c r="BL122" s="87">
        <f>SUMIFS($AU$3:AU123,$P$3:P123,"R")</f>
        <v>2000.0000000000002</v>
      </c>
      <c r="BM122" s="87">
        <f>SUMIFS($AU$3:AU123,$AQ$3:AQ123,"M")</f>
        <v>2860.3999999996868</v>
      </c>
      <c r="BN122" s="87">
        <f>SUMIFS($AU$3:AU123,$AQ$3:AQ123,"H")</f>
        <v>3599.9999999999991</v>
      </c>
      <c r="BO122" s="87">
        <f>SUMIFS($AU$3:AU123,$AQ$3:AQ123,"D")</f>
        <v>1504.0000000000005</v>
      </c>
      <c r="BP122" s="87">
        <f>SUMIFS($AU$3:AU125,$AQ$3:AQ125,"W")</f>
        <v>1414.3999999999999</v>
      </c>
      <c r="BQ122" s="87">
        <f>SUMIFS($AU$3:AU123,$Q$3:Q123,"O")</f>
        <v>644.39999999967768</v>
      </c>
      <c r="BR122" s="87">
        <f>SUMIFS($AU$3:AU123,$AA$3:AA123,"*")</f>
        <v>9042.7999999996882</v>
      </c>
      <c r="BS122" s="87">
        <f>SUMIFS($AU$3:AU123,$AB$3:AB123,"*")</f>
        <v>2783.9999999998245</v>
      </c>
      <c r="BT122" s="87">
        <f>SUMIFS($AU$3:AU123,$AC$3:AC123,"*")</f>
        <v>4054.3999999999996</v>
      </c>
      <c r="BU122" s="87">
        <f>SUMIFS($AU$3:AU123,$AA$3:AA123,"*",$AB$3:AB123,"*")</f>
        <v>2511.9999999998245</v>
      </c>
      <c r="BV122" s="87">
        <f>SUMIFS($AU$3:AU123,$AA$3:AA123,"*",$AC$3:AC123,"*")</f>
        <v>3990.3999999999996</v>
      </c>
      <c r="BW122" s="87">
        <f>SUMIFS($AU$3:AU123,$AB$3:AB123,"*",$AC$3:AC123,"*")</f>
        <v>2223.9999999999995</v>
      </c>
      <c r="BX122" s="87">
        <f>SUMIFS($AV$3:AV123,$Q$3:Q123,"F")</f>
        <v>142.54906832298136</v>
      </c>
      <c r="BY122" s="87">
        <f>SUMIFS($AV$3:AV123,$Q$3:Q123,"S")</f>
        <v>239.59909454524481</v>
      </c>
      <c r="BZ122" s="87">
        <f>SUMIFS($AV$3:AV123,$Q$3:Q123,"O")</f>
        <v>242.1999999999116</v>
      </c>
    </row>
    <row r="123" spans="1:78" ht="18" customHeight="1">
      <c r="A123" s="45" t="s">
        <v>96</v>
      </c>
      <c r="B123" s="59">
        <v>45322</v>
      </c>
      <c r="C123" s="46" t="s">
        <v>530</v>
      </c>
      <c r="D123" s="46" t="s">
        <v>186</v>
      </c>
      <c r="E123" s="66"/>
      <c r="F123" s="47"/>
      <c r="G123" s="71" t="s">
        <v>99</v>
      </c>
      <c r="H123" s="49"/>
      <c r="I123" s="49"/>
      <c r="J123" s="49"/>
      <c r="K123" s="50"/>
      <c r="L123" s="49">
        <v>1</v>
      </c>
      <c r="M123" s="49"/>
      <c r="N123" s="49"/>
      <c r="O123" s="50" t="s">
        <v>100</v>
      </c>
      <c r="P123" s="50" t="s">
        <v>101</v>
      </c>
      <c r="Q123" s="50" t="s">
        <v>102</v>
      </c>
      <c r="R123" s="50">
        <v>22</v>
      </c>
      <c r="S123" s="50">
        <v>0</v>
      </c>
      <c r="T123" s="50">
        <v>22</v>
      </c>
      <c r="U123" s="50" t="s">
        <v>22</v>
      </c>
      <c r="V123" s="50"/>
      <c r="W123" s="50"/>
      <c r="X123" s="50"/>
      <c r="Y123" s="51">
        <f>IF(ISBLANK(O123),"",(IF(O123=UPPER("IB"),0.005,0.01)))</f>
        <v>0.01</v>
      </c>
      <c r="Z123" s="52">
        <f>IF(ISBLANK(O123),"",IF(O123="IB",8.63*200,IF(O123="IR",16*100,IF(O123="YT",20*100,IF(O123="YT-XT",24*200,IF(O123="TED",80*100))))))</f>
        <v>1600</v>
      </c>
      <c r="AA123" s="52" t="s">
        <v>531</v>
      </c>
      <c r="AB123" s="52"/>
      <c r="AC123" s="52"/>
      <c r="AD123" s="231">
        <v>-0.12</v>
      </c>
      <c r="AE123" s="49"/>
      <c r="AF123" s="84"/>
      <c r="AG123" s="49"/>
      <c r="AH123" s="49"/>
      <c r="AI123" s="49"/>
      <c r="AJ123" s="226"/>
      <c r="AK123" s="49"/>
      <c r="AL123" s="113">
        <f t="shared" si="14"/>
        <v>-32</v>
      </c>
      <c r="AM123" s="113">
        <f t="shared" si="30"/>
        <v>-704</v>
      </c>
      <c r="AN123" s="218"/>
      <c r="AO123" s="49"/>
      <c r="AP123" s="49" t="s">
        <v>532</v>
      </c>
      <c r="AQ123" s="84" t="s">
        <v>350</v>
      </c>
      <c r="AR123" s="49" t="s">
        <v>533</v>
      </c>
      <c r="AS123" s="55">
        <v>-0.12</v>
      </c>
      <c r="AT123" s="55">
        <f>IF(ISBLANK(AS123),,IF(U123="S",AD123-AS123,AS123-AD123))</f>
        <v>0</v>
      </c>
      <c r="AU123" s="54">
        <f>AV123*R123</f>
        <v>0</v>
      </c>
      <c r="AV123" s="56">
        <f>IF(ISBLANK(AS123),,(AT123*Z123))</f>
        <v>0</v>
      </c>
      <c r="AW123" s="57" t="s">
        <v>155</v>
      </c>
      <c r="AX123" s="96" t="s">
        <v>534</v>
      </c>
      <c r="AY123" s="96" t="s">
        <v>535</v>
      </c>
      <c r="AZ123" s="96" t="s">
        <v>536</v>
      </c>
      <c r="BA123" s="96"/>
      <c r="BB123" s="96"/>
      <c r="BC123" s="96"/>
      <c r="BD123" s="96"/>
      <c r="BE123" s="96"/>
      <c r="BF123" s="100"/>
      <c r="BG123" s="94">
        <f>SUM($AV$4:AV123)</f>
        <v>952.34816286814555</v>
      </c>
      <c r="BH123" s="95">
        <f>SUM($AU$4:AU123)</f>
        <v>9378.7999999996882</v>
      </c>
      <c r="BI123" s="80">
        <f>SUMIFS($AU$3:AU124,$Q$3:Q124,"F")</f>
        <v>4438.3999999999996</v>
      </c>
      <c r="BJ123" s="80">
        <f>SUMIFS($AU$3:AU124,$Q$3:Q124,"S")</f>
        <v>3920.0000000000009</v>
      </c>
      <c r="BK123" s="87">
        <f>SUMIFS($AU$3:AU124,$P$3:P124,"W")</f>
        <v>6870.3999999998268</v>
      </c>
      <c r="BL123" s="87">
        <f>SUMIFS($AU$3:AU124,$P$3:P124,"R")</f>
        <v>2000.0000000000002</v>
      </c>
      <c r="BM123" s="87">
        <f>SUMIFS($AU$3:AU124,$AQ$3:AQ124,"M")</f>
        <v>2860.3999999996868</v>
      </c>
      <c r="BN123" s="87">
        <f>SUMIFS($AU$3:AU124,$AQ$3:AQ124,"H")</f>
        <v>3599.9999999999991</v>
      </c>
      <c r="BO123" s="87">
        <f>SUMIFS($AU$3:AU124,$AQ$3:AQ124,"D")</f>
        <v>1504.0000000000005</v>
      </c>
      <c r="BP123" s="87">
        <f>SUMIFS($AU$3:AU126,$AQ$3:AQ126,"W")</f>
        <v>1414.3999999999999</v>
      </c>
      <c r="BQ123" s="87">
        <f>SUMIFS($AU$3:AU124,$Q$3:Q124,"O")</f>
        <v>644.39999999967768</v>
      </c>
      <c r="BR123" s="87">
        <f>SUMIFS($AU$3:AU124,$AA$3:AA124,"*")</f>
        <v>9042.7999999996882</v>
      </c>
      <c r="BS123" s="87">
        <f>SUMIFS($AU$3:AU124,$AB$3:AB124,"*")</f>
        <v>2783.9999999998245</v>
      </c>
      <c r="BT123" s="87">
        <f>SUMIFS($AU$3:AU124,$AC$3:AC124,"*")</f>
        <v>4054.3999999999996</v>
      </c>
      <c r="BU123" s="87">
        <f>SUMIFS($AU$3:AU124,$AA$3:AA124,"*",$AB$3:AB124,"*")</f>
        <v>2511.9999999998245</v>
      </c>
      <c r="BV123" s="87">
        <f>SUMIFS($AU$3:AU124,$AA$3:AA124,"*",$AC$3:AC124,"*")</f>
        <v>3990.3999999999996</v>
      </c>
      <c r="BW123" s="87">
        <f>SUMIFS($AU$3:AU124,$AB$3:AB124,"*",$AC$3:AC124,"*")</f>
        <v>2223.9999999999995</v>
      </c>
      <c r="BX123" s="87">
        <f>SUMIFS($AV$3:AV124,$Q$3:Q124,"F")</f>
        <v>142.54906832298136</v>
      </c>
      <c r="BY123" s="87">
        <f>SUMIFS($AV$3:AV124,$Q$3:Q124,"S")</f>
        <v>239.59909454524481</v>
      </c>
      <c r="BZ123" s="87">
        <f>SUMIFS($AV$3:AV124,$Q$3:Q124,"O")</f>
        <v>242.1999999999116</v>
      </c>
    </row>
    <row r="124" spans="1:78" ht="18" customHeight="1">
      <c r="A124" s="45" t="s">
        <v>96</v>
      </c>
      <c r="B124" s="59"/>
      <c r="C124" s="46"/>
      <c r="D124" s="46"/>
      <c r="E124" s="66"/>
      <c r="F124" s="47"/>
      <c r="G124" s="48"/>
      <c r="H124" s="49"/>
      <c r="I124" s="49"/>
      <c r="J124" s="49"/>
      <c r="K124" s="50"/>
      <c r="L124" s="49"/>
      <c r="M124" s="49"/>
      <c r="N124" s="49"/>
      <c r="O124" s="50"/>
      <c r="P124" s="50"/>
      <c r="Q124" s="50"/>
      <c r="R124" s="50"/>
      <c r="S124" s="50"/>
      <c r="T124" s="50"/>
      <c r="U124" s="50"/>
      <c r="V124" s="50"/>
      <c r="W124" s="50"/>
      <c r="X124" s="50"/>
      <c r="Y124" s="51"/>
      <c r="Z124" s="52"/>
      <c r="AA124" s="52"/>
      <c r="AB124" s="52"/>
      <c r="AC124" s="52"/>
      <c r="AD124" s="231"/>
      <c r="AE124" s="49"/>
      <c r="AF124" s="84"/>
      <c r="AG124" s="49"/>
      <c r="AH124" s="49"/>
      <c r="AI124" s="49"/>
      <c r="AJ124" s="226"/>
      <c r="AK124" s="49"/>
      <c r="AL124" s="113">
        <f t="shared" ref="AL124:AL125" si="31">-0.02*Z124</f>
        <v>0</v>
      </c>
      <c r="AM124" s="113">
        <f t="shared" si="30"/>
        <v>0</v>
      </c>
      <c r="AN124" s="218"/>
      <c r="AO124" s="49"/>
      <c r="AP124" s="49"/>
      <c r="AQ124" s="84" t="str">
        <f>UPPER(RIGHT(Journal_Live[[#This Row],[DURATION ]]))</f>
        <v/>
      </c>
      <c r="AR124" s="49"/>
      <c r="AS124" s="55"/>
      <c r="AT124" s="55"/>
      <c r="AU124" s="54"/>
      <c r="AV124" s="56"/>
      <c r="AW124" s="57"/>
      <c r="AX124" s="96" t="s">
        <v>537</v>
      </c>
      <c r="AY124" s="96" t="s">
        <v>538</v>
      </c>
      <c r="AZ124" s="96" t="s">
        <v>539</v>
      </c>
      <c r="BA124" s="96" t="s">
        <v>540</v>
      </c>
      <c r="BB124" s="96" t="s">
        <v>489</v>
      </c>
      <c r="BC124" s="96" t="s">
        <v>541</v>
      </c>
      <c r="BD124" s="96" t="s">
        <v>542</v>
      </c>
      <c r="BE124" s="96" t="s">
        <v>543</v>
      </c>
      <c r="BF124" s="100" t="s">
        <v>544</v>
      </c>
      <c r="BG124" s="94">
        <f>SUM($AV$4:AV124)</f>
        <v>952.34816286814555</v>
      </c>
      <c r="BH124" s="95">
        <f>SUM($AU$4:AU124)</f>
        <v>9378.7999999996882</v>
      </c>
      <c r="BI124" s="80">
        <f>SUMIFS($AU$3:AU129,$Q$3:Q129,"F")</f>
        <v>4438.3999999999996</v>
      </c>
      <c r="BJ124" s="80">
        <f>SUMIFS($AU$3:AU129,$Q$3:Q129,"S")</f>
        <v>4144.0000000000009</v>
      </c>
      <c r="BK124" s="87">
        <f>SUMIFS($AU$3:AU129,$P$3:P129,"W")</f>
        <v>6973.5799999999363</v>
      </c>
      <c r="BL124" s="87">
        <f>SUMIFS($AU$3:AU129,$P$3:P129,"R")</f>
        <v>2000.0000000000002</v>
      </c>
      <c r="BM124" s="87">
        <f>SUMIFS($AU$3:AU129,$AQ$3:AQ129,"M")</f>
        <v>2963.5799999997967</v>
      </c>
      <c r="BN124" s="87">
        <f>SUMIFS($AU$3:AU129,$AQ$3:AQ129,"H")</f>
        <v>3599.9999999999991</v>
      </c>
      <c r="BO124" s="87">
        <f>SUMIFS($AU$3:AU129,$AQ$3:AQ129,"D")</f>
        <v>1504.0000000000005</v>
      </c>
      <c r="BP124" s="87">
        <f>SUMIFS($AU$3:AU127,$AQ$3:AQ127,"W")</f>
        <v>1414.3999999999999</v>
      </c>
      <c r="BQ124" s="87">
        <f>SUMIFS($AU$3:AU129,$Q$3:Q129,"O")</f>
        <v>523.57999999978756</v>
      </c>
      <c r="BR124" s="87">
        <f>SUMIFS($AU$3:AU125,$AA$3:AA125,"*")</f>
        <v>9042.7999999996882</v>
      </c>
      <c r="BS124" s="87">
        <f>SUMIFS($AU$3:AU125,$AB$3:AB125,"*")</f>
        <v>2783.9999999998245</v>
      </c>
      <c r="BT124" s="87">
        <f>SUMIFS($AU$3:AU125,$AC$3:AC125,"*")</f>
        <v>4054.3999999999996</v>
      </c>
      <c r="BU124" s="87">
        <f>SUMIFS($AU$3:AU125,$AA$3:AA125,"*",$AB$3:AB125,"*")</f>
        <v>2511.9999999998245</v>
      </c>
      <c r="BV124" s="87">
        <f>SUMIFS($AU$3:AU125,$AA$3:AA125,"*",$AC$3:AC125,"*")</f>
        <v>3990.3999999999996</v>
      </c>
      <c r="BW124" s="87">
        <f>SUMIFS($AU$3:AU125,$AB$3:AB125,"*",$AC$3:AC125,"*")</f>
        <v>2223.9999999999995</v>
      </c>
      <c r="BX124" s="87">
        <f>SUMIFS($AV$3:AV125,$Q$3:Q125,"F")</f>
        <v>142.54906832298136</v>
      </c>
      <c r="BY124" s="87">
        <f>SUMIFS($AV$3:AV125,$Q$3:Q125,"S")</f>
        <v>239.59909454524481</v>
      </c>
      <c r="BZ124" s="87">
        <f>SUMIFS($AV$3:AV125,$Q$3:Q125,"O")</f>
        <v>242.1999999999116</v>
      </c>
    </row>
    <row r="125" spans="1:78" ht="18" customHeight="1">
      <c r="A125" s="45" t="s">
        <v>96</v>
      </c>
      <c r="B125" s="59">
        <v>45322</v>
      </c>
      <c r="C125" s="46" t="s">
        <v>545</v>
      </c>
      <c r="D125" s="46" t="s">
        <v>186</v>
      </c>
      <c r="E125" s="66"/>
      <c r="F125" s="47"/>
      <c r="G125" s="48" t="s">
        <v>295</v>
      </c>
      <c r="H125" s="49"/>
      <c r="I125" s="49"/>
      <c r="J125" s="49"/>
      <c r="K125" s="50"/>
      <c r="L125" s="49"/>
      <c r="M125" s="49"/>
      <c r="N125" s="49"/>
      <c r="O125" s="50"/>
      <c r="P125" s="50"/>
      <c r="Q125" s="50"/>
      <c r="R125" s="50"/>
      <c r="S125" s="50"/>
      <c r="T125" s="50"/>
      <c r="U125" s="50"/>
      <c r="V125" s="50"/>
      <c r="W125" s="50"/>
      <c r="X125" s="50"/>
      <c r="Y125" s="51"/>
      <c r="Z125" s="52"/>
      <c r="AA125" s="52"/>
      <c r="AB125" s="52"/>
      <c r="AC125" s="52"/>
      <c r="AD125" s="231"/>
      <c r="AE125" s="49"/>
      <c r="AF125" s="84"/>
      <c r="AG125" s="49"/>
      <c r="AH125" s="49"/>
      <c r="AI125" s="49"/>
      <c r="AJ125" s="226"/>
      <c r="AK125" s="49"/>
      <c r="AL125" s="113">
        <f t="shared" si="31"/>
        <v>0</v>
      </c>
      <c r="AM125" s="113">
        <f t="shared" si="30"/>
        <v>0</v>
      </c>
      <c r="AN125" s="218"/>
      <c r="AO125" s="49"/>
      <c r="AP125" s="49"/>
      <c r="AQ125" s="84" t="str">
        <f>UPPER(RIGHT(Journal_Live[[#This Row],[DURATION ]]))</f>
        <v/>
      </c>
      <c r="AR125" s="49"/>
      <c r="AS125" s="55"/>
      <c r="AT125" s="55"/>
      <c r="AU125" s="54"/>
      <c r="AV125" s="56"/>
      <c r="AW125" s="57"/>
      <c r="AX125" s="96"/>
      <c r="AY125" s="96"/>
      <c r="AZ125" s="96"/>
      <c r="BA125" s="96"/>
      <c r="BB125" s="96"/>
      <c r="BC125" s="96"/>
      <c r="BD125" s="96"/>
      <c r="BE125" s="96"/>
      <c r="BF125" s="100"/>
      <c r="BG125" s="94">
        <f>SUM($AV$4:AV125)</f>
        <v>952.34816286814555</v>
      </c>
      <c r="BH125" s="95">
        <f>SUM($AU$4:AU125)</f>
        <v>9378.7999999996882</v>
      </c>
      <c r="BI125" s="80">
        <f>SUMIFS($AU$3:AU129,$Q$3:Q129,"F")</f>
        <v>4438.3999999999996</v>
      </c>
      <c r="BJ125" s="80">
        <f>SUMIFS($AU$3:AU129,$Q$3:Q129,"S")</f>
        <v>4144.0000000000009</v>
      </c>
      <c r="BK125" s="87">
        <f>SUMIFS($AU$3:AU129,$P$3:P129,"W")</f>
        <v>6973.5799999999363</v>
      </c>
      <c r="BL125" s="87">
        <f>SUMIFS($AU$3:AU129,$P$3:P129,"R")</f>
        <v>2000.0000000000002</v>
      </c>
      <c r="BM125" s="87">
        <f>SUMIFS($AU$3:AU129,$AQ$3:AQ129,"M")</f>
        <v>2963.5799999997967</v>
      </c>
      <c r="BN125" s="87">
        <f>SUMIFS($AU$3:AU129,$AQ$3:AQ129,"H")</f>
        <v>3599.9999999999991</v>
      </c>
      <c r="BO125" s="87">
        <f>SUMIFS($AU$3:AU129,$AQ$3:AQ129,"D")</f>
        <v>1504.0000000000005</v>
      </c>
      <c r="BP125" s="87">
        <f>SUMIFS($AU$3:AU128,$AQ$3:AQ128,"W")</f>
        <v>1414.3999999999999</v>
      </c>
      <c r="BQ125" s="87">
        <f>SUMIFS($AU$3:AU129,$Q$3:Q129,"O")</f>
        <v>523.57999999978756</v>
      </c>
      <c r="BR125" s="87">
        <f>SUMIFS($AU$3:AU126,$AA$3:AA126,"*")</f>
        <v>9042.7999999996882</v>
      </c>
      <c r="BS125" s="87">
        <f>SUMIFS($AU$3:AU126,$AB$3:AB126,"*")</f>
        <v>3007.9999999998245</v>
      </c>
      <c r="BT125" s="87">
        <f>SUMIFS($AU$3:AU126,$AC$3:AC126,"*")</f>
        <v>4054.3999999999996</v>
      </c>
      <c r="BU125" s="87">
        <f>SUMIFS($AU$3:AU126,$AA$3:AA126,"*",$AB$3:AB126,"*")</f>
        <v>2511.9999999998245</v>
      </c>
      <c r="BV125" s="87">
        <f>SUMIFS($AU$3:AU126,$AA$3:AA126,"*",$AC$3:AC126,"*")</f>
        <v>3990.3999999999996</v>
      </c>
      <c r="BW125" s="87">
        <f>SUMIFS($AU$3:AU126,$AB$3:AB126,"*",$AC$3:AC126,"*")</f>
        <v>2223.9999999999995</v>
      </c>
      <c r="BX125" s="87">
        <f>SUMIFS($AV$3:AV126,$Q$3:Q126,"F")</f>
        <v>142.54906832298136</v>
      </c>
      <c r="BY125" s="87">
        <f>SUMIFS($AV$3:AV126,$Q$3:Q126,"S")</f>
        <v>271.59909454524484</v>
      </c>
      <c r="BZ125" s="87">
        <f>SUMIFS($AV$3:AV126,$Q$3:Q126,"O")</f>
        <v>242.1999999999116</v>
      </c>
    </row>
    <row r="126" spans="1:78" ht="18" customHeight="1">
      <c r="A126" s="45" t="s">
        <v>96</v>
      </c>
      <c r="B126" s="59">
        <v>45322</v>
      </c>
      <c r="C126" s="46" t="s">
        <v>546</v>
      </c>
      <c r="D126" s="46" t="s">
        <v>186</v>
      </c>
      <c r="E126" s="66"/>
      <c r="F126" s="47"/>
      <c r="G126" s="71" t="s">
        <v>99</v>
      </c>
      <c r="H126" s="49"/>
      <c r="I126" s="49"/>
      <c r="J126" s="49"/>
      <c r="K126" s="50"/>
      <c r="L126" s="49">
        <v>1</v>
      </c>
      <c r="M126" s="49"/>
      <c r="N126" s="49"/>
      <c r="O126" s="50" t="s">
        <v>100</v>
      </c>
      <c r="P126" s="50" t="s">
        <v>101</v>
      </c>
      <c r="Q126" s="50" t="s">
        <v>102</v>
      </c>
      <c r="R126" s="50">
        <v>7</v>
      </c>
      <c r="S126" s="50">
        <v>0</v>
      </c>
      <c r="T126" s="50">
        <v>7</v>
      </c>
      <c r="U126" s="50" t="s">
        <v>102</v>
      </c>
      <c r="V126" s="50"/>
      <c r="W126" s="50"/>
      <c r="X126" s="50"/>
      <c r="Y126" s="51">
        <f>IF(ISBLANK(O126),"",(IF(O126=UPPER("IB"),0.005,0.01)))</f>
        <v>0.01</v>
      </c>
      <c r="Z126" s="52">
        <f>IF(ISBLANK(O126),"",IF(O126="IB",8.63*200,IF(O126="IR",16*100,IF(O126="YT",20*100,IF(O126="YT-XT",24*200,IF(O126="TED",80*100))))))</f>
        <v>1600</v>
      </c>
      <c r="AA126" s="52"/>
      <c r="AB126" s="101" t="s">
        <v>547</v>
      </c>
      <c r="AC126" s="52"/>
      <c r="AD126" s="231">
        <v>-0.12</v>
      </c>
      <c r="AE126" s="49"/>
      <c r="AF126" s="84"/>
      <c r="AG126" s="49"/>
      <c r="AH126" s="49"/>
      <c r="AI126" s="49"/>
      <c r="AJ126" s="226"/>
      <c r="AK126" s="49"/>
      <c r="AL126" s="113">
        <f t="shared" ref="AL126:AL128" si="32">-0.02*Z126</f>
        <v>-32</v>
      </c>
      <c r="AM126" s="113">
        <f t="shared" si="30"/>
        <v>-224</v>
      </c>
      <c r="AN126" s="218"/>
      <c r="AO126" s="49"/>
      <c r="AP126" s="49" t="s">
        <v>233</v>
      </c>
      <c r="AQ126" s="84" t="s">
        <v>350</v>
      </c>
      <c r="AR126" s="49" t="s">
        <v>548</v>
      </c>
      <c r="AS126" s="55">
        <v>-0.14000000000000001</v>
      </c>
      <c r="AT126" s="55">
        <f>IF(ISBLANK(AS126),,IF(U126="S",AD126-AS126,AS126-AD126))</f>
        <v>2.0000000000000018E-2</v>
      </c>
      <c r="AU126" s="54">
        <f>AV126*R126</f>
        <v>224.0000000000002</v>
      </c>
      <c r="AV126" s="56">
        <f>IF(ISBLANK(AS126),,(AT126*Z126))</f>
        <v>32.000000000000028</v>
      </c>
      <c r="AW126" s="57" t="s">
        <v>101</v>
      </c>
      <c r="AX126" s="96"/>
      <c r="AY126" s="96"/>
      <c r="AZ126" s="96"/>
      <c r="BA126" s="96"/>
      <c r="BB126" s="96"/>
      <c r="BC126" s="96"/>
      <c r="BD126" s="96"/>
      <c r="BE126" s="96"/>
      <c r="BF126" s="100"/>
      <c r="BG126" s="94">
        <f>SUM($AV$4:AV126)</f>
        <v>984.34816286814555</v>
      </c>
      <c r="BH126" s="95">
        <f>SUM($AU$4:AU126)</f>
        <v>9602.7999999996882</v>
      </c>
      <c r="BI126" s="80">
        <f>SUMIFS($AU$3:AU127,$Q$3:Q127,"F")</f>
        <v>4438.3999999999996</v>
      </c>
      <c r="BJ126" s="80">
        <f>SUMIFS($AU$3:AU127,$Q$3:Q127,"S")</f>
        <v>4144.0000000000009</v>
      </c>
      <c r="BK126" s="87">
        <f>SUMIFS($AU$3:AU127,$P$3:P127,"W")</f>
        <v>7094.3999999998268</v>
      </c>
      <c r="BL126" s="87">
        <f>SUMIFS($AU$3:AU127,$P$3:P127,"R")</f>
        <v>2000.0000000000002</v>
      </c>
      <c r="BM126" s="87">
        <f>SUMIFS($AU$3:AU127,$AQ$3:AQ127,"M")</f>
        <v>3084.3999999996868</v>
      </c>
      <c r="BN126" s="87">
        <f>SUMIFS($AU$3:AU127,$AQ$3:AQ127,"H")</f>
        <v>3599.9999999999991</v>
      </c>
      <c r="BO126" s="87">
        <f>SUMIFS($AU$3:AU127,$AQ$3:AQ127,"D")</f>
        <v>1504.0000000000005</v>
      </c>
      <c r="BP126" s="87">
        <f>SUMIFS($AU$3:AU129,$AQ$3:AQ129,"W")</f>
        <v>1414.3999999999999</v>
      </c>
      <c r="BQ126" s="87">
        <f>SUMIFS($AU$3:AU127,$Q$3:Q127,"O")</f>
        <v>644.39999999967768</v>
      </c>
      <c r="BR126" s="87">
        <f>SUMIFS($AU$3:AU127,$AA$3:AA127,"*")</f>
        <v>9042.7999999996882</v>
      </c>
      <c r="BS126" s="87">
        <f>SUMIFS($AU$3:AU127,$AB$3:AB127,"*")</f>
        <v>3007.9999999998245</v>
      </c>
      <c r="BT126" s="87">
        <f>SUMIFS($AU$3:AU127,$AC$3:AC127,"*")</f>
        <v>4054.3999999999996</v>
      </c>
      <c r="BU126" s="87">
        <f>SUMIFS($AU$3:AU127,$AA$3:AA127,"*",$AB$3:AB127,"*")</f>
        <v>2511.9999999998245</v>
      </c>
      <c r="BV126" s="87">
        <f>SUMIFS($AU$3:AU127,$AA$3:AA127,"*",$AC$3:AC127,"*")</f>
        <v>3990.3999999999996</v>
      </c>
      <c r="BW126" s="87">
        <f>SUMIFS($AU$3:AU127,$AB$3:AB127,"*",$AC$3:AC127,"*")</f>
        <v>2223.9999999999995</v>
      </c>
      <c r="BX126" s="87">
        <f>SUMIFS($AV$3:AV127,$Q$3:Q127,"F")</f>
        <v>142.54906832298136</v>
      </c>
      <c r="BY126" s="87">
        <f>SUMIFS($AV$3:AV127,$Q$3:Q127,"S")</f>
        <v>271.59909454524484</v>
      </c>
      <c r="BZ126" s="87">
        <f>SUMIFS($AV$3:AV127,$Q$3:Q127,"O")</f>
        <v>242.1999999999116</v>
      </c>
    </row>
    <row r="127" spans="1:78" ht="18" customHeight="1">
      <c r="A127" s="45" t="s">
        <v>96</v>
      </c>
      <c r="B127" s="59">
        <v>45322</v>
      </c>
      <c r="C127" s="46" t="s">
        <v>549</v>
      </c>
      <c r="D127" s="46" t="s">
        <v>186</v>
      </c>
      <c r="E127" s="66" t="s">
        <v>550</v>
      </c>
      <c r="F127" s="47"/>
      <c r="G127" s="48" t="s">
        <v>99</v>
      </c>
      <c r="H127" s="49"/>
      <c r="I127" s="49"/>
      <c r="J127" s="49"/>
      <c r="K127" s="50"/>
      <c r="L127" s="49">
        <v>1</v>
      </c>
      <c r="M127" s="49"/>
      <c r="N127" s="49"/>
      <c r="O127" s="50" t="s">
        <v>100</v>
      </c>
      <c r="P127" s="50" t="s">
        <v>101</v>
      </c>
      <c r="Q127" s="50" t="s">
        <v>102</v>
      </c>
      <c r="R127" s="50">
        <v>16</v>
      </c>
      <c r="S127" s="50">
        <v>0</v>
      </c>
      <c r="T127" s="50">
        <v>16</v>
      </c>
      <c r="U127" s="50" t="s">
        <v>22</v>
      </c>
      <c r="V127" s="50"/>
      <c r="W127" s="50"/>
      <c r="X127" s="50"/>
      <c r="Y127" s="51">
        <f>IF(ISBLANK(O127),"",(IF(O127=UPPER("IB"),0.005,0.01)))</f>
        <v>0.01</v>
      </c>
      <c r="Z127" s="52">
        <f>IF(ISBLANK(O127),"",IF(O127="IB",8.63*200,IF(O127="IR",16*100,IF(O127="YT",20*100,IF(O127="YT-XT",24*200,IF(O127="TED",80*100))))))</f>
        <v>1600</v>
      </c>
      <c r="AA127" s="52" t="s">
        <v>551</v>
      </c>
      <c r="AB127" s="52"/>
      <c r="AC127" s="52"/>
      <c r="AD127" s="231">
        <v>-0.16</v>
      </c>
      <c r="AE127" s="49"/>
      <c r="AF127" s="84"/>
      <c r="AG127" s="49"/>
      <c r="AH127" s="49"/>
      <c r="AI127" s="49"/>
      <c r="AJ127" s="226"/>
      <c r="AK127" s="49"/>
      <c r="AL127" s="113">
        <f t="shared" si="32"/>
        <v>-32</v>
      </c>
      <c r="AM127" s="113">
        <f t="shared" si="30"/>
        <v>-512</v>
      </c>
      <c r="AN127" s="218"/>
      <c r="AO127" s="49"/>
      <c r="AP127" s="49" t="s">
        <v>271</v>
      </c>
      <c r="AQ127" s="84" t="s">
        <v>350</v>
      </c>
      <c r="AR127" s="49" t="s">
        <v>552</v>
      </c>
      <c r="AS127" s="55">
        <v>-0.16</v>
      </c>
      <c r="AT127" s="55">
        <f>IF(ISBLANK(AS127),,IF(U127="S",AD127-AS127,AS127-AD127))</f>
        <v>0</v>
      </c>
      <c r="AU127" s="54">
        <f>AV127*R127</f>
        <v>0</v>
      </c>
      <c r="AV127" s="56">
        <f>IF(ISBLANK(AS127),,(AT127*Z127))</f>
        <v>0</v>
      </c>
      <c r="AW127" s="57" t="s">
        <v>155</v>
      </c>
      <c r="AX127" s="96" t="s">
        <v>553</v>
      </c>
      <c r="AY127" s="96" t="s">
        <v>554</v>
      </c>
      <c r="AZ127" s="96" t="s">
        <v>555</v>
      </c>
      <c r="BA127" s="96" t="s">
        <v>556</v>
      </c>
      <c r="BB127" s="96" t="s">
        <v>557</v>
      </c>
      <c r="BC127" s="96"/>
      <c r="BD127" s="96"/>
      <c r="BE127" s="96"/>
      <c r="BF127" s="100"/>
      <c r="BG127" s="94">
        <f>SUM($AV$4:AV127)</f>
        <v>984.34816286814555</v>
      </c>
      <c r="BH127" s="95">
        <f>SUM($AU$4:AU127)</f>
        <v>9602.7999999996882</v>
      </c>
      <c r="BI127" s="80">
        <f>SUMIFS($AU$3:AU128,$Q$3:Q128,"F")</f>
        <v>4438.3999999999996</v>
      </c>
      <c r="BJ127" s="80">
        <f>SUMIFS($AU$3:AU128,$Q$3:Q128,"S")</f>
        <v>4144.0000000000009</v>
      </c>
      <c r="BK127" s="87">
        <f>SUMIFS($AU$3:AU128,$P$3:P128,"W")</f>
        <v>6973.5799999999363</v>
      </c>
      <c r="BL127" s="87">
        <f>SUMIFS($AU$3:AU128,$P$3:P128,"R")</f>
        <v>2000.0000000000002</v>
      </c>
      <c r="BM127" s="87">
        <f>SUMIFS($AU$3:AU128,$AQ$3:AQ128,"M")</f>
        <v>2963.5799999997967</v>
      </c>
      <c r="BN127" s="87">
        <f>SUMIFS($AU$3:AU128,$AQ$3:AQ128,"H")</f>
        <v>3599.9999999999991</v>
      </c>
      <c r="BO127" s="87">
        <f>SUMIFS($AU$3:AU128,$AQ$3:AQ128,"D")</f>
        <v>1504.0000000000005</v>
      </c>
      <c r="BP127" s="87">
        <f>SUMIFS($AU$3:AU130,$AQ$3:AQ130,"W")</f>
        <v>1414.3999999999999</v>
      </c>
      <c r="BQ127" s="87">
        <f>SUMIFS($AU$3:AU128,$Q$3:Q128,"O")</f>
        <v>523.57999999978756</v>
      </c>
      <c r="BR127" s="87">
        <f>SUMIFS($AU$3:AU128,$AA$3:AA128,"*")</f>
        <v>9042.7999999996882</v>
      </c>
      <c r="BS127" s="87">
        <f>SUMIFS($AU$3:AU128,$AB$3:AB128,"*")</f>
        <v>2887.1799999999344</v>
      </c>
      <c r="BT127" s="87">
        <f>SUMIFS($AU$3:AU128,$AC$3:AC128,"*")</f>
        <v>4054.3999999999996</v>
      </c>
      <c r="BU127" s="87">
        <f>SUMIFS($AU$3:AU128,$AA$3:AA128,"*",$AB$3:AB128,"*")</f>
        <v>2511.9999999998245</v>
      </c>
      <c r="BV127" s="87">
        <f>SUMIFS($AU$3:AU128,$AA$3:AA128,"*",$AC$3:AC128,"*")</f>
        <v>3990.3999999999996</v>
      </c>
      <c r="BW127" s="87">
        <f>SUMIFS($AU$3:AU128,$AB$3:AB128,"*",$AC$3:AC128,"*")</f>
        <v>2223.9999999999995</v>
      </c>
      <c r="BX127" s="87">
        <f>SUMIFS($AV$3:AV128,$Q$3:Q128,"F")</f>
        <v>142.54906832298136</v>
      </c>
      <c r="BY127" s="87">
        <f>SUMIFS($AV$3:AV128,$Q$3:Q128,"S")</f>
        <v>271.59909454524484</v>
      </c>
      <c r="BZ127" s="87">
        <f>SUMIFS($AV$3:AV128,$Q$3:Q128,"O")</f>
        <v>224.93999999992729</v>
      </c>
    </row>
    <row r="128" spans="1:78" ht="18" customHeight="1">
      <c r="A128" s="45" t="s">
        <v>96</v>
      </c>
      <c r="B128" s="59">
        <v>45322</v>
      </c>
      <c r="C128" s="46" t="s">
        <v>498</v>
      </c>
      <c r="D128" s="46" t="s">
        <v>186</v>
      </c>
      <c r="E128" s="66"/>
      <c r="F128" s="47"/>
      <c r="G128" s="71" t="s">
        <v>558</v>
      </c>
      <c r="H128" s="49"/>
      <c r="I128" s="49"/>
      <c r="J128" s="49"/>
      <c r="K128" s="50"/>
      <c r="L128" s="49">
        <v>1</v>
      </c>
      <c r="M128" s="49"/>
      <c r="N128" s="49"/>
      <c r="O128" s="50" t="s">
        <v>559</v>
      </c>
      <c r="P128" s="50" t="s">
        <v>101</v>
      </c>
      <c r="Q128" s="50" t="s">
        <v>198</v>
      </c>
      <c r="R128" s="50">
        <v>7</v>
      </c>
      <c r="S128" s="50">
        <v>0</v>
      </c>
      <c r="T128" s="50">
        <v>7</v>
      </c>
      <c r="U128" s="50" t="s">
        <v>102</v>
      </c>
      <c r="V128" s="50"/>
      <c r="W128" s="50"/>
      <c r="X128" s="50"/>
      <c r="Y128" s="51">
        <f>IF(ISBLANK(O128),"",(IF(O128=UPPER("IB"),0.005,0.01)))</f>
        <v>5.0000000000000001E-3</v>
      </c>
      <c r="Z128" s="52">
        <f>IF(ISBLANK(O128),"",IF(O128="IB",8.63*200,IF(O128="IR",16*100,IF(O128="YT",20*100,IF(O128="YT-XT",24*200,IF(O128="TED",80*100))))))</f>
        <v>1726.0000000000002</v>
      </c>
      <c r="AA128" s="52"/>
      <c r="AB128" s="101" t="s">
        <v>560</v>
      </c>
      <c r="AC128" s="52"/>
      <c r="AD128" s="231">
        <v>95.7</v>
      </c>
      <c r="AE128" s="49"/>
      <c r="AF128" s="84"/>
      <c r="AG128" s="49"/>
      <c r="AH128" s="49"/>
      <c r="AI128" s="49"/>
      <c r="AJ128" s="226"/>
      <c r="AK128" s="49"/>
      <c r="AL128" s="113">
        <f t="shared" si="32"/>
        <v>-34.520000000000003</v>
      </c>
      <c r="AM128" s="113">
        <f t="shared" si="30"/>
        <v>-241.64000000000001</v>
      </c>
      <c r="AN128" s="218"/>
      <c r="AO128" s="49"/>
      <c r="AP128" s="49"/>
      <c r="AQ128" s="84" t="s">
        <v>350</v>
      </c>
      <c r="AR128" s="49"/>
      <c r="AS128" s="55">
        <v>95.71</v>
      </c>
      <c r="AT128" s="55">
        <f>IF(ISBLANK(AS128),,IF(U128="S",AD128-AS128,AS128-AD128))</f>
        <v>-9.9999999999909051E-3</v>
      </c>
      <c r="AU128" s="54">
        <f>AV128*R128</f>
        <v>-120.81999999989014</v>
      </c>
      <c r="AV128" s="56">
        <f>IF(ISBLANK(AS128),,(AT128*Z128))</f>
        <v>-17.259999999984306</v>
      </c>
      <c r="AW128" s="57" t="s">
        <v>121</v>
      </c>
      <c r="AX128" s="96" t="s">
        <v>561</v>
      </c>
      <c r="AY128" s="96" t="s">
        <v>562</v>
      </c>
      <c r="AZ128" s="96" t="s">
        <v>563</v>
      </c>
      <c r="BA128" s="96" t="s">
        <v>564</v>
      </c>
      <c r="BB128" s="96"/>
      <c r="BC128" s="96"/>
      <c r="BD128" s="96"/>
      <c r="BE128" s="96"/>
      <c r="BF128" s="100"/>
      <c r="BG128" s="94">
        <f>SUM($AV$4:AV128)</f>
        <v>967.08816286816125</v>
      </c>
      <c r="BH128" s="95">
        <f>SUM($AU$4:AU128)</f>
        <v>9481.9799999997977</v>
      </c>
      <c r="BI128" s="80">
        <f>SUMIFS($AU$3:AU129,$Q$3:Q129,"F")</f>
        <v>4438.3999999999996</v>
      </c>
      <c r="BJ128" s="80">
        <f>SUMIFS($AU$3:AU129,$Q$3:Q129,"S")</f>
        <v>4144.0000000000009</v>
      </c>
      <c r="BK128" s="87">
        <f>SUMIFS($AU$3:AU129,$P$3:P129,"W")</f>
        <v>6973.5799999999363</v>
      </c>
      <c r="BL128" s="87">
        <f>SUMIFS($AU$3:AU129,$P$3:P129,"R")</f>
        <v>2000.0000000000002</v>
      </c>
      <c r="BM128" s="87">
        <f>SUMIFS($AU$3:AU129,$AQ$3:AQ129,"M")</f>
        <v>2963.5799999997967</v>
      </c>
      <c r="BN128" s="87">
        <f>SUMIFS($AU$3:AU129,$AQ$3:AQ129,"H")</f>
        <v>3599.9999999999991</v>
      </c>
      <c r="BO128" s="87">
        <f>SUMIFS($AU$3:AU129,$AQ$3:AQ129,"D")</f>
        <v>1504.0000000000005</v>
      </c>
      <c r="BP128" s="87">
        <f>SUMIFS($AU$3:AU131,$AQ$3:AQ131,"W")</f>
        <v>1414.3999999999999</v>
      </c>
      <c r="BQ128" s="87">
        <f>SUMIFS($AU$3:AU129,$Q$3:Q129,"O")</f>
        <v>523.57999999978756</v>
      </c>
      <c r="BR128" s="87">
        <f>SUMIFS($AU$3:AU129,$AA$3:AA129,"*")</f>
        <v>9042.7999999996882</v>
      </c>
      <c r="BS128" s="87">
        <f>SUMIFS($AU$3:AU129,$AB$3:AB129,"*")</f>
        <v>2887.1799999999344</v>
      </c>
      <c r="BT128" s="87">
        <f>SUMIFS($AU$3:AU129,$AC$3:AC129,"*")</f>
        <v>4054.3999999999996</v>
      </c>
      <c r="BU128" s="87">
        <f>SUMIFS($AU$3:AU129,$AA$3:AA129,"*",$AB$3:AB129,"*")</f>
        <v>2511.9999999998245</v>
      </c>
      <c r="BV128" s="87">
        <f>SUMIFS($AU$3:AU129,$AA$3:AA129,"*",$AC$3:AC129,"*")</f>
        <v>3990.3999999999996</v>
      </c>
      <c r="BW128" s="87">
        <f>SUMIFS($AU$3:AU129,$AB$3:AB129,"*",$AC$3:AC129,"*")</f>
        <v>2223.9999999999995</v>
      </c>
      <c r="BX128" s="87">
        <f>SUMIFS($AV$3:AV129,$Q$3:Q129,"F")</f>
        <v>142.54906832298136</v>
      </c>
      <c r="BY128" s="87">
        <f>SUMIFS($AV$3:AV129,$Q$3:Q129,"S")</f>
        <v>271.59909454524484</v>
      </c>
      <c r="BZ128" s="87">
        <f>SUMIFS($AV$3:AV129,$Q$3:Q129,"O")</f>
        <v>224.93999999992729</v>
      </c>
    </row>
    <row r="129" spans="1:78" ht="18" customHeight="1">
      <c r="A129" s="45" t="s">
        <v>96</v>
      </c>
      <c r="B129" s="59">
        <v>45322</v>
      </c>
      <c r="C129" s="46" t="s">
        <v>565</v>
      </c>
      <c r="D129" s="46" t="s">
        <v>186</v>
      </c>
      <c r="E129" s="66"/>
      <c r="F129" s="47"/>
      <c r="G129" s="48" t="s">
        <v>527</v>
      </c>
      <c r="H129" s="49"/>
      <c r="I129" s="49"/>
      <c r="J129" s="49"/>
      <c r="K129" s="50"/>
      <c r="L129" s="49">
        <v>1</v>
      </c>
      <c r="M129" s="49">
        <v>1</v>
      </c>
      <c r="N129" s="49"/>
      <c r="O129" s="50"/>
      <c r="P129" s="50"/>
      <c r="Q129" s="50"/>
      <c r="R129" s="50"/>
      <c r="S129" s="50"/>
      <c r="T129" s="50"/>
      <c r="U129" s="50"/>
      <c r="V129" s="50"/>
      <c r="W129" s="50"/>
      <c r="X129" s="50"/>
      <c r="Y129" s="51"/>
      <c r="Z129" s="52"/>
      <c r="AA129" s="52"/>
      <c r="AB129" s="52"/>
      <c r="AC129" s="52"/>
      <c r="AD129" s="231"/>
      <c r="AE129" s="49"/>
      <c r="AF129" s="84"/>
      <c r="AG129" s="49"/>
      <c r="AH129" s="49">
        <v>-2</v>
      </c>
      <c r="AI129" s="49"/>
      <c r="AJ129" s="226"/>
      <c r="AK129" s="49"/>
      <c r="AL129" s="113">
        <f t="shared" ref="AL129:AL130" si="33">-0.02*Z129</f>
        <v>0</v>
      </c>
      <c r="AM129" s="113">
        <f t="shared" si="30"/>
        <v>0</v>
      </c>
      <c r="AN129" s="218"/>
      <c r="AO129" s="49"/>
      <c r="AP129" s="49"/>
      <c r="AQ129" s="84" t="str">
        <f>UPPER(RIGHT(Journal_Live[[#This Row],[DURATION ]]))</f>
        <v/>
      </c>
      <c r="AR129" s="49"/>
      <c r="AS129" s="55"/>
      <c r="AT129" s="55"/>
      <c r="AU129" s="54"/>
      <c r="AV129" s="56"/>
      <c r="AW129" s="57"/>
      <c r="AX129" s="96"/>
      <c r="AY129" s="96"/>
      <c r="AZ129" s="96"/>
      <c r="BA129" s="96"/>
      <c r="BB129" s="96"/>
      <c r="BC129" s="96"/>
      <c r="BD129" s="96"/>
      <c r="BE129" s="96"/>
      <c r="BF129" s="100"/>
      <c r="BG129" s="94">
        <f>SUM($AV$4:AV129)</f>
        <v>967.08816286816125</v>
      </c>
      <c r="BH129" s="95">
        <f>SUM($AU$4:AU129)</f>
        <v>9481.9799999997977</v>
      </c>
      <c r="BI129" s="80">
        <f>SUMIFS($AU$3:AU129,$Q$3:Q129,"F")</f>
        <v>4438.3999999999996</v>
      </c>
      <c r="BJ129" s="80">
        <f>SUMIFS($AU$3:AU129,$Q$3:Q129,"S")</f>
        <v>4144.0000000000009</v>
      </c>
      <c r="BK129" s="87">
        <f>SUMIFS($AU$3:AU129,$P$3:P129,"W")</f>
        <v>6973.5799999999363</v>
      </c>
      <c r="BL129" s="87">
        <f>SUMIFS($AU$3:AU129,$P$3:P129,"R")</f>
        <v>2000.0000000000002</v>
      </c>
      <c r="BM129" s="87">
        <f>SUMIFS($AU$3:AU129,$AQ$3:AQ129,"M")</f>
        <v>2963.5799999997967</v>
      </c>
      <c r="BN129" s="87">
        <f>SUMIFS($AU$3:AU129,$AQ$3:AQ129,"H")</f>
        <v>3599.9999999999991</v>
      </c>
      <c r="BO129" s="87">
        <f>SUMIFS($AU$3:AU129,$AQ$3:AQ129,"D")</f>
        <v>1504.0000000000005</v>
      </c>
      <c r="BP129" s="87">
        <f>SUMIFS($AU$3:AU132,$AQ$3:AQ132,"W")</f>
        <v>1414.3999999999999</v>
      </c>
      <c r="BQ129" s="87">
        <f>SUMIFS($AU$3:AU129,$Q$3:Q129,"O")</f>
        <v>523.57999999978756</v>
      </c>
      <c r="BR129" s="87">
        <f>SUMIFS($AU$3:AU130,$AA$3:AA130,"*")</f>
        <v>9042.7999999996882</v>
      </c>
      <c r="BS129" s="87">
        <f>SUMIFS($AU$3:AU130,$AB$3:AB130,"*")</f>
        <v>2887.1799999999344</v>
      </c>
      <c r="BT129" s="87">
        <f>SUMIFS($AU$3:AU130,$AC$3:AC130,"*")</f>
        <v>4054.3999999999996</v>
      </c>
      <c r="BU129" s="87">
        <f>SUMIFS($AU$3:AU130,$AA$3:AA130,"*",$AB$3:AB130,"*")</f>
        <v>2511.9999999998245</v>
      </c>
      <c r="BV129" s="87">
        <f>SUMIFS($AU$3:AU130,$AA$3:AA130,"*",$AC$3:AC130,"*")</f>
        <v>3990.3999999999996</v>
      </c>
      <c r="BW129" s="87">
        <f>SUMIFS($AU$3:AU130,$AB$3:AB130,"*",$AC$3:AC130,"*")</f>
        <v>2223.9999999999995</v>
      </c>
      <c r="BX129" s="87">
        <f>SUMIFS($AV$3:AV130,$Q$3:Q130,"F")</f>
        <v>142.54906832298136</v>
      </c>
      <c r="BY129" s="87">
        <f>SUMIFS($AV$3:AV130,$Q$3:Q130,"S")</f>
        <v>271.59909454524484</v>
      </c>
      <c r="BZ129" s="87">
        <f>SUMIFS($AV$3:AV130,$Q$3:Q130,"O")</f>
        <v>224.93999999992729</v>
      </c>
    </row>
    <row r="130" spans="1:78" ht="18" customHeight="1">
      <c r="A130" s="45" t="s">
        <v>96</v>
      </c>
      <c r="B130" s="59"/>
      <c r="C130" s="46"/>
      <c r="D130" s="46"/>
      <c r="E130" s="66"/>
      <c r="F130" s="47"/>
      <c r="G130" s="48"/>
      <c r="H130" s="49"/>
      <c r="I130" s="49"/>
      <c r="J130" s="49"/>
      <c r="K130" s="50"/>
      <c r="L130" s="49"/>
      <c r="M130" s="49"/>
      <c r="N130" s="49"/>
      <c r="O130" s="50"/>
      <c r="P130" s="50"/>
      <c r="Q130" s="50"/>
      <c r="R130" s="50"/>
      <c r="S130" s="50"/>
      <c r="T130" s="50"/>
      <c r="U130" s="50"/>
      <c r="V130" s="50"/>
      <c r="W130" s="50"/>
      <c r="X130" s="50"/>
      <c r="Y130" s="50"/>
      <c r="Z130" s="50"/>
      <c r="AA130" s="52"/>
      <c r="AB130" s="52"/>
      <c r="AC130" s="52"/>
      <c r="AD130" s="231"/>
      <c r="AE130" s="49"/>
      <c r="AF130" s="84"/>
      <c r="AG130" s="49"/>
      <c r="AH130" s="49"/>
      <c r="AI130" s="49"/>
      <c r="AJ130" s="226"/>
      <c r="AK130" s="49"/>
      <c r="AL130" s="113">
        <f t="shared" si="33"/>
        <v>0</v>
      </c>
      <c r="AM130" s="113">
        <f t="shared" si="30"/>
        <v>0</v>
      </c>
      <c r="AN130" s="218"/>
      <c r="AO130" s="49"/>
      <c r="AP130" s="49"/>
      <c r="AQ130" s="84" t="str">
        <f>UPPER(RIGHT(Journal_Live[[#This Row],[DURATION ]]))</f>
        <v/>
      </c>
      <c r="AR130" s="49"/>
      <c r="AS130" s="55"/>
      <c r="AT130" s="55"/>
      <c r="AU130" s="54"/>
      <c r="AV130" s="56"/>
      <c r="AW130" s="57"/>
      <c r="AX130" s="96"/>
      <c r="AY130" s="96"/>
      <c r="AZ130" s="96"/>
      <c r="BA130" s="96"/>
      <c r="BB130" s="96"/>
      <c r="BC130" s="96"/>
      <c r="BD130" s="96"/>
      <c r="BE130" s="96"/>
      <c r="BF130" s="100"/>
      <c r="BG130" s="94">
        <f>SUM($AV$4:AV130)</f>
        <v>967.08816286816125</v>
      </c>
      <c r="BH130" s="95">
        <f>SUM($AU$4:AU130)</f>
        <v>9481.9799999997977</v>
      </c>
      <c r="BI130" s="80">
        <f>SUMIFS($AU$3:AU130,$Q$3:Q130,"F")</f>
        <v>4438.3999999999996</v>
      </c>
      <c r="BJ130" s="80">
        <f>SUMIFS($AU$3:AU130,$Q$3:Q130,"S")</f>
        <v>4144.0000000000009</v>
      </c>
      <c r="BK130" s="87">
        <f>SUMIFS($AU$3:AU130,$P$3:P130,"W")</f>
        <v>6973.5799999999363</v>
      </c>
      <c r="BL130" s="87">
        <f>SUMIFS($AU$3:AU130,$P$3:P130,"R")</f>
        <v>2000.0000000000002</v>
      </c>
      <c r="BM130" s="87">
        <f>SUMIFS($AU$3:AU130,$AQ$3:AQ130,"M")</f>
        <v>2963.5799999997967</v>
      </c>
      <c r="BN130" s="87">
        <f>SUMIFS($AU$3:AU130,$AQ$3:AQ130,"H")</f>
        <v>3599.9999999999991</v>
      </c>
      <c r="BO130" s="87">
        <f>SUMIFS($AU$3:AU130,$AQ$3:AQ130,"D")</f>
        <v>1504.0000000000005</v>
      </c>
      <c r="BP130" s="87">
        <f>SUMIFS($AU$3:AU133,$AQ$3:AQ133,"W")</f>
        <v>1414.3999999999999</v>
      </c>
      <c r="BQ130" s="87">
        <f>SUMIFS($AU$3:AU130,$Q$3:Q130,"O")</f>
        <v>523.57999999978756</v>
      </c>
      <c r="BR130" s="87">
        <f>SUMIFS($AU$3:AU131,$AA$3:AA131,"*")</f>
        <v>9042.7999999996882</v>
      </c>
      <c r="BS130" s="87">
        <f>SUMIFS($AU$3:AU131,$AB$3:AB131,"*")</f>
        <v>2887.1799999999344</v>
      </c>
      <c r="BT130" s="87">
        <f>SUMIFS($AU$3:AU131,$AC$3:AC131,"*")</f>
        <v>4054.3999999999996</v>
      </c>
      <c r="BU130" s="87">
        <f>SUMIFS($AU$3:AU131,$AA$3:AA131,"*",$AB$3:AB131,"*")</f>
        <v>2511.9999999998245</v>
      </c>
      <c r="BV130" s="87">
        <f>SUMIFS($AU$3:AU131,$AA$3:AA131,"*",$AC$3:AC131,"*")</f>
        <v>3990.3999999999996</v>
      </c>
      <c r="BW130" s="87">
        <f>SUMIFS($AU$3:AU131,$AB$3:AB131,"*",$AC$3:AC131,"*")</f>
        <v>2223.9999999999995</v>
      </c>
      <c r="BX130" s="87">
        <f>SUMIFS($AV$3:AV131,$Q$3:Q131,"F")</f>
        <v>142.54906832298136</v>
      </c>
      <c r="BY130" s="87">
        <f>SUMIFS($AV$3:AV131,$Q$3:Q131,"S")</f>
        <v>271.59909454524484</v>
      </c>
      <c r="BZ130" s="87">
        <f>SUMIFS($AV$3:AV131,$Q$3:Q131,"O")</f>
        <v>224.93999999992729</v>
      </c>
    </row>
    <row r="131" spans="1:78" ht="18" customHeight="1">
      <c r="A131" s="45" t="s">
        <v>96</v>
      </c>
      <c r="B131" s="59"/>
      <c r="C131" s="46"/>
      <c r="D131" s="46"/>
      <c r="E131" s="66"/>
      <c r="F131" s="47"/>
      <c r="G131" s="48"/>
      <c r="H131" s="49"/>
      <c r="I131" s="49"/>
      <c r="J131" s="49"/>
      <c r="K131" s="50"/>
      <c r="L131" s="49"/>
      <c r="M131" s="49"/>
      <c r="N131" s="49"/>
      <c r="O131" s="50"/>
      <c r="P131" s="50"/>
      <c r="Q131" s="50"/>
      <c r="R131" s="50"/>
      <c r="S131" s="50"/>
      <c r="T131" s="50"/>
      <c r="U131" s="50"/>
      <c r="V131" s="50"/>
      <c r="W131" s="50"/>
      <c r="X131" s="50"/>
      <c r="Y131" s="50"/>
      <c r="Z131" s="50"/>
      <c r="AA131" s="52"/>
      <c r="AB131" s="52"/>
      <c r="AC131" s="52"/>
      <c r="AD131" s="231"/>
      <c r="AE131" s="49"/>
      <c r="AF131" s="84"/>
      <c r="AG131" s="49"/>
      <c r="AH131" s="49"/>
      <c r="AI131" s="49"/>
      <c r="AJ131" s="226"/>
      <c r="AK131" s="49"/>
      <c r="AL131" s="113">
        <f t="shared" si="10"/>
        <v>0</v>
      </c>
      <c r="AM131" s="113">
        <f t="shared" si="30"/>
        <v>0</v>
      </c>
      <c r="AN131" s="218"/>
      <c r="AO131" s="49"/>
      <c r="AP131" s="49"/>
      <c r="AQ131" s="84" t="str">
        <f>UPPER(RIGHT(Journal_Live[[#This Row],[DURATION ]]))</f>
        <v/>
      </c>
      <c r="AR131" s="49"/>
      <c r="AS131" s="55"/>
      <c r="AT131" s="55"/>
      <c r="AU131" s="54"/>
      <c r="AV131" s="56"/>
      <c r="AW131" s="57"/>
      <c r="AX131" s="96"/>
      <c r="AY131" s="96"/>
      <c r="AZ131" s="96"/>
      <c r="BA131" s="96"/>
      <c r="BB131" s="96"/>
      <c r="BC131" s="96"/>
      <c r="BD131" s="96"/>
      <c r="BE131" s="96"/>
      <c r="BF131" s="100"/>
      <c r="BG131" s="94">
        <f>SUM($AV$4:AV131)</f>
        <v>967.08816286816125</v>
      </c>
      <c r="BH131" s="95">
        <f>SUM($AU$4:AU131)</f>
        <v>9481.9799999997977</v>
      </c>
      <c r="BI131" s="80">
        <f>SUMIFS($AU$3:AU132,$Q$3:Q132,"F")</f>
        <v>4438.3999999999996</v>
      </c>
      <c r="BJ131" s="80">
        <f>SUMIFS($AU$3:AU132,$Q$3:Q132,"S")</f>
        <v>4144.0000000000009</v>
      </c>
      <c r="BK131" s="87">
        <f>SUMIFS($AU$3:AU132,$P$3:P132,"W")</f>
        <v>6973.5799999999363</v>
      </c>
      <c r="BL131" s="87">
        <f>SUMIFS($AU$3:AU132,$P$3:P132,"R")</f>
        <v>2000.0000000000002</v>
      </c>
      <c r="BM131" s="87">
        <f>SUMIFS($AU$3:AU132,$AQ$3:AQ132,"M")</f>
        <v>2963.5799999997967</v>
      </c>
      <c r="BN131" s="87">
        <f>SUMIFS($AU$3:AU132,$AQ$3:AQ132,"H")</f>
        <v>3599.9999999999991</v>
      </c>
      <c r="BO131" s="87">
        <f>SUMIFS($AU$3:AU132,$AQ$3:AQ132,"D")</f>
        <v>1504.0000000000005</v>
      </c>
      <c r="BP131" s="87">
        <f>SUMIFS($AU$3:AU134,$AQ$3:AQ134,"W")</f>
        <v>1414.3999999999999</v>
      </c>
      <c r="BQ131" s="87">
        <f>SUMIFS($AU$3:AU132,$Q$3:Q132,"O")</f>
        <v>523.57999999978756</v>
      </c>
      <c r="BR131" s="87">
        <f>SUMIFS($AU$3:AU132,$AA$3:AA132,"*")</f>
        <v>9042.7999999996882</v>
      </c>
      <c r="BS131" s="87">
        <f>SUMIFS($AU$3:AU132,$AB$3:AB132,"*")</f>
        <v>2887.1799999999344</v>
      </c>
      <c r="BT131" s="87">
        <f>SUMIFS($AU$3:AU132,$AC$3:AC132,"*")</f>
        <v>4054.3999999999996</v>
      </c>
      <c r="BU131" s="87">
        <f>SUMIFS($AU$3:AU132,$AA$3:AA132,"*",$AB$3:AB132,"*")</f>
        <v>2511.9999999998245</v>
      </c>
      <c r="BV131" s="87">
        <f>SUMIFS($AU$3:AU132,$AA$3:AA132,"*",$AC$3:AC132,"*")</f>
        <v>3990.3999999999996</v>
      </c>
      <c r="BW131" s="87">
        <f>SUMIFS($AU$3:AU132,$AB$3:AB132,"*",$AC$3:AC132,"*")</f>
        <v>2223.9999999999995</v>
      </c>
      <c r="BX131" s="87">
        <f>SUMIFS($AV$3:AV132,$Q$3:Q132,"F")</f>
        <v>142.54906832298136</v>
      </c>
      <c r="BY131" s="87">
        <f>SUMIFS($AV$3:AV132,$Q$3:Q132,"S")</f>
        <v>271.59909454524484</v>
      </c>
      <c r="BZ131" s="87">
        <f>SUMIFS($AV$3:AV132,$Q$3:Q132,"O")</f>
        <v>224.93999999992729</v>
      </c>
    </row>
    <row r="132" spans="1:78" ht="18" customHeight="1">
      <c r="A132" s="45" t="s">
        <v>96</v>
      </c>
      <c r="B132" s="59"/>
      <c r="C132" s="46"/>
      <c r="D132" s="46"/>
      <c r="E132" s="66"/>
      <c r="F132" s="47"/>
      <c r="G132" s="48"/>
      <c r="H132" s="49"/>
      <c r="I132" s="49"/>
      <c r="J132" s="49"/>
      <c r="K132" s="50"/>
      <c r="L132" s="49"/>
      <c r="M132" s="49"/>
      <c r="N132" s="49"/>
      <c r="O132" s="50"/>
      <c r="P132" s="50"/>
      <c r="Q132" s="50"/>
      <c r="R132" s="50"/>
      <c r="S132" s="50"/>
      <c r="T132" s="50"/>
      <c r="U132" s="50"/>
      <c r="V132" s="50"/>
      <c r="W132" s="50"/>
      <c r="X132" s="50"/>
      <c r="Y132" s="50"/>
      <c r="Z132" s="50"/>
      <c r="AA132" s="52"/>
      <c r="AB132" s="52"/>
      <c r="AC132" s="52"/>
      <c r="AD132" s="231"/>
      <c r="AE132" s="49"/>
      <c r="AF132" s="84"/>
      <c r="AG132" s="49"/>
      <c r="AH132" s="49"/>
      <c r="AI132" s="49"/>
      <c r="AJ132" s="226"/>
      <c r="AK132" s="49"/>
      <c r="AL132" s="113">
        <f t="shared" si="10"/>
        <v>0</v>
      </c>
      <c r="AM132" s="113">
        <f t="shared" si="30"/>
        <v>0</v>
      </c>
      <c r="AN132" s="218"/>
      <c r="AO132" s="49"/>
      <c r="AP132" s="49"/>
      <c r="AQ132" s="84" t="str">
        <f>UPPER(RIGHT(Journal_Live[[#This Row],[DURATION ]]))</f>
        <v/>
      </c>
      <c r="AR132" s="49"/>
      <c r="AS132" s="55"/>
      <c r="AT132" s="55"/>
      <c r="AU132" s="54"/>
      <c r="AV132" s="56"/>
      <c r="AW132" s="57"/>
      <c r="AX132" s="99"/>
      <c r="AY132" s="99"/>
      <c r="AZ132" s="99"/>
      <c r="BA132" s="99"/>
      <c r="BB132" s="96"/>
      <c r="BC132" s="96"/>
      <c r="BD132" s="96"/>
      <c r="BE132" s="96"/>
      <c r="BF132" s="100"/>
      <c r="BG132" s="94">
        <f>SUM($AV$4:AV132)</f>
        <v>967.08816286816125</v>
      </c>
      <c r="BH132" s="95">
        <f>SUM($AU$4:AU132)</f>
        <v>9481.9799999997977</v>
      </c>
      <c r="BI132" s="80">
        <f>SUMIFS($AU$3:AU133,$Q$3:Q133,"F")</f>
        <v>4438.3999999999996</v>
      </c>
      <c r="BJ132" s="80">
        <f>SUMIFS($AU$3:AU133,$Q$3:Q133,"S")</f>
        <v>4144.0000000000009</v>
      </c>
      <c r="BK132" s="87">
        <f>SUMIFS($AU$3:AU133,$P$3:P133,"W")</f>
        <v>6973.5799999999363</v>
      </c>
      <c r="BL132" s="87">
        <f>SUMIFS($AU$3:AU133,$P$3:P133,"R")</f>
        <v>2000.0000000000002</v>
      </c>
      <c r="BM132" s="87">
        <f>SUMIFS($AU$3:AU133,$AQ$3:AQ133,"M")</f>
        <v>2963.5799999997967</v>
      </c>
      <c r="BN132" s="87">
        <f>SUMIFS($AU$3:AU133,$AQ$3:AQ133,"H")</f>
        <v>3599.9999999999991</v>
      </c>
      <c r="BO132" s="87">
        <f>SUMIFS($AU$3:AU133,$AQ$3:AQ133,"D")</f>
        <v>1504.0000000000005</v>
      </c>
      <c r="BP132" s="87">
        <f>SUMIFS($AU$3:AU135,$AQ$3:AQ135,"W")</f>
        <v>1414.3999999999999</v>
      </c>
      <c r="BQ132" s="87">
        <f>SUMIFS($AU$3:AU133,$Q$3:Q133,"O")</f>
        <v>523.57999999978756</v>
      </c>
      <c r="BR132" s="87">
        <f>SUMIFS($AU$3:AU133,$AA$3:AA133,"*")</f>
        <v>9042.7999999996882</v>
      </c>
      <c r="BS132" s="87">
        <f>SUMIFS($AU$3:AU133,$AB$3:AB133,"*")</f>
        <v>2887.1799999999344</v>
      </c>
      <c r="BT132" s="87">
        <f>SUMIFS($AU$3:AU133,$AC$3:AC133,"*")</f>
        <v>4054.3999999999996</v>
      </c>
      <c r="BU132" s="87">
        <f>SUMIFS($AU$3:AU133,$AA$3:AA133,"*",$AB$3:AB133,"*")</f>
        <v>2511.9999999998245</v>
      </c>
      <c r="BV132" s="87">
        <f>SUMIFS($AU$3:AU133,$AA$3:AA133,"*",$AC$3:AC133,"*")</f>
        <v>3990.3999999999996</v>
      </c>
      <c r="BW132" s="87">
        <f>SUMIFS($AU$3:AU133,$AB$3:AB133,"*",$AC$3:AC133,"*")</f>
        <v>2223.9999999999995</v>
      </c>
      <c r="BX132" s="87">
        <f>SUMIFS($AV$3:AV133,$Q$3:Q133,"F")</f>
        <v>142.54906832298136</v>
      </c>
      <c r="BY132" s="87">
        <f>SUMIFS($AV$3:AV133,$Q$3:Q133,"S")</f>
        <v>271.59909454524484</v>
      </c>
      <c r="BZ132" s="87">
        <f>SUMIFS($AV$3:AV133,$Q$3:Q133,"O")</f>
        <v>224.93999999992729</v>
      </c>
    </row>
    <row r="133" spans="1:78" ht="18" customHeight="1">
      <c r="A133" s="45" t="s">
        <v>96</v>
      </c>
      <c r="B133" s="59"/>
      <c r="C133" s="46"/>
      <c r="D133" s="46"/>
      <c r="E133" s="66"/>
      <c r="F133" s="47"/>
      <c r="G133" s="48"/>
      <c r="H133" s="49"/>
      <c r="I133" s="49"/>
      <c r="J133" s="49"/>
      <c r="K133" s="50"/>
      <c r="L133" s="49"/>
      <c r="M133" s="49"/>
      <c r="N133" s="49"/>
      <c r="O133" s="50"/>
      <c r="P133" s="50"/>
      <c r="Q133" s="50"/>
      <c r="R133" s="50"/>
      <c r="S133" s="50"/>
      <c r="T133" s="50"/>
      <c r="U133" s="50"/>
      <c r="V133" s="50"/>
      <c r="W133" s="50"/>
      <c r="X133" s="50"/>
      <c r="Y133" s="50"/>
      <c r="Z133" s="50"/>
      <c r="AA133" s="52"/>
      <c r="AB133" s="52"/>
      <c r="AC133" s="52"/>
      <c r="AD133" s="231"/>
      <c r="AE133" s="49"/>
      <c r="AF133" s="84"/>
      <c r="AG133" s="49"/>
      <c r="AH133" s="49"/>
      <c r="AI133" s="49"/>
      <c r="AJ133" s="226"/>
      <c r="AK133" s="49"/>
      <c r="AL133" s="113">
        <f t="shared" si="10"/>
        <v>0</v>
      </c>
      <c r="AM133" s="113">
        <f t="shared" si="30"/>
        <v>0</v>
      </c>
      <c r="AN133" s="218"/>
      <c r="AO133" s="49"/>
      <c r="AP133" s="49"/>
      <c r="AQ133" s="84" t="str">
        <f>UPPER(RIGHT(Journal_Live[[#This Row],[DURATION ]]))</f>
        <v/>
      </c>
      <c r="AR133" s="49"/>
      <c r="AS133" s="55"/>
      <c r="AT133" s="55"/>
      <c r="AU133" s="54"/>
      <c r="AV133" s="56"/>
      <c r="AW133" s="57"/>
      <c r="AX133" s="99"/>
      <c r="AY133" s="99"/>
      <c r="AZ133" s="99"/>
      <c r="BA133" s="99"/>
      <c r="BB133" s="99"/>
      <c r="BC133" s="96"/>
      <c r="BD133" s="96"/>
      <c r="BE133" s="96"/>
      <c r="BF133" s="100"/>
      <c r="BG133" s="94">
        <f>SUM($AV$4:AV133)</f>
        <v>967.08816286816125</v>
      </c>
      <c r="BH133" s="95">
        <f>SUM($AU$4:AU133)</f>
        <v>9481.9799999997977</v>
      </c>
      <c r="BI133" s="80">
        <f>SUMIFS($AU$3:AU134,$Q$3:Q134,"F")</f>
        <v>4438.3999999999996</v>
      </c>
      <c r="BJ133" s="80">
        <f>SUMIFS($AU$3:AU134,$Q$3:Q134,"S")</f>
        <v>4144.0000000000009</v>
      </c>
      <c r="BK133" s="87">
        <f>SUMIFS($AU$3:AU134,$P$3:P134,"W")</f>
        <v>6973.5799999999363</v>
      </c>
      <c r="BL133" s="87">
        <f>SUMIFS($AU$3:AU134,$P$3:P134,"R")</f>
        <v>2000.0000000000002</v>
      </c>
      <c r="BM133" s="87">
        <f>SUMIFS($AU$3:AU134,$AQ$3:AQ134,"M")</f>
        <v>2963.5799999997967</v>
      </c>
      <c r="BN133" s="87">
        <f>SUMIFS($AU$3:AU134,$AQ$3:AQ134,"H")</f>
        <v>3599.9999999999991</v>
      </c>
      <c r="BO133" s="87">
        <f>SUMIFS($AU$3:AU134,$AQ$3:AQ134,"D")</f>
        <v>1504.0000000000005</v>
      </c>
      <c r="BP133" s="87">
        <f>SUMIFS($AU$3:AU136,$AQ$3:AQ136,"W")</f>
        <v>1414.3999999999999</v>
      </c>
      <c r="BQ133" s="87">
        <f>SUMIFS($AU$3:AU134,$Q$3:Q134,"O")</f>
        <v>523.57999999978756</v>
      </c>
      <c r="BR133" s="87">
        <f>SUMIFS($AU$3:AU134,$AA$3:AA134,"*")</f>
        <v>9042.7999999996882</v>
      </c>
      <c r="BS133" s="87">
        <f>SUMIFS($AU$3:AU134,$AB$3:AB134,"*")</f>
        <v>2887.1799999999344</v>
      </c>
      <c r="BT133" s="87">
        <f>SUMIFS($AU$3:AU134,$AC$3:AC134,"*")</f>
        <v>4054.3999999999996</v>
      </c>
      <c r="BU133" s="87">
        <f>SUMIFS($AU$3:AU134,$AA$3:AA134,"*",$AB$3:AB134,"*")</f>
        <v>2511.9999999998245</v>
      </c>
      <c r="BV133" s="87">
        <f>SUMIFS($AU$3:AU134,$AA$3:AA134,"*",$AC$3:AC134,"*")</f>
        <v>3990.3999999999996</v>
      </c>
      <c r="BW133" s="87">
        <f>SUMIFS($AU$3:AU134,$AB$3:AB134,"*",$AC$3:AC134,"*")</f>
        <v>2223.9999999999995</v>
      </c>
      <c r="BX133" s="87">
        <f>SUMIFS($AV$3:AV134,$Q$3:Q134,"F")</f>
        <v>142.54906832298136</v>
      </c>
      <c r="BY133" s="87">
        <f>SUMIFS($AV$3:AV134,$Q$3:Q134,"S")</f>
        <v>271.59909454524484</v>
      </c>
      <c r="BZ133" s="87">
        <f>SUMIFS($AV$3:AV134,$Q$3:Q134,"O")</f>
        <v>224.93999999992729</v>
      </c>
    </row>
    <row r="134" spans="1:78" ht="18" customHeight="1">
      <c r="A134" s="45" t="s">
        <v>96</v>
      </c>
      <c r="B134" s="59"/>
      <c r="C134" s="46"/>
      <c r="D134" s="46"/>
      <c r="E134" s="66"/>
      <c r="F134" s="47"/>
      <c r="G134" s="48"/>
      <c r="H134" s="49"/>
      <c r="I134" s="49"/>
      <c r="J134" s="49"/>
      <c r="K134" s="50"/>
      <c r="L134" s="49"/>
      <c r="M134" s="49"/>
      <c r="N134" s="49"/>
      <c r="O134" s="50"/>
      <c r="P134" s="50"/>
      <c r="Q134" s="50"/>
      <c r="R134" s="50"/>
      <c r="S134" s="50"/>
      <c r="T134" s="50"/>
      <c r="U134" s="50"/>
      <c r="V134" s="50"/>
      <c r="W134" s="50"/>
      <c r="X134" s="50"/>
      <c r="Y134" s="50"/>
      <c r="Z134" s="50"/>
      <c r="AA134" s="52"/>
      <c r="AB134" s="52"/>
      <c r="AC134" s="52"/>
      <c r="AD134" s="231"/>
      <c r="AE134" s="49"/>
      <c r="AF134" s="84"/>
      <c r="AG134" s="49"/>
      <c r="AH134" s="49"/>
      <c r="AI134" s="49"/>
      <c r="AJ134" s="226"/>
      <c r="AK134" s="49"/>
      <c r="AL134" s="113">
        <f t="shared" ref="AL134:AL135" si="34">-0.02*Z134</f>
        <v>0</v>
      </c>
      <c r="AM134" s="113">
        <f t="shared" si="30"/>
        <v>0</v>
      </c>
      <c r="AN134" s="218"/>
      <c r="AO134" s="49"/>
      <c r="AP134" s="49"/>
      <c r="AQ134" s="84" t="str">
        <f>UPPER(RIGHT(Journal_Live[[#This Row],[DURATION ]]))</f>
        <v/>
      </c>
      <c r="AR134" s="49"/>
      <c r="AS134" s="55"/>
      <c r="AT134" s="55"/>
      <c r="AU134" s="54"/>
      <c r="AV134" s="56"/>
      <c r="AW134" s="57"/>
      <c r="AX134" s="99"/>
      <c r="AY134" s="99"/>
      <c r="AZ134" s="119"/>
      <c r="BA134" s="119"/>
      <c r="BB134" s="99"/>
      <c r="BC134" s="96"/>
      <c r="BD134" s="96"/>
      <c r="BE134" s="96"/>
      <c r="BF134" s="100"/>
      <c r="BG134" s="94">
        <f>SUM($AV$4:AV134)</f>
        <v>967.08816286816125</v>
      </c>
      <c r="BH134" s="95">
        <f>SUM($AU$4:AU134)</f>
        <v>9481.9799999997977</v>
      </c>
      <c r="BI134" s="80">
        <f>SUMIFS($AU$3:AU135,$Q$3:Q135,"F")</f>
        <v>4438.3999999999996</v>
      </c>
      <c r="BJ134" s="80">
        <f>SUMIFS($AU$3:AU135,$Q$3:Q135,"S")</f>
        <v>4144.0000000000009</v>
      </c>
      <c r="BK134" s="87">
        <f>SUMIFS($AU$3:AU135,$P$3:P135,"W")</f>
        <v>6973.5799999999363</v>
      </c>
      <c r="BL134" s="87">
        <f>SUMIFS($AU$3:AU135,$P$3:P135,"R")</f>
        <v>2000.0000000000002</v>
      </c>
      <c r="BM134" s="87">
        <f>SUMIFS($AU$3:AU135,$AQ$3:AQ135,"M")</f>
        <v>2963.5799999997967</v>
      </c>
      <c r="BN134" s="87">
        <f>SUMIFS($AU$3:AU135,$AQ$3:AQ135,"H")</f>
        <v>3599.9999999999991</v>
      </c>
      <c r="BO134" s="87">
        <f>SUMIFS($AU$3:AU135,$AQ$3:AQ135,"D")</f>
        <v>1504.0000000000005</v>
      </c>
      <c r="BP134" s="87">
        <f>SUMIFS($AU$3:AU137,$AQ$3:AQ137,"W")</f>
        <v>1414.3999999999999</v>
      </c>
      <c r="BQ134" s="87">
        <f>SUMIFS($AU$3:AU135,$Q$3:Q135,"O")</f>
        <v>523.57999999978756</v>
      </c>
      <c r="BR134" s="87">
        <f>SUMIFS($AU$3:AU135,$AA$3:AA135,"*")</f>
        <v>9042.7999999996882</v>
      </c>
      <c r="BS134" s="87">
        <f>SUMIFS($AU$3:AU135,$AB$3:AB135,"*")</f>
        <v>2887.1799999999344</v>
      </c>
      <c r="BT134" s="87">
        <f>SUMIFS($AU$3:AU135,$AC$3:AC135,"*")</f>
        <v>4054.3999999999996</v>
      </c>
      <c r="BU134" s="87">
        <f>SUMIFS($AU$3:AU135,$AA$3:AA135,"*",$AB$3:AB135,"*")</f>
        <v>2511.9999999998245</v>
      </c>
      <c r="BV134" s="87">
        <f>SUMIFS($AU$3:AU135,$AA$3:AA135,"*",$AC$3:AC135,"*")</f>
        <v>3990.3999999999996</v>
      </c>
      <c r="BW134" s="87">
        <f>SUMIFS($AU$3:AU135,$AB$3:AB135,"*",$AC$3:AC135,"*")</f>
        <v>2223.9999999999995</v>
      </c>
      <c r="BX134" s="87">
        <f>SUMIFS($AV$3:AV135,$Q$3:Q135,"F")</f>
        <v>142.54906832298136</v>
      </c>
      <c r="BY134" s="87">
        <f>SUMIFS($AV$3:AV135,$Q$3:Q135,"S")</f>
        <v>271.59909454524484</v>
      </c>
      <c r="BZ134" s="87">
        <f>SUMIFS($AV$3:AV135,$Q$3:Q135,"O")</f>
        <v>224.93999999992729</v>
      </c>
    </row>
    <row r="135" spans="1:78" ht="18" customHeight="1">
      <c r="A135" s="45" t="s">
        <v>96</v>
      </c>
      <c r="B135" s="59"/>
      <c r="C135" s="46"/>
      <c r="D135" s="46"/>
      <c r="E135" s="66"/>
      <c r="F135" s="47"/>
      <c r="G135" s="48"/>
      <c r="H135" s="49"/>
      <c r="I135" s="49"/>
      <c r="J135" s="49"/>
      <c r="K135" s="50"/>
      <c r="L135" s="49"/>
      <c r="M135" s="49"/>
      <c r="N135" s="49"/>
      <c r="O135" s="50"/>
      <c r="P135" s="50"/>
      <c r="Q135" s="50"/>
      <c r="R135" s="50"/>
      <c r="S135" s="50"/>
      <c r="T135" s="50"/>
      <c r="U135" s="50"/>
      <c r="V135" s="50"/>
      <c r="W135" s="50"/>
      <c r="X135" s="50"/>
      <c r="Y135" s="50"/>
      <c r="Z135" s="50"/>
      <c r="AA135" s="52"/>
      <c r="AB135" s="52"/>
      <c r="AC135" s="52"/>
      <c r="AD135" s="231"/>
      <c r="AE135" s="49"/>
      <c r="AF135" s="84"/>
      <c r="AG135" s="49"/>
      <c r="AH135" s="49"/>
      <c r="AI135" s="49"/>
      <c r="AJ135" s="226"/>
      <c r="AK135" s="49"/>
      <c r="AL135" s="113">
        <f t="shared" si="34"/>
        <v>0</v>
      </c>
      <c r="AM135" s="113">
        <f t="shared" si="30"/>
        <v>0</v>
      </c>
      <c r="AN135" s="218"/>
      <c r="AO135" s="49"/>
      <c r="AP135" s="49"/>
      <c r="AQ135" s="84" t="str">
        <f>UPPER(RIGHT(Journal_Live[[#This Row],[DURATION ]]))</f>
        <v/>
      </c>
      <c r="AR135" s="49"/>
      <c r="AS135" s="55"/>
      <c r="AT135" s="55"/>
      <c r="AU135" s="54"/>
      <c r="AV135" s="56"/>
      <c r="AW135" s="57"/>
      <c r="AX135" s="125"/>
      <c r="AY135" s="121"/>
      <c r="AZ135" s="123"/>
      <c r="BA135" s="123"/>
      <c r="BB135" s="122"/>
      <c r="BC135" s="99"/>
      <c r="BD135" s="99"/>
      <c r="BE135" s="96"/>
      <c r="BF135" s="100"/>
      <c r="BG135" s="94">
        <f>SUM($AV$4:AV135)</f>
        <v>967.08816286816125</v>
      </c>
      <c r="BH135" s="95">
        <f>SUM($AU$4:AU135)</f>
        <v>9481.9799999997977</v>
      </c>
      <c r="BI135" s="80">
        <f>SUMIFS($AU$3:AU136,$Q$3:Q136,"F")</f>
        <v>4438.3999999999996</v>
      </c>
      <c r="BJ135" s="80">
        <f>SUMIFS($AU$3:AU136,$Q$3:Q136,"S")</f>
        <v>4144.0000000000009</v>
      </c>
      <c r="BK135" s="87">
        <f>SUMIFS($AU$3:AU136,$P$3:P136,"W")</f>
        <v>6973.5799999999363</v>
      </c>
      <c r="BL135" s="87">
        <f>SUMIFS($AU$3:AU136,$P$3:P136,"R")</f>
        <v>2000.0000000000002</v>
      </c>
      <c r="BM135" s="87">
        <f>SUMIFS($AU$3:AU136,$AQ$3:AQ136,"M")</f>
        <v>2963.5799999997967</v>
      </c>
      <c r="BN135" s="87">
        <f>SUMIFS($AU$3:AU136,$AQ$3:AQ136,"H")</f>
        <v>3599.9999999999991</v>
      </c>
      <c r="BO135" s="87">
        <f>SUMIFS($AU$3:AU136,$AQ$3:AQ136,"D")</f>
        <v>1504.0000000000005</v>
      </c>
      <c r="BP135" s="87">
        <f>SUMIFS($AU$3:AU138,$AQ$3:AQ138,"W")</f>
        <v>1414.3999999999999</v>
      </c>
      <c r="BQ135" s="87">
        <f>SUMIFS($AU$3:AU136,$Q$3:Q136,"O")</f>
        <v>523.57999999978756</v>
      </c>
      <c r="BR135" s="87">
        <f>SUMIFS($AU$3:AU136,$AA$3:AA136,"*")</f>
        <v>9042.7999999996882</v>
      </c>
      <c r="BS135" s="87">
        <f>SUMIFS($AU$3:AU136,$AB$3:AB136,"*")</f>
        <v>2887.1799999999344</v>
      </c>
      <c r="BT135" s="87">
        <f>SUMIFS($AU$3:AU136,$AC$3:AC136,"*")</f>
        <v>4054.3999999999996</v>
      </c>
      <c r="BU135" s="87">
        <f>SUMIFS($AU$3:AU136,$AA$3:AA136,"*",$AB$3:AB136,"*")</f>
        <v>2511.9999999998245</v>
      </c>
      <c r="BV135" s="87">
        <f>SUMIFS($AU$3:AU136,$AA$3:AA136,"*",$AC$3:AC136,"*")</f>
        <v>3990.3999999999996</v>
      </c>
      <c r="BW135" s="87">
        <f>SUMIFS($AU$3:AU136,$AB$3:AB136,"*",$AC$3:AC136,"*")</f>
        <v>2223.9999999999995</v>
      </c>
      <c r="BX135" s="87">
        <f>SUMIFS($AV$3:AV136,$Q$3:Q136,"F")</f>
        <v>142.54906832298136</v>
      </c>
      <c r="BY135" s="87">
        <f>SUMIFS($AV$3:AV136,$Q$3:Q136,"S")</f>
        <v>271.59909454524484</v>
      </c>
      <c r="BZ135" s="87">
        <f>SUMIFS($AV$3:AV136,$Q$3:Q136,"O")</f>
        <v>224.93999999992729</v>
      </c>
    </row>
    <row r="136" spans="1:78" ht="18" customHeight="1">
      <c r="A136" s="45" t="s">
        <v>96</v>
      </c>
      <c r="B136" s="59"/>
      <c r="C136" s="46"/>
      <c r="D136" s="46"/>
      <c r="E136" s="66"/>
      <c r="F136" s="47"/>
      <c r="G136" s="48"/>
      <c r="H136" s="49"/>
      <c r="I136" s="49"/>
      <c r="J136" s="49"/>
      <c r="K136" s="50"/>
      <c r="L136" s="49"/>
      <c r="M136" s="49"/>
      <c r="N136" s="49"/>
      <c r="O136" s="50"/>
      <c r="P136" s="50"/>
      <c r="Q136" s="50"/>
      <c r="R136" s="50"/>
      <c r="S136" s="50"/>
      <c r="T136" s="50"/>
      <c r="U136" s="50"/>
      <c r="V136" s="50"/>
      <c r="W136" s="50"/>
      <c r="X136" s="50"/>
      <c r="Y136" s="50"/>
      <c r="Z136" s="50"/>
      <c r="AA136" s="52"/>
      <c r="AB136" s="52"/>
      <c r="AC136" s="52"/>
      <c r="AD136" s="231"/>
      <c r="AE136" s="49"/>
      <c r="AF136" s="84"/>
      <c r="AG136" s="49"/>
      <c r="AH136" s="49"/>
      <c r="AI136" s="49"/>
      <c r="AJ136" s="226"/>
      <c r="AK136" s="49"/>
      <c r="AL136" s="113">
        <f t="shared" si="10"/>
        <v>0</v>
      </c>
      <c r="AM136" s="113">
        <f t="shared" si="30"/>
        <v>0</v>
      </c>
      <c r="AN136" s="218"/>
      <c r="AO136" s="49"/>
      <c r="AP136" s="49"/>
      <c r="AQ136" s="84" t="str">
        <f>UPPER(RIGHT(Journal_Live[[#This Row],[DURATION ]]))</f>
        <v/>
      </c>
      <c r="AR136" s="49"/>
      <c r="AS136" s="55"/>
      <c r="AT136" s="55"/>
      <c r="AU136" s="54"/>
      <c r="AV136" s="56"/>
      <c r="AW136" s="57"/>
      <c r="AX136" s="126"/>
      <c r="AY136" s="121"/>
      <c r="AZ136" s="124"/>
      <c r="BA136" s="123"/>
      <c r="BB136" s="122"/>
      <c r="BC136" s="99"/>
      <c r="BD136" s="99"/>
      <c r="BE136" s="96"/>
      <c r="BF136" s="100"/>
      <c r="BG136" s="94">
        <f>SUM($AV$4:AV136)</f>
        <v>967.08816286816125</v>
      </c>
      <c r="BH136" s="95">
        <f>SUM($AU$4:AU136)</f>
        <v>9481.9799999997977</v>
      </c>
      <c r="BI136" s="80">
        <f>SUMIFS($AU$3:AU137,$Q$3:Q137,"F")</f>
        <v>4438.3999999999996</v>
      </c>
      <c r="BJ136" s="80">
        <f>SUMIFS($AU$3:AU137,$Q$3:Q137,"S")</f>
        <v>4144.0000000000009</v>
      </c>
      <c r="BK136" s="87">
        <f>SUMIFS($AU$3:AU137,$P$3:P137,"W")</f>
        <v>6973.5799999999363</v>
      </c>
      <c r="BL136" s="87">
        <f>SUMIFS($AU$3:AU137,$P$3:P137,"R")</f>
        <v>2000.0000000000002</v>
      </c>
      <c r="BM136" s="87">
        <f>SUMIFS($AU$3:AU137,$AQ$3:AQ137,"M")</f>
        <v>2963.5799999997967</v>
      </c>
      <c r="BN136" s="87">
        <f>SUMIFS($AU$3:AU137,$AQ$3:AQ137,"H")</f>
        <v>3599.9999999999991</v>
      </c>
      <c r="BO136" s="87">
        <f>SUMIFS($AU$3:AU137,$AQ$3:AQ137,"D")</f>
        <v>1504.0000000000005</v>
      </c>
      <c r="BP136" s="87">
        <f>SUMIFS($AU$3:AU139,$AQ$3:AQ139,"W")</f>
        <v>1414.3999999999999</v>
      </c>
      <c r="BQ136" s="87">
        <f>SUMIFS($AU$3:AU137,$Q$3:Q137,"O")</f>
        <v>523.57999999978756</v>
      </c>
      <c r="BR136" s="87">
        <f>SUMIFS($AU$3:AU137,$AA$3:AA137,"*")</f>
        <v>9042.7999999996882</v>
      </c>
      <c r="BS136" s="87">
        <f>SUMIFS($AU$3:AU137,$AB$3:AB137,"*")</f>
        <v>2887.1799999999344</v>
      </c>
      <c r="BT136" s="87">
        <f>SUMIFS($AU$3:AU137,$AC$3:AC137,"*")</f>
        <v>4054.3999999999996</v>
      </c>
      <c r="BU136" s="87">
        <f>SUMIFS($AU$3:AU137,$AA$3:AA137,"*",$AB$3:AB137,"*")</f>
        <v>2511.9999999998245</v>
      </c>
      <c r="BV136" s="87">
        <f>SUMIFS($AU$3:AU137,$AA$3:AA137,"*",$AC$3:AC137,"*")</f>
        <v>3990.3999999999996</v>
      </c>
      <c r="BW136" s="87">
        <f>SUMIFS($AU$3:AU137,$AB$3:AB137,"*",$AC$3:AC137,"*")</f>
        <v>2223.9999999999995</v>
      </c>
      <c r="BX136" s="87">
        <f>SUMIFS($AV$3:AV137,$Q$3:Q137,"F")</f>
        <v>142.54906832298136</v>
      </c>
      <c r="BY136" s="87">
        <f>SUMIFS($AV$3:AV137,$Q$3:Q137,"S")</f>
        <v>271.59909454524484</v>
      </c>
      <c r="BZ136" s="87">
        <f>SUMIFS($AV$3:AV137,$Q$3:Q137,"O")</f>
        <v>224.93999999992729</v>
      </c>
    </row>
    <row r="137" spans="1:78" ht="18" customHeight="1">
      <c r="A137" s="45" t="s">
        <v>96</v>
      </c>
      <c r="B137" s="59"/>
      <c r="C137" s="46"/>
      <c r="D137" s="46"/>
      <c r="E137" s="66"/>
      <c r="F137" s="47"/>
      <c r="G137" s="48"/>
      <c r="H137" s="49"/>
      <c r="I137" s="49"/>
      <c r="J137" s="49"/>
      <c r="K137" s="50"/>
      <c r="L137" s="49"/>
      <c r="M137" s="49"/>
      <c r="N137" s="49"/>
      <c r="O137" s="50"/>
      <c r="P137" s="50"/>
      <c r="Q137" s="50"/>
      <c r="R137" s="50"/>
      <c r="S137" s="50"/>
      <c r="T137" s="50"/>
      <c r="U137" s="50"/>
      <c r="V137" s="50"/>
      <c r="W137" s="50"/>
      <c r="X137" s="50"/>
      <c r="Y137" s="50"/>
      <c r="Z137" s="50"/>
      <c r="AA137" s="52"/>
      <c r="AB137" s="52"/>
      <c r="AC137" s="52"/>
      <c r="AD137" s="231"/>
      <c r="AE137" s="49"/>
      <c r="AF137" s="84"/>
      <c r="AG137" s="49"/>
      <c r="AH137" s="49"/>
      <c r="AI137" s="49"/>
      <c r="AJ137" s="226"/>
      <c r="AK137" s="49"/>
      <c r="AL137" s="113">
        <f t="shared" si="10"/>
        <v>0</v>
      </c>
      <c r="AM137" s="113">
        <f t="shared" si="30"/>
        <v>0</v>
      </c>
      <c r="AN137" s="218"/>
      <c r="AO137" s="49"/>
      <c r="AP137" s="49"/>
      <c r="AQ137" s="84" t="str">
        <f>UPPER(RIGHT(Journal_Live[[#This Row],[DURATION ]]))</f>
        <v/>
      </c>
      <c r="AR137" s="49"/>
      <c r="AS137" s="55"/>
      <c r="AT137" s="55"/>
      <c r="AU137" s="54"/>
      <c r="AV137" s="56"/>
      <c r="AW137" s="57"/>
      <c r="AX137" s="99"/>
      <c r="AY137" s="99"/>
      <c r="AZ137" s="99"/>
      <c r="BA137" s="99"/>
      <c r="BB137" s="99"/>
      <c r="BC137" s="99"/>
      <c r="BD137" s="118"/>
      <c r="BE137" s="96"/>
      <c r="BF137" s="100"/>
      <c r="BG137" s="94">
        <f>SUM($AV$4:AV137)</f>
        <v>967.08816286816125</v>
      </c>
      <c r="BH137" s="95">
        <f>SUM($AU$4:AU137)</f>
        <v>9481.9799999997977</v>
      </c>
      <c r="BI137" s="80">
        <f>SUMIFS($AU$3:AU138,$Q$3:Q138,"F")</f>
        <v>4438.3999999999996</v>
      </c>
      <c r="BJ137" s="80">
        <f>SUMIFS($AU$3:AU138,$Q$3:Q138,"S")</f>
        <v>4144.0000000000009</v>
      </c>
      <c r="BK137" s="87">
        <f>SUMIFS($AU$3:AU138,$P$3:P138,"W")</f>
        <v>6973.5799999999363</v>
      </c>
      <c r="BL137" s="87">
        <f>SUMIFS($AU$3:AU138,$P$3:P138,"R")</f>
        <v>2000.0000000000002</v>
      </c>
      <c r="BM137" s="87">
        <f>SUMIFS($AU$3:AU138,$AQ$3:AQ138,"M")</f>
        <v>2963.5799999997967</v>
      </c>
      <c r="BN137" s="87">
        <f>SUMIFS($AU$3:AU138,$AQ$3:AQ138,"H")</f>
        <v>3599.9999999999991</v>
      </c>
      <c r="BO137" s="87">
        <f>SUMIFS($AU$3:AU138,$AQ$3:AQ138,"D")</f>
        <v>1504.0000000000005</v>
      </c>
      <c r="BP137" s="87">
        <f>SUMIFS($AU$3:AU140,$AQ$3:AQ140,"W")</f>
        <v>1414.3999999999999</v>
      </c>
      <c r="BQ137" s="87">
        <f>SUMIFS($AU$3:AU138,$Q$3:Q138,"O")</f>
        <v>523.57999999978756</v>
      </c>
      <c r="BR137" s="87">
        <f>SUMIFS($AU$3:AU138,$AA$3:AA138,"*")</f>
        <v>9042.7999999996882</v>
      </c>
      <c r="BS137" s="87">
        <f>SUMIFS($AU$3:AU138,$AB$3:AB138,"*")</f>
        <v>2887.1799999999344</v>
      </c>
      <c r="BT137" s="87">
        <f>SUMIFS($AU$3:AU138,$AC$3:AC138,"*")</f>
        <v>4054.3999999999996</v>
      </c>
      <c r="BU137" s="87">
        <f>SUMIFS($AU$3:AU138,$AA$3:AA138,"*",$AB$3:AB138,"*")</f>
        <v>2511.9999999998245</v>
      </c>
      <c r="BV137" s="87">
        <f>SUMIFS($AU$3:AU138,$AA$3:AA138,"*",$AC$3:AC138,"*")</f>
        <v>3990.3999999999996</v>
      </c>
      <c r="BW137" s="87">
        <f>SUMIFS($AU$3:AU138,$AB$3:AB138,"*",$AC$3:AC138,"*")</f>
        <v>2223.9999999999995</v>
      </c>
      <c r="BX137" s="87">
        <f>SUMIFS($AV$3:AV138,$Q$3:Q138,"F")</f>
        <v>142.54906832298136</v>
      </c>
      <c r="BY137" s="87">
        <f>SUMIFS($AV$3:AV138,$Q$3:Q138,"S")</f>
        <v>271.59909454524484</v>
      </c>
      <c r="BZ137" s="87">
        <f>SUMIFS($AV$3:AV138,$Q$3:Q138,"O")</f>
        <v>224.93999999992729</v>
      </c>
    </row>
    <row r="138" spans="1:78" ht="18" customHeight="1">
      <c r="A138" s="45" t="s">
        <v>96</v>
      </c>
      <c r="B138" s="59"/>
      <c r="C138" s="46"/>
      <c r="D138" s="46"/>
      <c r="E138" s="66"/>
      <c r="F138" s="47"/>
      <c r="G138" s="48"/>
      <c r="H138" s="49"/>
      <c r="I138" s="49"/>
      <c r="J138" s="49"/>
      <c r="K138" s="50"/>
      <c r="L138" s="49"/>
      <c r="M138" s="49"/>
      <c r="N138" s="49"/>
      <c r="O138" s="50"/>
      <c r="P138" s="50"/>
      <c r="Q138" s="50"/>
      <c r="R138" s="50"/>
      <c r="S138" s="50"/>
      <c r="T138" s="50"/>
      <c r="U138" s="50"/>
      <c r="V138" s="50"/>
      <c r="W138" s="50"/>
      <c r="X138" s="50"/>
      <c r="Y138" s="50"/>
      <c r="Z138" s="50"/>
      <c r="AA138" s="52"/>
      <c r="AB138" s="52"/>
      <c r="AC138" s="52"/>
      <c r="AD138" s="231"/>
      <c r="AE138" s="49"/>
      <c r="AF138" s="84"/>
      <c r="AG138" s="49"/>
      <c r="AH138" s="49"/>
      <c r="AI138" s="49"/>
      <c r="AJ138" s="226"/>
      <c r="AK138" s="49"/>
      <c r="AL138" s="113">
        <f t="shared" si="10"/>
        <v>0</v>
      </c>
      <c r="AM138" s="113">
        <f t="shared" si="30"/>
        <v>0</v>
      </c>
      <c r="AN138" s="218"/>
      <c r="AO138" s="49"/>
      <c r="AP138" s="49"/>
      <c r="AQ138" s="84" t="str">
        <f>UPPER(RIGHT(Journal_Live[[#This Row],[DURATION ]]))</f>
        <v/>
      </c>
      <c r="AR138" s="49"/>
      <c r="AS138" s="55"/>
      <c r="AT138" s="55"/>
      <c r="AU138" s="54"/>
      <c r="AV138" s="56"/>
      <c r="AW138" s="57"/>
      <c r="AX138" s="119"/>
      <c r="AY138" s="99"/>
      <c r="AZ138" s="99"/>
      <c r="BA138" s="118"/>
      <c r="BB138" s="99"/>
      <c r="BC138" s="118"/>
      <c r="BD138" s="118"/>
      <c r="BE138" s="99"/>
      <c r="BF138" s="100"/>
      <c r="BG138" s="94">
        <f>SUM($AV$4:AV138)</f>
        <v>967.08816286816125</v>
      </c>
      <c r="BH138" s="95">
        <f>SUM($AU$4:AU138)</f>
        <v>9481.9799999997977</v>
      </c>
      <c r="BI138" s="80">
        <f>SUMIFS($AU$3:AU139,$Q$3:Q139,"F")</f>
        <v>4438.3999999999996</v>
      </c>
      <c r="BJ138" s="80">
        <f>SUMIFS($AU$3:AU139,$Q$3:Q139,"S")</f>
        <v>4144.0000000000009</v>
      </c>
      <c r="BK138" s="87">
        <f>SUMIFS($AU$3:AU139,$P$3:P139,"W")</f>
        <v>6973.5799999999363</v>
      </c>
      <c r="BL138" s="87">
        <f>SUMIFS($AU$3:AU139,$P$3:P139,"R")</f>
        <v>2000.0000000000002</v>
      </c>
      <c r="BM138" s="87">
        <f>SUMIFS($AU$3:AU139,$AQ$3:AQ139,"M")</f>
        <v>2963.5799999997967</v>
      </c>
      <c r="BN138" s="87">
        <f>SUMIFS($AU$3:AU139,$AQ$3:AQ139,"H")</f>
        <v>3599.9999999999991</v>
      </c>
      <c r="BO138" s="87">
        <f>SUMIFS($AU$3:AU139,$AQ$3:AQ139,"D")</f>
        <v>1504.0000000000005</v>
      </c>
      <c r="BP138" s="87">
        <f>SUMIFS($AU$3:AU141,$AQ$3:AQ141,"W")</f>
        <v>1414.3999999999999</v>
      </c>
      <c r="BQ138" s="87">
        <f>SUMIFS($AU$3:AU139,$Q$3:Q139,"O")</f>
        <v>523.57999999978756</v>
      </c>
      <c r="BR138" s="87">
        <f>SUMIFS($AU$3:AU139,$AA$3:AA139,"*")</f>
        <v>9042.7999999996882</v>
      </c>
      <c r="BS138" s="87">
        <f>SUMIFS($AU$3:AU139,$AB$3:AB139,"*")</f>
        <v>2887.1799999999344</v>
      </c>
      <c r="BT138" s="87">
        <f>SUMIFS($AU$3:AU139,$AC$3:AC139,"*")</f>
        <v>4054.3999999999996</v>
      </c>
      <c r="BU138" s="87">
        <f>SUMIFS($AU$3:AU139,$AA$3:AA139,"*",$AB$3:AB139,"*")</f>
        <v>2511.9999999998245</v>
      </c>
      <c r="BV138" s="87">
        <f>SUMIFS($AU$3:AU139,$AA$3:AA139,"*",$AC$3:AC139,"*")</f>
        <v>3990.3999999999996</v>
      </c>
      <c r="BW138" s="87">
        <f>SUMIFS($AU$3:AU139,$AB$3:AB139,"*",$AC$3:AC139,"*")</f>
        <v>2223.9999999999995</v>
      </c>
      <c r="BX138" s="87">
        <f>SUMIFS($AV$3:AV139,$Q$3:Q139,"F")</f>
        <v>142.54906832298136</v>
      </c>
      <c r="BY138" s="87">
        <f>SUMIFS($AV$3:AV139,$Q$3:Q139,"S")</f>
        <v>271.59909454524484</v>
      </c>
      <c r="BZ138" s="87">
        <f>SUMIFS($AV$3:AV139,$Q$3:Q139,"O")</f>
        <v>224.93999999992729</v>
      </c>
    </row>
    <row r="139" spans="1:78" ht="18" customHeight="1">
      <c r="A139" s="45" t="s">
        <v>96</v>
      </c>
      <c r="B139" s="59"/>
      <c r="C139" s="46"/>
      <c r="D139" s="46"/>
      <c r="E139" s="66"/>
      <c r="F139" s="47"/>
      <c r="G139" s="48"/>
      <c r="H139" s="49"/>
      <c r="I139" s="49"/>
      <c r="J139" s="49"/>
      <c r="K139" s="50"/>
      <c r="L139" s="49"/>
      <c r="M139" s="49"/>
      <c r="N139" s="49"/>
      <c r="O139" s="50"/>
      <c r="P139" s="50"/>
      <c r="Q139" s="50"/>
      <c r="R139" s="50"/>
      <c r="S139" s="50"/>
      <c r="T139" s="50"/>
      <c r="U139" s="50"/>
      <c r="V139" s="50"/>
      <c r="W139" s="50"/>
      <c r="X139" s="50"/>
      <c r="Y139" s="50"/>
      <c r="Z139" s="50"/>
      <c r="AA139" s="52"/>
      <c r="AB139" s="52"/>
      <c r="AC139" s="52"/>
      <c r="AD139" s="231"/>
      <c r="AE139" s="49"/>
      <c r="AF139" s="84"/>
      <c r="AG139" s="49"/>
      <c r="AH139" s="49"/>
      <c r="AI139" s="49"/>
      <c r="AJ139" s="226"/>
      <c r="AK139" s="49"/>
      <c r="AL139" s="113">
        <f t="shared" si="10"/>
        <v>0</v>
      </c>
      <c r="AM139" s="113">
        <f t="shared" si="30"/>
        <v>0</v>
      </c>
      <c r="AN139" s="218"/>
      <c r="AO139" s="49"/>
      <c r="AP139" s="49"/>
      <c r="AQ139" s="84" t="str">
        <f>UPPER(RIGHT(Journal_Live[[#This Row],[DURATION ]]))</f>
        <v/>
      </c>
      <c r="AR139" s="49"/>
      <c r="AS139" s="55"/>
      <c r="AT139" s="55"/>
      <c r="AU139" s="54"/>
      <c r="AV139" s="56"/>
      <c r="AW139" s="57"/>
      <c r="AX139" s="99"/>
      <c r="AY139" s="99"/>
      <c r="AZ139" s="99"/>
      <c r="BA139" s="99"/>
      <c r="BB139" s="99"/>
      <c r="BC139" s="120"/>
      <c r="BD139" s="99"/>
      <c r="BE139" s="99"/>
      <c r="BF139" s="99"/>
      <c r="BG139" s="94">
        <f>SUM($AV$4:AV139)</f>
        <v>967.08816286816125</v>
      </c>
      <c r="BH139" s="95">
        <f>SUM($AU$4:AU139)</f>
        <v>9481.9799999997977</v>
      </c>
      <c r="BI139" s="80">
        <f>SUMIFS($AU$3:AU1232,$Q$3:Q1232,"F")</f>
        <v>27366.758121878131</v>
      </c>
      <c r="BJ139" s="80">
        <f>SUMIFS($AU$3:AU1232,$Q$3:Q1232,"S")</f>
        <v>15634.285714285721</v>
      </c>
      <c r="BK139" s="87">
        <f>SUMIFS($AU$3:AU1232,$P$3:P1232,"W")</f>
        <v>13893.423836163411</v>
      </c>
      <c r="BL139" s="87">
        <f>SUMIFS($AU$3:AU1232,$P$3:P1232,"R")</f>
        <v>21150.800000000316</v>
      </c>
      <c r="BM139" s="87">
        <f>SUMIFS($AU$3:AU1232,$AQ$3:AQ1232,"M")</f>
        <v>8785.3799999984803</v>
      </c>
      <c r="BN139" s="87">
        <f>SUMIFS($AU$3:AU1232,$AQ$3:AQ1232,"H")</f>
        <v>14347.200000000703</v>
      </c>
      <c r="BO139" s="87">
        <f>SUMIFS($AU$3:AU1232,$AQ$3:AQ1232,"D")</f>
        <v>6043.5774725271904</v>
      </c>
      <c r="BP139" s="87">
        <f>SUMIFS($AU$3:AU142,$AQ$3:AQ142,"W")</f>
        <v>1414.3999999999999</v>
      </c>
      <c r="BQ139" s="87">
        <f>SUMIFS($AU$3:AU140,$Q$3:Q140,"O")</f>
        <v>523.57999999978756</v>
      </c>
      <c r="BR139" s="87">
        <f>SUMIFS($AU$3:AU140,$AA$3:AA140,"*")</f>
        <v>9042.7999999996882</v>
      </c>
      <c r="BS139" s="87">
        <f>SUMIFS($AU$3:AU140,$AB$3:AB140,"*")</f>
        <v>2887.1799999999344</v>
      </c>
      <c r="BT139" s="87">
        <f>SUMIFS($AU$3:AU140,$AC$3:AC140,"*")</f>
        <v>4054.3999999999996</v>
      </c>
      <c r="BU139" s="87">
        <f>SUMIFS($AU$3:AU140,$AA$3:AA140,"*",$AB$3:AB140,"*")</f>
        <v>2511.9999999998245</v>
      </c>
      <c r="BV139" s="87">
        <f>SUMIFS($AU$3:AU140,$AA$3:AA140,"*",$AC$3:AC140,"*")</f>
        <v>3990.3999999999996</v>
      </c>
      <c r="BW139" s="87">
        <f>SUMIFS($AU$3:AU140,$AB$3:AB140,"*",$AC$3:AC140,"*")</f>
        <v>2223.9999999999995</v>
      </c>
      <c r="BX139" s="87">
        <f>SUMIFS($AV$3:AV140,$Q$3:Q140,"F")</f>
        <v>142.54906832298136</v>
      </c>
      <c r="BY139" s="87">
        <f>SUMIFS($AV$3:AV140,$Q$3:Q140,"S")</f>
        <v>271.59909454524484</v>
      </c>
      <c r="BZ139" s="87">
        <f>SUMIFS($AV$3:AV140,$Q$3:Q140,"O")</f>
        <v>224.93999999992729</v>
      </c>
    </row>
    <row r="140" spans="1:78" ht="18" customHeight="1">
      <c r="A140" s="111" t="s">
        <v>566</v>
      </c>
      <c r="B140" s="68"/>
      <c r="C140" s="60"/>
      <c r="D140" s="60"/>
      <c r="E140" s="61"/>
      <c r="F140" s="62"/>
      <c r="G140" s="60"/>
      <c r="H140" s="60"/>
      <c r="I140" s="60"/>
      <c r="J140" s="60"/>
      <c r="K140" s="63"/>
      <c r="L140" s="60"/>
      <c r="M140" s="60"/>
      <c r="N140" s="60"/>
      <c r="O140" s="63"/>
      <c r="P140" s="63"/>
      <c r="Q140" s="63"/>
      <c r="R140" s="63"/>
      <c r="S140" s="63"/>
      <c r="T140" s="63"/>
      <c r="U140" s="63"/>
      <c r="V140" s="63"/>
      <c r="W140" s="63"/>
      <c r="X140" s="63"/>
      <c r="Y140" s="63"/>
      <c r="Z140" s="64" t="str">
        <f>IF(ISBLANK(O140),"",IF(O140="IB",8.63*200,IF(O140="IR",16*100,IF(O140="YT",20*100,IF(O140="YT-XT",24*200,IF(O140="TED",80*100))))))</f>
        <v/>
      </c>
      <c r="AA140" s="64"/>
      <c r="AB140" s="64"/>
      <c r="AC140" s="64"/>
      <c r="AD140" s="232"/>
      <c r="AE140" s="60"/>
      <c r="AF140" s="88"/>
      <c r="AG140" s="87"/>
      <c r="AH140" s="60"/>
      <c r="AI140" s="60"/>
      <c r="AJ140" s="227"/>
      <c r="AK140" s="60"/>
      <c r="AL140" s="60"/>
      <c r="AM140" s="60"/>
      <c r="AN140" s="219"/>
      <c r="AO140" s="60"/>
      <c r="AP140" s="60"/>
      <c r="AQ140" s="85" t="str">
        <f>UPPER(RIGHT(Journal_Live[[#This Row],[DURATION ]]))</f>
        <v/>
      </c>
      <c r="AR140" s="60"/>
      <c r="AS140" s="60"/>
      <c r="AT140" s="60"/>
      <c r="AU140" s="60"/>
      <c r="AV140" s="60"/>
      <c r="AW140" s="65"/>
      <c r="AX140" s="99"/>
      <c r="AY140" s="98"/>
      <c r="AZ140" s="98"/>
      <c r="BA140" s="98"/>
      <c r="BB140" s="98"/>
      <c r="BC140" s="98"/>
      <c r="BD140" s="98"/>
      <c r="BE140" s="98"/>
      <c r="BF140" s="98"/>
      <c r="BG140" s="94">
        <f>SUM($AV$4:AV140)</f>
        <v>967.08816286816125</v>
      </c>
      <c r="BH140" s="95">
        <f>SUM($AU$4:AU140)</f>
        <v>9481.9799999997977</v>
      </c>
      <c r="BI140" s="80">
        <f>SUMIFS($AU$3:AU141,$Q$3:Q141,"F")</f>
        <v>4438.3999999999996</v>
      </c>
      <c r="BJ140" s="80">
        <f>SUMIFS($AU$3:AU141,$Q$3:Q141,"S")</f>
        <v>4144.0000000000009</v>
      </c>
      <c r="BK140" s="87">
        <f>SUMIFS($AU$3:AU141,$P$3:P141,"W")</f>
        <v>6973.5799999999363</v>
      </c>
      <c r="BL140" s="87">
        <f>SUMIFS($AU$3:AU141,$P$3:P141,"R")</f>
        <v>2000.0000000000002</v>
      </c>
      <c r="BM140" s="87">
        <f>SUMIFS($AU$3:AU141,$AQ$3:AQ141,"M")</f>
        <v>2963.5799999997967</v>
      </c>
      <c r="BN140" s="87">
        <f>SUMIFS($AU$3:AU141,$AQ$3:AQ141,"H")</f>
        <v>3599.9999999999991</v>
      </c>
      <c r="BO140" s="87">
        <f>SUMIFS($AU$3:AU141,$AQ$3:AQ141,"D")</f>
        <v>1504.0000000000005</v>
      </c>
      <c r="BP140" s="87">
        <f>SUMIFS($AU$3:AU143,$AQ$3:AQ143,"W")</f>
        <v>1414.3999999999999</v>
      </c>
      <c r="BQ140" s="87">
        <f>SUMIFS($AU$3:AU141,$Q$3:Q141,"O")</f>
        <v>523.57999999978756</v>
      </c>
      <c r="BR140" s="87">
        <f>SUMIFS($AU$3:AU141,$AA$3:AA141,"*")</f>
        <v>9042.7999999996882</v>
      </c>
      <c r="BS140" s="87">
        <f>SUMIFS($AU$3:AU141,$AB$3:AB141,"*")</f>
        <v>2887.1799999999344</v>
      </c>
      <c r="BT140" s="87">
        <f>SUMIFS($AU$3:AU141,$AC$3:AC141,"*")</f>
        <v>4054.3999999999996</v>
      </c>
      <c r="BU140" s="87">
        <f>SUMIFS($AU$3:AU141,$AA$3:AA141,"*",$AB$3:AB141,"*")</f>
        <v>2511.9999999998245</v>
      </c>
      <c r="BV140" s="87">
        <f>SUMIFS($AU$3:AU141,$AA$3:AA141,"*",$AC$3:AC141,"*")</f>
        <v>3990.3999999999996</v>
      </c>
      <c r="BW140" s="87">
        <f>SUMIFS($AU$3:AU141,$AB$3:AB141,"*",$AC$3:AC141,"*")</f>
        <v>2223.9999999999995</v>
      </c>
      <c r="BX140" s="87">
        <f>SUMIFS($AV$3:AV141,$Q$3:Q141,"F")</f>
        <v>142.54906832298136</v>
      </c>
      <c r="BY140" s="87">
        <f>SUMIFS($AV$3:AV141,$Q$3:Q141,"S")</f>
        <v>271.59909454524484</v>
      </c>
      <c r="BZ140" s="87">
        <f>SUMIFS($AV$3:AV141,$Q$3:Q141,"O")</f>
        <v>224.93999999992729</v>
      </c>
    </row>
    <row r="141" spans="1:78" ht="18" customHeight="1">
      <c r="A141" s="45" t="s">
        <v>567</v>
      </c>
      <c r="B141" s="59">
        <v>45323</v>
      </c>
      <c r="C141" s="46" t="s">
        <v>568</v>
      </c>
      <c r="D141" s="46" t="s">
        <v>107</v>
      </c>
      <c r="E141" s="66" t="s">
        <v>569</v>
      </c>
      <c r="F141" s="47"/>
      <c r="G141" s="48"/>
      <c r="H141" s="49"/>
      <c r="I141" s="49"/>
      <c r="J141" s="49"/>
      <c r="K141" s="50"/>
      <c r="L141" s="49"/>
      <c r="M141" s="49"/>
      <c r="N141" s="49"/>
      <c r="O141" s="50"/>
      <c r="P141" s="50"/>
      <c r="Q141" s="50"/>
      <c r="R141" s="50"/>
      <c r="S141" s="50"/>
      <c r="T141" s="50"/>
      <c r="U141" s="50"/>
      <c r="V141" s="50"/>
      <c r="W141" s="50"/>
      <c r="X141" s="50"/>
      <c r="Y141" s="50"/>
      <c r="Z141" s="50"/>
      <c r="AA141" s="52"/>
      <c r="AB141" s="52"/>
      <c r="AC141" s="52"/>
      <c r="AD141" s="231"/>
      <c r="AE141" s="49"/>
      <c r="AF141" s="84"/>
      <c r="AG141" s="49"/>
      <c r="AH141" s="49"/>
      <c r="AI141" s="49"/>
      <c r="AJ141" s="226"/>
      <c r="AK141" s="49"/>
      <c r="AL141" s="113">
        <f t="shared" ref="AL141:AL142" si="35">-0.02*Z141</f>
        <v>0</v>
      </c>
      <c r="AM141" s="113">
        <f t="shared" ref="AM141:AM172" si="36">AL141*(R141-S141)</f>
        <v>0</v>
      </c>
      <c r="AN141" s="218"/>
      <c r="AO141" s="49"/>
      <c r="AP141" s="49"/>
      <c r="AQ141" s="84" t="str">
        <f>UPPER(RIGHT(Journal_Live[[#This Row],[DURATION ]]))</f>
        <v/>
      </c>
      <c r="AR141" s="49"/>
      <c r="AS141" s="55"/>
      <c r="AT141" s="55"/>
      <c r="AU141" s="54"/>
      <c r="AV141" s="56"/>
      <c r="AW141" s="57"/>
      <c r="AX141" s="96" t="s">
        <v>570</v>
      </c>
      <c r="AY141" s="96" t="s">
        <v>571</v>
      </c>
      <c r="AZ141" s="96" t="s">
        <v>572</v>
      </c>
      <c r="BA141" s="96"/>
      <c r="BB141" s="96"/>
      <c r="BC141" s="96"/>
      <c r="BD141" s="96"/>
      <c r="BE141" s="96"/>
      <c r="BF141" s="100"/>
      <c r="BG141" s="94">
        <f>SUM($AV$4:AV141)</f>
        <v>967.08816286816125</v>
      </c>
      <c r="BH141" s="95">
        <f>SUM($AU$4:AU141)</f>
        <v>9481.9799999997977</v>
      </c>
      <c r="BI141" s="80">
        <f>SUMIFS($AU$3:AU260,$Q$3:Q260,"F")</f>
        <v>9348.4000000000015</v>
      </c>
      <c r="BJ141" s="80">
        <f>SUMIFS($AU$3:AU260,$Q$3:Q260,"S")</f>
        <v>3279.9999999999918</v>
      </c>
      <c r="BK141" s="87">
        <f>SUMIFS($AU$3:AU260,$P$3:P260,"W")</f>
        <v>8717.579999999929</v>
      </c>
      <c r="BL141" s="87">
        <f>SUMIFS($AU$3:AU260,$P$3:P260,"R")</f>
        <v>4181.9999999999991</v>
      </c>
      <c r="BM141" s="87">
        <f>SUMIFS($AU$3:AU260,$AQ$3:AQ260,"M")</f>
        <v>5219.3799999995472</v>
      </c>
      <c r="BN141" s="87">
        <f>SUMIFS($AU$3:AU260,$AQ$3:AQ260,"H")</f>
        <v>2931.2000000002599</v>
      </c>
      <c r="BO141" s="87">
        <f>SUMIFS($AU$3:AU260,$AQ$3:AQ260,"D")</f>
        <v>1266.0000000000005</v>
      </c>
      <c r="BP141" s="87">
        <f>SUMIFS($AU$3:AU144,$AQ$3:AQ144,"W")</f>
        <v>1414.3999999999999</v>
      </c>
      <c r="BQ141" s="87">
        <f>SUMIFS($AU$3:AU142,$Q$3:Q142,"O")</f>
        <v>366.97999999978163</v>
      </c>
      <c r="BR141" s="87">
        <f>SUMIFS($AU$3:AU142,$AA$3:AA142,"*")</f>
        <v>8886.1999999996824</v>
      </c>
      <c r="BS141" s="87">
        <f>SUMIFS($AU$3:AU142,$AB$3:AB142,"*")</f>
        <v>2887.1799999999344</v>
      </c>
      <c r="BT141" s="87">
        <f>SUMIFS($AU$3:AU142,$AC$3:AC142,"*")</f>
        <v>4054.3999999999996</v>
      </c>
      <c r="BU141" s="87">
        <f>SUMIFS($AU$3:AU142,$AA$3:AA142,"*",$AB$3:AB142,"*")</f>
        <v>2511.9999999998245</v>
      </c>
      <c r="BV141" s="87">
        <f>SUMIFS($AU$3:AU142,$AA$3:AA142,"*",$AC$3:AC142,"*")</f>
        <v>3990.3999999999996</v>
      </c>
      <c r="BW141" s="87">
        <f>SUMIFS($AU$3:AU142,$AB$3:AB142,"*",$AC$3:AC142,"*")</f>
        <v>2223.9999999999995</v>
      </c>
      <c r="BX141" s="87">
        <f>SUMIFS($AV$3:AV142,$Q$3:Q142,"F")</f>
        <v>142.54906832298136</v>
      </c>
      <c r="BY141" s="87">
        <f>SUMIFS($AV$3:AV142,$Q$3:Q142,"S")</f>
        <v>271.59909454524484</v>
      </c>
      <c r="BZ141" s="87">
        <f>SUMIFS($AV$3:AV142,$Q$3:Q142,"O")</f>
        <v>172.73999999992532</v>
      </c>
    </row>
    <row r="142" spans="1:78" ht="18" customHeight="1">
      <c r="A142" s="45" t="s">
        <v>567</v>
      </c>
      <c r="B142" s="59">
        <v>45323</v>
      </c>
      <c r="C142" s="46" t="s">
        <v>573</v>
      </c>
      <c r="D142" s="46" t="s">
        <v>107</v>
      </c>
      <c r="E142" s="66"/>
      <c r="F142" s="47"/>
      <c r="G142" s="48" t="s">
        <v>195</v>
      </c>
      <c r="H142" s="49"/>
      <c r="I142" s="49"/>
      <c r="J142" s="49"/>
      <c r="K142" s="50"/>
      <c r="L142" s="49">
        <v>1</v>
      </c>
      <c r="M142" s="49"/>
      <c r="N142" s="49"/>
      <c r="O142" s="50" t="s">
        <v>196</v>
      </c>
      <c r="P142" s="50" t="s">
        <v>197</v>
      </c>
      <c r="Q142" s="50" t="s">
        <v>198</v>
      </c>
      <c r="R142" s="50">
        <v>3</v>
      </c>
      <c r="S142" s="50">
        <v>0</v>
      </c>
      <c r="T142" s="50">
        <v>1</v>
      </c>
      <c r="U142" s="50" t="s">
        <v>22</v>
      </c>
      <c r="V142" s="50"/>
      <c r="W142" s="50"/>
      <c r="X142" s="50"/>
      <c r="Y142" s="51">
        <f>IF(ISBLANK(O142),"",(IF(O142=UPPER("IB"),0.005,0.01)))</f>
        <v>0.01</v>
      </c>
      <c r="Z142" s="52">
        <f>IF(ISBLANK(O142),"",IF(O142="IB",8.63*200,IF(O142="IR",16*100,IF(O142="YT",20*100,IF(O142="YT-XT",24*200,IF(O142="TED",80*100,IF(O142="XT",29*200)))))))</f>
        <v>5800</v>
      </c>
      <c r="AA142" s="52" t="s">
        <v>574</v>
      </c>
      <c r="AB142" s="52"/>
      <c r="AC142" s="52"/>
      <c r="AD142" s="231">
        <v>95.992000000000004</v>
      </c>
      <c r="AE142" s="49"/>
      <c r="AF142" s="84"/>
      <c r="AG142" s="49"/>
      <c r="AH142" s="49"/>
      <c r="AI142" s="49"/>
      <c r="AJ142" s="226"/>
      <c r="AK142" s="49"/>
      <c r="AL142" s="113">
        <f t="shared" si="35"/>
        <v>-116</v>
      </c>
      <c r="AM142" s="113">
        <f t="shared" si="36"/>
        <v>-348</v>
      </c>
      <c r="AN142" s="218"/>
      <c r="AO142" s="49"/>
      <c r="AP142" s="49" t="s">
        <v>575</v>
      </c>
      <c r="AQ142" s="84" t="s">
        <v>350</v>
      </c>
      <c r="AR142" s="49"/>
      <c r="AS142" s="55">
        <v>95.983000000000004</v>
      </c>
      <c r="AT142" s="55">
        <f>IF(ISBLANK(AS142),,IF(U142="S",AD142-AS142,AS142-AD142))</f>
        <v>-9.0000000000003411E-3</v>
      </c>
      <c r="AU142" s="54">
        <f>AV142*R142</f>
        <v>-156.60000000000593</v>
      </c>
      <c r="AV142" s="56">
        <f>IF(ISBLANK(AS142),,(AT142*Z142))</f>
        <v>-52.200000000001978</v>
      </c>
      <c r="AW142" s="57" t="s">
        <v>121</v>
      </c>
      <c r="AX142" s="96" t="s">
        <v>576</v>
      </c>
      <c r="AY142" s="96" t="s">
        <v>577</v>
      </c>
      <c r="AZ142" s="96" t="s">
        <v>578</v>
      </c>
      <c r="BA142" s="96" t="s">
        <v>579</v>
      </c>
      <c r="BB142" s="96" t="s">
        <v>127</v>
      </c>
      <c r="BC142" s="96"/>
      <c r="BD142" s="96"/>
      <c r="BE142" s="96"/>
      <c r="BF142" s="100"/>
      <c r="BG142" s="94">
        <f>SUM($AV$4:AV142)</f>
        <v>914.88816286815927</v>
      </c>
      <c r="BH142" s="95">
        <f>SUM($AU$4:AU142)</f>
        <v>9325.3799999997918</v>
      </c>
      <c r="BI142" s="80">
        <f>SUMIFS($AU$3:AU260,$Q$3:Q260,"F")</f>
        <v>9348.4000000000015</v>
      </c>
      <c r="BJ142" s="80">
        <f>SUMIFS($AU$3:AU260,$Q$3:Q260,"S")</f>
        <v>3279.9999999999918</v>
      </c>
      <c r="BK142" s="87">
        <f>SUMIFS($AU$3:AU260,$P$3:P260,"W")</f>
        <v>8717.579999999929</v>
      </c>
      <c r="BL142" s="87">
        <f>SUMIFS($AU$3:AU260,$P$3:P260,"R")</f>
        <v>4181.9999999999991</v>
      </c>
      <c r="BM142" s="87">
        <f>SUMIFS($AU$3:AU260,$AQ$3:AQ260,"M")</f>
        <v>5219.3799999995472</v>
      </c>
      <c r="BN142" s="87">
        <f>SUMIFS($AU$3:AU260,$AQ$3:AQ260,"H")</f>
        <v>2931.2000000002599</v>
      </c>
      <c r="BO142" s="87">
        <f>SUMIFS($AU$3:AU260,$AQ$3:AQ260,"D")</f>
        <v>1266.0000000000005</v>
      </c>
      <c r="BP142" s="87">
        <f>SUMIFS($AU$3:AU145,$AQ$3:AQ145,"W")</f>
        <v>1414.3999999999999</v>
      </c>
      <c r="BQ142" s="87">
        <f>SUMIFS($AU$3:AU260,$Q$3:Q260,"O")</f>
        <v>1770.5799999998073</v>
      </c>
      <c r="BR142" s="87">
        <f>SUMIFS($AU$3:AU143,$AA$3:AA143,"*")</f>
        <v>8886.1999999996824</v>
      </c>
      <c r="BS142" s="87">
        <f>SUMIFS($AU$3:AU143,$AB$3:AB143,"*")</f>
        <v>2887.1799999999344</v>
      </c>
      <c r="BT142" s="87">
        <f>SUMIFS($AU$3:AU143,$AC$3:AC143,"*")</f>
        <v>4054.3999999999996</v>
      </c>
      <c r="BU142" s="87">
        <f>SUMIFS($AU$3:AU143,$AA$3:AA143,"*",$AB$3:AB143,"*")</f>
        <v>2511.9999999998245</v>
      </c>
      <c r="BV142" s="87">
        <f>SUMIFS($AU$3:AU143,$AA$3:AA143,"*",$AC$3:AC143,"*")</f>
        <v>3990.3999999999996</v>
      </c>
      <c r="BW142" s="87">
        <f>SUMIFS($AU$3:AU143,$AB$3:AB143,"*",$AC$3:AC143,"*")</f>
        <v>2223.9999999999995</v>
      </c>
      <c r="BX142" s="87">
        <f>SUMIFS($AV$3:AV143,$Q$3:Q143,"F")</f>
        <v>142.54906832298136</v>
      </c>
      <c r="BY142" s="87">
        <f>SUMIFS($AV$3:AV143,$Q$3:Q143,"S")</f>
        <v>271.59909454524484</v>
      </c>
      <c r="BZ142" s="87">
        <f>SUMIFS($AV$3:AV143,$Q$3:Q143,"O")</f>
        <v>172.73999999992532</v>
      </c>
    </row>
    <row r="143" spans="1:78" ht="18" customHeight="1">
      <c r="A143" s="45" t="s">
        <v>567</v>
      </c>
      <c r="B143" s="59">
        <v>45323</v>
      </c>
      <c r="C143" s="46" t="s">
        <v>229</v>
      </c>
      <c r="D143" s="46" t="s">
        <v>107</v>
      </c>
      <c r="E143" s="66"/>
      <c r="F143" s="47"/>
      <c r="G143" s="48" t="s">
        <v>227</v>
      </c>
      <c r="H143" s="49"/>
      <c r="I143" s="49"/>
      <c r="J143" s="49"/>
      <c r="K143" s="50"/>
      <c r="L143" s="49"/>
      <c r="M143" s="49">
        <v>1</v>
      </c>
      <c r="N143" s="49"/>
      <c r="O143" s="50"/>
      <c r="P143" s="50"/>
      <c r="Q143" s="50"/>
      <c r="R143" s="50"/>
      <c r="S143" s="50"/>
      <c r="T143" s="50"/>
      <c r="U143" s="50"/>
      <c r="V143" s="50"/>
      <c r="W143" s="50"/>
      <c r="X143" s="50"/>
      <c r="Y143" s="51"/>
      <c r="Z143" s="52"/>
      <c r="AA143" s="52"/>
      <c r="AB143" s="52"/>
      <c r="AC143" s="52"/>
      <c r="AD143" s="231"/>
      <c r="AE143" s="49"/>
      <c r="AF143" s="84"/>
      <c r="AG143" s="49"/>
      <c r="AH143" s="49"/>
      <c r="AI143" s="49"/>
      <c r="AJ143" s="226"/>
      <c r="AK143" s="49"/>
      <c r="AL143" s="113">
        <f t="shared" ref="AL143:AL145" si="37">-0.02*Z143</f>
        <v>0</v>
      </c>
      <c r="AM143" s="113">
        <f t="shared" si="36"/>
        <v>0</v>
      </c>
      <c r="AN143" s="218"/>
      <c r="AO143" s="49"/>
      <c r="AP143" s="49"/>
      <c r="AQ143" s="84" t="str">
        <f>UPPER(RIGHT(Journal_Live[[#This Row],[DURATION ]]))</f>
        <v/>
      </c>
      <c r="AR143" s="49"/>
      <c r="AS143" s="55"/>
      <c r="AT143" s="55"/>
      <c r="AU143" s="54"/>
      <c r="AV143" s="56"/>
      <c r="AW143" s="57"/>
      <c r="AX143" s="96"/>
      <c r="AY143" s="96"/>
      <c r="AZ143" s="96"/>
      <c r="BA143" s="96"/>
      <c r="BB143" s="96"/>
      <c r="BC143" s="96"/>
      <c r="BD143" s="96"/>
      <c r="BE143" s="96"/>
      <c r="BF143" s="100"/>
      <c r="BG143" s="94">
        <f>SUM($AV$4:AV143)</f>
        <v>914.88816286815927</v>
      </c>
      <c r="BH143" s="95">
        <f>SUM($AU$4:AU143)</f>
        <v>9325.3799999997918</v>
      </c>
      <c r="BI143" s="80">
        <f>SUMIFS($AU$3:AU144,$Q$3:Q144,"F")</f>
        <v>4438.3999999999996</v>
      </c>
      <c r="BJ143" s="80">
        <f>SUMIFS($AU$3:AU144,$Q$3:Q144,"S")</f>
        <v>4144.0000000000009</v>
      </c>
      <c r="BK143" s="87">
        <f>SUMIFS($AU$3:AU144,$P$3:P144,"W")</f>
        <v>6973.5799999999363</v>
      </c>
      <c r="BL143" s="87">
        <f>SUMIFS($AU$3:AU144,$P$3:P144,"R")</f>
        <v>2000.0000000000002</v>
      </c>
      <c r="BM143" s="87">
        <f>SUMIFS($AU$3:AU144,$AQ$3:AQ144,"M")</f>
        <v>2806.9799999997908</v>
      </c>
      <c r="BN143" s="87">
        <f>SUMIFS($AU$3:AU144,$AQ$3:AQ144,"H")</f>
        <v>3599.9999999999991</v>
      </c>
      <c r="BO143" s="87">
        <f>SUMIFS($AU$3:AU144,$AQ$3:AQ144,"D")</f>
        <v>1504.0000000000005</v>
      </c>
      <c r="BP143" s="87">
        <f>SUMIFS($AU$3:AU146,$AQ$3:AQ146,"W")</f>
        <v>1414.3999999999999</v>
      </c>
      <c r="BQ143" s="87">
        <f>SUMIFS($AU$3:AU144,$Q$3:Q144,"O")</f>
        <v>366.97999999978163</v>
      </c>
      <c r="BR143" s="87">
        <f>SUMIFS($AU$3:AU144,$AA$3:AA144,"*")</f>
        <v>8886.1999999996824</v>
      </c>
      <c r="BS143" s="87">
        <f>SUMIFS($AU$3:AU144,$AB$3:AB144,"*")</f>
        <v>2887.1799999999344</v>
      </c>
      <c r="BT143" s="87">
        <f>SUMIFS($AU$3:AU144,$AC$3:AC144,"*")</f>
        <v>4054.3999999999996</v>
      </c>
      <c r="BU143" s="87">
        <f>SUMIFS($AU$3:AU144,$AA$3:AA144,"*",$AB$3:AB144,"*")</f>
        <v>2511.9999999998245</v>
      </c>
      <c r="BV143" s="87">
        <f>SUMIFS($AU$3:AU144,$AA$3:AA144,"*",$AC$3:AC144,"*")</f>
        <v>3990.3999999999996</v>
      </c>
      <c r="BW143" s="87">
        <f>SUMIFS($AU$3:AU144,$AB$3:AB144,"*",$AC$3:AC144,"*")</f>
        <v>2223.9999999999995</v>
      </c>
      <c r="BX143" s="87">
        <f>SUMIFS($AV$3:AV144,$Q$3:Q144,"F")</f>
        <v>142.54906832298136</v>
      </c>
      <c r="BY143" s="87">
        <f>SUMIFS($AV$3:AV144,$Q$3:Q144,"S")</f>
        <v>271.59909454524484</v>
      </c>
      <c r="BZ143" s="87">
        <f>SUMIFS($AV$3:AV144,$Q$3:Q144,"O")</f>
        <v>172.73999999992532</v>
      </c>
    </row>
    <row r="144" spans="1:78" ht="18" customHeight="1">
      <c r="A144" s="45" t="s">
        <v>567</v>
      </c>
      <c r="B144" s="59">
        <v>45323</v>
      </c>
      <c r="C144" s="46" t="s">
        <v>229</v>
      </c>
      <c r="D144" s="46" t="s">
        <v>107</v>
      </c>
      <c r="E144" s="66"/>
      <c r="F144" s="47"/>
      <c r="G144" s="71" t="s">
        <v>295</v>
      </c>
      <c r="H144" s="49"/>
      <c r="I144" s="49"/>
      <c r="J144" s="49"/>
      <c r="K144" s="50"/>
      <c r="L144" s="49"/>
      <c r="M144" s="49">
        <v>1</v>
      </c>
      <c r="N144" s="49"/>
      <c r="O144" s="50" t="s">
        <v>100</v>
      </c>
      <c r="P144" s="50" t="s">
        <v>101</v>
      </c>
      <c r="Q144" s="50" t="s">
        <v>102</v>
      </c>
      <c r="R144" s="50">
        <v>22</v>
      </c>
      <c r="S144" s="50">
        <v>0</v>
      </c>
      <c r="T144" s="50">
        <v>22</v>
      </c>
      <c r="U144" s="50" t="s">
        <v>22</v>
      </c>
      <c r="V144" s="50"/>
      <c r="W144" s="50"/>
      <c r="X144" s="50"/>
      <c r="Y144" s="51">
        <f>IF(ISBLANK(O144),"",(IF(O144=UPPER("IB"),0.005,0.01)))</f>
        <v>0.01</v>
      </c>
      <c r="Z144" s="52">
        <f>IF(ISBLANK(O144),"",IF(O144="IB",8.63*200,IF(O144="IR",16*100,IF(O144="YT",20*100,IF(O144="YT-XT",24*200,IF(O144="TED",80*100))))))</f>
        <v>1600</v>
      </c>
      <c r="AA144" s="52" t="s">
        <v>580</v>
      </c>
      <c r="AB144" s="52"/>
      <c r="AC144" s="52" t="s">
        <v>405</v>
      </c>
      <c r="AD144" s="231">
        <v>-0.06</v>
      </c>
      <c r="AE144" s="49"/>
      <c r="AF144" s="84"/>
      <c r="AG144" s="49"/>
      <c r="AH144" s="49"/>
      <c r="AI144" s="49"/>
      <c r="AJ144" s="226"/>
      <c r="AK144" s="49"/>
      <c r="AL144" s="113">
        <f t="shared" si="37"/>
        <v>-32</v>
      </c>
      <c r="AM144" s="113">
        <f t="shared" si="36"/>
        <v>-704</v>
      </c>
      <c r="AN144" s="218"/>
      <c r="AO144" s="49"/>
      <c r="AP144" s="49" t="s">
        <v>279</v>
      </c>
      <c r="AQ144" s="84" t="s">
        <v>155</v>
      </c>
      <c r="AR144" s="49" t="s">
        <v>581</v>
      </c>
      <c r="AS144" s="55">
        <v>-0.06</v>
      </c>
      <c r="AT144" s="55">
        <f>IF(ISBLANK(AS144),,IF(U144="S",AD144-AS144,AS144-AD144))</f>
        <v>0</v>
      </c>
      <c r="AU144" s="54">
        <f>AV144*R144</f>
        <v>0</v>
      </c>
      <c r="AV144" s="56">
        <f>IF(ISBLANK(AS144),,(AT144*Z144))</f>
        <v>0</v>
      </c>
      <c r="AW144" s="57" t="s">
        <v>155</v>
      </c>
      <c r="AX144" s="96" t="s">
        <v>582</v>
      </c>
      <c r="AY144" s="96"/>
      <c r="AZ144" s="96"/>
      <c r="BA144" s="96"/>
      <c r="BB144" s="96"/>
      <c r="BC144" s="96"/>
      <c r="BD144" s="96"/>
      <c r="BE144" s="96"/>
      <c r="BF144" s="100"/>
      <c r="BG144" s="94">
        <f>SUM($AV$4:AV144)</f>
        <v>914.88816286815927</v>
      </c>
      <c r="BH144" s="95">
        <f>SUM($AU$4:AU144)</f>
        <v>9325.3799999997918</v>
      </c>
      <c r="BI144" s="80">
        <f>SUMIFS($AU$3:AU145,$Q$3:Q145,"F")</f>
        <v>4438.3999999999996</v>
      </c>
      <c r="BJ144" s="80">
        <f>SUMIFS($AU$3:AU145,$Q$3:Q145,"S")</f>
        <v>4144.0000000000009</v>
      </c>
      <c r="BK144" s="87">
        <f>SUMIFS($AU$3:AU145,$P$3:P145,"W")</f>
        <v>6973.5799999999363</v>
      </c>
      <c r="BL144" s="87">
        <f>SUMIFS($AU$3:AU145,$P$3:P145,"R")</f>
        <v>2000.0000000000002</v>
      </c>
      <c r="BM144" s="87">
        <f>SUMIFS($AU$3:AU145,$AQ$3:AQ145,"M")</f>
        <v>2806.9799999997908</v>
      </c>
      <c r="BN144" s="87">
        <f>SUMIFS($AU$3:AU145,$AQ$3:AQ145,"H")</f>
        <v>3599.9999999999991</v>
      </c>
      <c r="BO144" s="87">
        <f>SUMIFS($AU$3:AU145,$AQ$3:AQ145,"D")</f>
        <v>1504.0000000000005</v>
      </c>
      <c r="BP144" s="87">
        <f>SUMIFS($AU$3:AU147,$AQ$3:AQ147,"W")</f>
        <v>1414.3999999999999</v>
      </c>
      <c r="BQ144" s="87">
        <f>SUMIFS($AU$3:AU145,$Q$3:Q145,"O")</f>
        <v>366.97999999978163</v>
      </c>
      <c r="BR144" s="87">
        <f>SUMIFS($AU$3:AU145,$AA$3:AA145,"*")</f>
        <v>8886.1999999996824</v>
      </c>
      <c r="BS144" s="87">
        <f>SUMIFS($AU$3:AU145,$AB$3:AB145,"*")</f>
        <v>2887.1799999999344</v>
      </c>
      <c r="BT144" s="87">
        <f>SUMIFS($AU$3:AU145,$AC$3:AC145,"*")</f>
        <v>4054.3999999999996</v>
      </c>
      <c r="BU144" s="87">
        <f>SUMIFS($AU$3:AU145,$AA$3:AA145,"*",$AB$3:AB145,"*")</f>
        <v>2511.9999999998245</v>
      </c>
      <c r="BV144" s="87">
        <f>SUMIFS($AU$3:AU145,$AA$3:AA145,"*",$AC$3:AC145,"*")</f>
        <v>3990.3999999999996</v>
      </c>
      <c r="BW144" s="87">
        <f>SUMIFS($AU$3:AU145,$AB$3:AB145,"*",$AC$3:AC145,"*")</f>
        <v>2223.9999999999995</v>
      </c>
      <c r="BX144" s="87">
        <f>SUMIFS($AV$3:AV145,$Q$3:Q145,"F")</f>
        <v>142.54906832298136</v>
      </c>
      <c r="BY144" s="87">
        <f>SUMIFS($AV$3:AV145,$Q$3:Q145,"S")</f>
        <v>271.59909454524484</v>
      </c>
      <c r="BZ144" s="87">
        <f>SUMIFS($AV$3:AV145,$Q$3:Q145,"O")</f>
        <v>172.73999999992532</v>
      </c>
    </row>
    <row r="145" spans="1:78" ht="18" customHeight="1">
      <c r="A145" s="45" t="s">
        <v>567</v>
      </c>
      <c r="B145" s="59">
        <v>45323</v>
      </c>
      <c r="C145" s="46" t="s">
        <v>583</v>
      </c>
      <c r="D145" s="46" t="s">
        <v>107</v>
      </c>
      <c r="E145" s="66"/>
      <c r="F145" s="47"/>
      <c r="G145" s="48" t="s">
        <v>276</v>
      </c>
      <c r="H145" s="49"/>
      <c r="I145" s="49"/>
      <c r="J145" s="49"/>
      <c r="K145" s="50"/>
      <c r="L145" s="49"/>
      <c r="M145" s="49"/>
      <c r="N145" s="49"/>
      <c r="O145" s="50"/>
      <c r="P145" s="50"/>
      <c r="Q145" s="50"/>
      <c r="R145" s="50"/>
      <c r="S145" s="50"/>
      <c r="T145" s="50"/>
      <c r="U145" s="50"/>
      <c r="V145" s="50"/>
      <c r="W145" s="50"/>
      <c r="X145" s="50"/>
      <c r="Y145" s="51"/>
      <c r="Z145" s="52"/>
      <c r="AA145" s="52"/>
      <c r="AB145" s="52"/>
      <c r="AC145" s="52"/>
      <c r="AD145" s="231"/>
      <c r="AE145" s="49"/>
      <c r="AF145" s="84"/>
      <c r="AG145" s="49"/>
      <c r="AH145" s="49"/>
      <c r="AI145" s="49"/>
      <c r="AJ145" s="226"/>
      <c r="AK145" s="49"/>
      <c r="AL145" s="113">
        <f t="shared" si="37"/>
        <v>0</v>
      </c>
      <c r="AM145" s="113">
        <f t="shared" si="36"/>
        <v>0</v>
      </c>
      <c r="AN145" s="218"/>
      <c r="AO145" s="49"/>
      <c r="AP145" s="49"/>
      <c r="AQ145" s="84" t="str">
        <f>UPPER(RIGHT(Journal_Live[[#This Row],[DURATION ]]))</f>
        <v/>
      </c>
      <c r="AR145" s="49"/>
      <c r="AS145" s="55"/>
      <c r="AT145" s="55"/>
      <c r="AU145" s="54"/>
      <c r="AV145" s="56"/>
      <c r="AW145" s="57"/>
      <c r="AX145" s="96"/>
      <c r="AY145" s="96"/>
      <c r="AZ145" s="96"/>
      <c r="BA145" s="96"/>
      <c r="BB145" s="96"/>
      <c r="BC145" s="96"/>
      <c r="BD145" s="96"/>
      <c r="BE145" s="96"/>
      <c r="BF145" s="100"/>
      <c r="BG145" s="94">
        <f>SUM($AV$4:AV145)</f>
        <v>914.88816286815927</v>
      </c>
      <c r="BH145" s="95">
        <f>SUM($AU$4:AU145)</f>
        <v>9325.3799999997918</v>
      </c>
      <c r="BI145" s="80">
        <f>SUMIFS($AU$3:AU146,$Q$3:Q146,"F")</f>
        <v>4134.3999999999996</v>
      </c>
      <c r="BJ145" s="80">
        <f>SUMIFS($AU$3:AU146,$Q$3:Q146,"S")</f>
        <v>4144.0000000000009</v>
      </c>
      <c r="BK145" s="87">
        <f>SUMIFS($AU$3:AU146,$P$3:P146,"W")</f>
        <v>6669.5799999999363</v>
      </c>
      <c r="BL145" s="87">
        <f>SUMIFS($AU$3:AU146,$P$3:P146,"R")</f>
        <v>2000.0000000000002</v>
      </c>
      <c r="BM145" s="87">
        <f>SUMIFS($AU$3:AU146,$AQ$3:AQ146,"M")</f>
        <v>2806.9799999997908</v>
      </c>
      <c r="BN145" s="87">
        <f>SUMIFS($AU$3:AU146,$AQ$3:AQ146,"H")</f>
        <v>3599.9999999999991</v>
      </c>
      <c r="BO145" s="87">
        <f>SUMIFS($AU$3:AU146,$AQ$3:AQ146,"D")</f>
        <v>1504.0000000000005</v>
      </c>
      <c r="BP145" s="87">
        <f>SUMIFS($AU$3:AU148,$AQ$3:AQ148,"W")</f>
        <v>1414.3999999999999</v>
      </c>
      <c r="BQ145" s="87">
        <f>SUMIFS($AU$3:AU146,$Q$3:Q146,"O")</f>
        <v>366.97999999978163</v>
      </c>
      <c r="BR145" s="87">
        <f>SUMIFS($AU$3:AU146,$AA$3:AA146,"*")</f>
        <v>8582.1999999996824</v>
      </c>
      <c r="BS145" s="87">
        <f>SUMIFS($AU$3:AU146,$AB$3:AB146,"*")</f>
        <v>2583.1799999999344</v>
      </c>
      <c r="BT145" s="87">
        <f>SUMIFS($AU$3:AU146,$AC$3:AC146,"*")</f>
        <v>3750.3999999999996</v>
      </c>
      <c r="BU145" s="87">
        <f>SUMIFS($AU$3:AU146,$AA$3:AA146,"*",$AB$3:AB146,"*")</f>
        <v>2207.9999999998245</v>
      </c>
      <c r="BV145" s="87">
        <f>SUMIFS($AU$3:AU146,$AA$3:AA146,"*",$AC$3:AC146,"*")</f>
        <v>3686.3999999999996</v>
      </c>
      <c r="BW145" s="87">
        <f>SUMIFS($AU$3:AU146,$AB$3:AB146,"*",$AC$3:AC146,"*")</f>
        <v>1919.9999999999995</v>
      </c>
      <c r="BX145" s="87">
        <f>SUMIFS($AV$3:AV146,$Q$3:Q146,"F")</f>
        <v>126.54906832298136</v>
      </c>
      <c r="BY145" s="87">
        <f>SUMIFS($AV$3:AV146,$Q$3:Q146,"S")</f>
        <v>271.59909454524484</v>
      </c>
      <c r="BZ145" s="87">
        <f>SUMIFS($AV$3:AV146,$Q$3:Q146,"O")</f>
        <v>172.73999999992532</v>
      </c>
    </row>
    <row r="146" spans="1:78" ht="18" customHeight="1">
      <c r="A146" s="45" t="s">
        <v>567</v>
      </c>
      <c r="B146" s="59">
        <v>45323</v>
      </c>
      <c r="C146" s="46" t="s">
        <v>584</v>
      </c>
      <c r="D146" s="46" t="s">
        <v>107</v>
      </c>
      <c r="E146" s="66"/>
      <c r="F146" s="47"/>
      <c r="G146" s="71" t="s">
        <v>240</v>
      </c>
      <c r="H146" s="49"/>
      <c r="I146" s="49"/>
      <c r="J146" s="49"/>
      <c r="K146" s="50"/>
      <c r="L146" s="49"/>
      <c r="M146" s="49">
        <v>1</v>
      </c>
      <c r="N146" s="49"/>
      <c r="O146" s="50" t="s">
        <v>100</v>
      </c>
      <c r="P146" s="50" t="s">
        <v>101</v>
      </c>
      <c r="Q146" s="50" t="s">
        <v>127</v>
      </c>
      <c r="R146" s="50">
        <v>19</v>
      </c>
      <c r="S146" s="50">
        <v>0</v>
      </c>
      <c r="T146" s="50">
        <v>9</v>
      </c>
      <c r="U146" s="50" t="s">
        <v>102</v>
      </c>
      <c r="V146" s="50"/>
      <c r="W146" s="50"/>
      <c r="X146" s="50"/>
      <c r="Y146" s="51">
        <f>IF(ISBLANK(O146),"",(IF(O146=UPPER("IB"),0.005,0.01)))</f>
        <v>0.01</v>
      </c>
      <c r="Z146" s="52">
        <f>IF(ISBLANK(O146),"",IF(O146="IB",8.63*200,IF(O146="IR",16*100,IF(O146="YT",20*100,IF(O146="YT-XT",24*200,IF(O146="TED",80*100))))))</f>
        <v>1600</v>
      </c>
      <c r="AA146" s="52" t="s">
        <v>585</v>
      </c>
      <c r="AB146" s="52" t="s">
        <v>586</v>
      </c>
      <c r="AC146" s="52" t="s">
        <v>587</v>
      </c>
      <c r="AD146" s="231">
        <v>0.03</v>
      </c>
      <c r="AE146" s="49"/>
      <c r="AF146" s="84"/>
      <c r="AG146" s="49"/>
      <c r="AH146" s="49"/>
      <c r="AI146" s="49"/>
      <c r="AJ146" s="226"/>
      <c r="AK146" s="49"/>
      <c r="AL146" s="113">
        <f>-0.04*Z146</f>
        <v>-64</v>
      </c>
      <c r="AM146" s="113">
        <f t="shared" si="36"/>
        <v>-1216</v>
      </c>
      <c r="AN146" s="218"/>
      <c r="AO146" s="49"/>
      <c r="AP146" s="49"/>
      <c r="AQ146" s="84" t="str">
        <f>UPPER(RIGHT(Journal_Live[[#This Row],[DURATION ]]))</f>
        <v/>
      </c>
      <c r="AR146" s="49" t="s">
        <v>588</v>
      </c>
      <c r="AS146" s="55">
        <v>0.04</v>
      </c>
      <c r="AT146" s="55">
        <f>IF(ISBLANK(AS146),,IF(U146="S",AD146-AS146,AS146-AD146))</f>
        <v>-1.0000000000000002E-2</v>
      </c>
      <c r="AU146" s="54">
        <f>AV146*R146</f>
        <v>-304.00000000000006</v>
      </c>
      <c r="AV146" s="56">
        <f>IF(ISBLANK(AS146),,(AT146*Z146))</f>
        <v>-16.000000000000004</v>
      </c>
      <c r="AW146" s="57" t="s">
        <v>121</v>
      </c>
      <c r="AX146" s="96" t="s">
        <v>589</v>
      </c>
      <c r="AY146" s="96" t="s">
        <v>590</v>
      </c>
      <c r="AZ146" s="96" t="s">
        <v>274</v>
      </c>
      <c r="BA146" s="96" t="s">
        <v>591</v>
      </c>
      <c r="BB146" s="96"/>
      <c r="BC146" s="96"/>
      <c r="BD146" s="96"/>
      <c r="BE146" s="96"/>
      <c r="BF146" s="100"/>
      <c r="BG146" s="94">
        <f>SUM($AV$4:AV146)</f>
        <v>898.88816286815927</v>
      </c>
      <c r="BH146" s="95">
        <f>SUM($AU$4:AU146)</f>
        <v>9021.3799999997918</v>
      </c>
      <c r="BI146" s="80">
        <f>SUMIFS($AU$3:AU259,$Q$3:Q259,"F")</f>
        <v>9348.4000000000015</v>
      </c>
      <c r="BJ146" s="80">
        <f>SUMIFS($AU$3:AU259,$Q$3:Q259,"S")</f>
        <v>3279.9999999999918</v>
      </c>
      <c r="BK146" s="87">
        <f>SUMIFS($AU$3:AU259,$P$3:P259,"W")</f>
        <v>8717.579999999929</v>
      </c>
      <c r="BL146" s="87">
        <f>SUMIFS($AU$3:AU259,$P$3:P259,"R")</f>
        <v>4181.9999999999991</v>
      </c>
      <c r="BM146" s="87">
        <f>SUMIFS($AU$3:AU259,$AQ$3:AQ259,"M")</f>
        <v>5219.3799999995472</v>
      </c>
      <c r="BN146" s="87">
        <f>SUMIFS($AU$3:AU259,$AQ$3:AQ259,"H")</f>
        <v>2931.2000000002599</v>
      </c>
      <c r="BO146" s="87">
        <f>SUMIFS($AU$3:AU259,$AQ$3:AQ259,"D")</f>
        <v>1266.0000000000005</v>
      </c>
      <c r="BP146" s="87">
        <f>SUMIFS($AU$3:AU149,$AQ$3:AQ149,"W")</f>
        <v>1414.3999999999999</v>
      </c>
      <c r="BQ146" s="87">
        <f>SUMIFS($AU$3:AU259,$Q$3:Q259,"O")</f>
        <v>1770.5799999998073</v>
      </c>
      <c r="BR146" s="87">
        <f>SUMIFS($AU$3:AU147,$AA$3:AA147,"*")</f>
        <v>8582.1999999996824</v>
      </c>
      <c r="BS146" s="87">
        <f>SUMIFS($AU$3:AU147,$AB$3:AB147,"*")</f>
        <v>2583.1799999999344</v>
      </c>
      <c r="BT146" s="87">
        <f>SUMIFS($AU$3:AU147,$AC$3:AC147,"*")</f>
        <v>3750.3999999999996</v>
      </c>
      <c r="BU146" s="87">
        <f>SUMIFS($AU$3:AU147,$AA$3:AA147,"*",$AB$3:AB147,"*")</f>
        <v>2207.9999999998245</v>
      </c>
      <c r="BV146" s="87">
        <f>SUMIFS($AU$3:AU147,$AA$3:AA147,"*",$AC$3:AC147,"*")</f>
        <v>3686.3999999999996</v>
      </c>
      <c r="BW146" s="87">
        <f>SUMIFS($AU$3:AU147,$AB$3:AB147,"*",$AC$3:AC147,"*")</f>
        <v>1919.9999999999995</v>
      </c>
      <c r="BX146" s="87">
        <f>SUMIFS($AV$3:AV147,$Q$3:Q147,"F")</f>
        <v>126.54906832298136</v>
      </c>
      <c r="BY146" s="87">
        <f>SUMIFS($AV$3:AV147,$Q$3:Q147,"S")</f>
        <v>271.59909454524484</v>
      </c>
      <c r="BZ146" s="87">
        <f>SUMIFS($AV$3:AV147,$Q$3:Q147,"O")</f>
        <v>172.73999999992532</v>
      </c>
    </row>
    <row r="147" spans="1:78" ht="18" customHeight="1">
      <c r="A147" s="45" t="s">
        <v>567</v>
      </c>
      <c r="B147" s="59">
        <v>45323</v>
      </c>
      <c r="C147" s="46" t="s">
        <v>592</v>
      </c>
      <c r="D147" s="46" t="s">
        <v>107</v>
      </c>
      <c r="E147" s="66"/>
      <c r="F147" s="47"/>
      <c r="G147" s="71" t="s">
        <v>362</v>
      </c>
      <c r="H147" s="49"/>
      <c r="I147" s="49"/>
      <c r="J147" s="49"/>
      <c r="K147" s="50"/>
      <c r="L147" s="49">
        <v>1</v>
      </c>
      <c r="M147" s="49"/>
      <c r="N147" s="49"/>
      <c r="O147" s="50" t="s">
        <v>363</v>
      </c>
      <c r="P147" s="50" t="s">
        <v>126</v>
      </c>
      <c r="Q147" s="50"/>
      <c r="R147" s="50">
        <v>1</v>
      </c>
      <c r="S147" s="50">
        <v>0</v>
      </c>
      <c r="T147" s="50">
        <v>1</v>
      </c>
      <c r="U147" s="50" t="s">
        <v>102</v>
      </c>
      <c r="V147" s="50"/>
      <c r="W147" s="50"/>
      <c r="X147" s="50"/>
      <c r="Y147" s="51">
        <f>IF(ISBLANK(O147),"",(IF(O147=UPPER("IB"),0.005,0.01)))</f>
        <v>0.01</v>
      </c>
      <c r="Z147" s="52">
        <f>IF(ISBLANK(O147),"",IF(O147="IB",8.63*200,IF(O147="IR",16*100,IF(O147="YT",20*100,IF(O147="YT-XT",24*200,IF(O147="TED",80*100))))))</f>
        <v>8000</v>
      </c>
      <c r="AA147" s="52" t="s">
        <v>177</v>
      </c>
      <c r="AB147" s="52"/>
      <c r="AC147" s="52"/>
      <c r="AD147" s="231">
        <v>0</v>
      </c>
      <c r="AE147" s="49"/>
      <c r="AF147" s="84"/>
      <c r="AG147" s="49"/>
      <c r="AH147" s="49"/>
      <c r="AI147" s="49"/>
      <c r="AJ147" s="226"/>
      <c r="AK147" s="49"/>
      <c r="AL147" s="113">
        <f t="shared" ref="AL147:AL160" si="38">-0.02*Z147</f>
        <v>-160</v>
      </c>
      <c r="AM147" s="113">
        <f t="shared" si="36"/>
        <v>-160</v>
      </c>
      <c r="AN147" s="218"/>
      <c r="AO147" s="49"/>
      <c r="AP147" s="49" t="s">
        <v>593</v>
      </c>
      <c r="AQ147" s="84" t="s">
        <v>142</v>
      </c>
      <c r="AR147" s="49" t="s">
        <v>594</v>
      </c>
      <c r="AS147" s="55">
        <v>0</v>
      </c>
      <c r="AT147" s="55">
        <f>IF(ISBLANK(AS147),,IF(U147="S",AD147-AS147,AS147-AD147))</f>
        <v>0</v>
      </c>
      <c r="AU147" s="54">
        <f>AV147*R147</f>
        <v>0</v>
      </c>
      <c r="AV147" s="56">
        <f>IF(ISBLANK(AS147),,(AT147*Z147))</f>
        <v>0</v>
      </c>
      <c r="AW147" s="57" t="s">
        <v>155</v>
      </c>
      <c r="AX147" s="96"/>
      <c r="AY147" s="96"/>
      <c r="AZ147" s="96"/>
      <c r="BA147" s="96"/>
      <c r="BB147" s="96"/>
      <c r="BC147" s="96"/>
      <c r="BD147" s="96" t="s">
        <v>411</v>
      </c>
      <c r="BE147" s="96" t="s">
        <v>412</v>
      </c>
      <c r="BF147" s="100" t="s">
        <v>413</v>
      </c>
      <c r="BG147" s="94">
        <f>SUM($AV$4:AV147)</f>
        <v>898.88816286815927</v>
      </c>
      <c r="BH147" s="95">
        <f>SUM($AU$4:AU147)</f>
        <v>9021.3799999997918</v>
      </c>
      <c r="BI147" s="80">
        <f>SUMIFS($AU$3:AU148,$Q$3:Q148,"F")</f>
        <v>4326.4000000000005</v>
      </c>
      <c r="BJ147" s="80">
        <f>SUMIFS($AU$3:AU148,$Q$3:Q148,"S")</f>
        <v>4144.0000000000009</v>
      </c>
      <c r="BK147" s="87">
        <f>SUMIFS($AU$3:AU148,$P$3:P148,"W")</f>
        <v>6861.5799999999372</v>
      </c>
      <c r="BL147" s="87">
        <f>SUMIFS($AU$3:AU148,$P$3:P148,"R")</f>
        <v>2000.0000000000002</v>
      </c>
      <c r="BM147" s="87">
        <f>SUMIFS($AU$3:AU148,$AQ$3:AQ148,"M")</f>
        <v>2806.9799999997908</v>
      </c>
      <c r="BN147" s="87">
        <f>SUMIFS($AU$3:AU148,$AQ$3:AQ148,"H")</f>
        <v>3599.9999999999991</v>
      </c>
      <c r="BO147" s="87">
        <f>SUMIFS($AU$3:AU148,$AQ$3:AQ148,"D")</f>
        <v>1696.0000000000009</v>
      </c>
      <c r="BP147" s="87">
        <f>SUMIFS($AU$3:AU150,$AQ$3:AQ150,"W")</f>
        <v>1414.3999999999999</v>
      </c>
      <c r="BQ147" s="87">
        <f>SUMIFS($AU$3:AU148,$Q$3:Q148,"O")</f>
        <v>366.97999999978163</v>
      </c>
      <c r="BR147" s="87">
        <f>SUMIFS($AU$3:AU148,$AA$3:AA148,"*")</f>
        <v>8774.1999999996824</v>
      </c>
      <c r="BS147" s="87">
        <f>SUMIFS($AU$3:AU148,$AB$3:AB148,"*")</f>
        <v>2583.1799999999344</v>
      </c>
      <c r="BT147" s="87">
        <f>SUMIFS($AU$3:AU148,$AC$3:AC148,"*")</f>
        <v>3750.3999999999996</v>
      </c>
      <c r="BU147" s="87">
        <f>SUMIFS($AU$3:AU148,$AA$3:AA148,"*",$AB$3:AB148,"*")</f>
        <v>2207.9999999998245</v>
      </c>
      <c r="BV147" s="87">
        <f>SUMIFS($AU$3:AU148,$AA$3:AA148,"*",$AC$3:AC148,"*")</f>
        <v>3686.3999999999996</v>
      </c>
      <c r="BW147" s="87">
        <f>SUMIFS($AU$3:AU148,$AB$3:AB148,"*",$AC$3:AC148,"*")</f>
        <v>1919.9999999999995</v>
      </c>
      <c r="BX147" s="87">
        <f>SUMIFS($AV$3:AV148,$Q$3:Q148,"F")</f>
        <v>130.38906832298136</v>
      </c>
      <c r="BY147" s="87">
        <f>SUMIFS($AV$3:AV148,$Q$3:Q148,"S")</f>
        <v>271.59909454524484</v>
      </c>
      <c r="BZ147" s="87">
        <f>SUMIFS($AV$3:AV148,$Q$3:Q148,"O")</f>
        <v>172.73999999992532</v>
      </c>
    </row>
    <row r="148" spans="1:78" ht="18" customHeight="1">
      <c r="A148" s="45" t="s">
        <v>567</v>
      </c>
      <c r="B148" s="59">
        <v>45323</v>
      </c>
      <c r="C148" s="46" t="s">
        <v>595</v>
      </c>
      <c r="D148" s="46" t="s">
        <v>107</v>
      </c>
      <c r="E148" s="66"/>
      <c r="F148" s="47"/>
      <c r="G148" s="110" t="s">
        <v>527</v>
      </c>
      <c r="H148" s="49"/>
      <c r="I148" s="49"/>
      <c r="J148" s="49"/>
      <c r="K148" s="50"/>
      <c r="L148" s="49">
        <v>1</v>
      </c>
      <c r="M148" s="49">
        <v>1</v>
      </c>
      <c r="N148" s="49"/>
      <c r="O148" s="50" t="s">
        <v>100</v>
      </c>
      <c r="P148" s="50" t="s">
        <v>101</v>
      </c>
      <c r="Q148" s="50" t="s">
        <v>127</v>
      </c>
      <c r="R148" s="50">
        <v>50</v>
      </c>
      <c r="S148" s="50">
        <v>50</v>
      </c>
      <c r="T148" s="50">
        <v>16</v>
      </c>
      <c r="U148" s="50" t="s">
        <v>22</v>
      </c>
      <c r="V148" s="50"/>
      <c r="W148" s="50"/>
      <c r="X148" s="50"/>
      <c r="Y148" s="51">
        <f>IF(ISBLANK(O148),"",(IF(O148=UPPER("IB"),0.005,0.01)))</f>
        <v>0.01</v>
      </c>
      <c r="Z148" s="52">
        <f>IF(ISBLANK(O148),"",IF(O148="IB",8.63*200,IF(O148="IR",16*100,IF(O148="YT",20*100,IF(O148="YT-XT",24*200,IF(O148="TED",80*100))))))</f>
        <v>1600</v>
      </c>
      <c r="AA148" s="52" t="s">
        <v>596</v>
      </c>
      <c r="AB148" s="52"/>
      <c r="AC148" s="52"/>
      <c r="AD148" s="231">
        <f>((-0.04*32)+(-0.03*8)+(-0.01*10))/50</f>
        <v>-3.2400000000000005E-2</v>
      </c>
      <c r="AE148" s="49"/>
      <c r="AF148" s="84"/>
      <c r="AG148" s="49"/>
      <c r="AH148" s="49">
        <v>-2</v>
      </c>
      <c r="AI148" s="49"/>
      <c r="AJ148" s="226"/>
      <c r="AK148" s="49"/>
      <c r="AL148" s="113">
        <f t="shared" si="38"/>
        <v>-32</v>
      </c>
      <c r="AM148" s="113">
        <f t="shared" si="36"/>
        <v>0</v>
      </c>
      <c r="AN148" s="218"/>
      <c r="AO148" s="49"/>
      <c r="AP148" s="49" t="s">
        <v>265</v>
      </c>
      <c r="AQ148" s="84" t="s">
        <v>155</v>
      </c>
      <c r="AR148" s="49" t="s">
        <v>597</v>
      </c>
      <c r="AS148" s="55">
        <v>-0.03</v>
      </c>
      <c r="AT148" s="55">
        <f>IF(ISBLANK(AS148),,IF(U148="S",AD148-AS148,AS148-AD148))</f>
        <v>2.4000000000000063E-3</v>
      </c>
      <c r="AU148" s="54">
        <f>AV148*R148</f>
        <v>192.00000000000051</v>
      </c>
      <c r="AV148" s="56">
        <f>IF(ISBLANK(AS148),,(AT148*Z148))</f>
        <v>3.8400000000000101</v>
      </c>
      <c r="AW148" s="57" t="s">
        <v>101</v>
      </c>
      <c r="AX148" s="96" t="s">
        <v>598</v>
      </c>
      <c r="AY148" s="96"/>
      <c r="AZ148" s="96"/>
      <c r="BA148" s="96"/>
      <c r="BB148" s="96"/>
      <c r="BC148" s="96"/>
      <c r="BD148" s="96"/>
      <c r="BE148" s="96"/>
      <c r="BF148" s="100"/>
      <c r="BG148" s="94">
        <f>SUM($AV$4:AV148)</f>
        <v>902.7281628681593</v>
      </c>
      <c r="BH148" s="95">
        <f>SUM($AU$4:AU148)</f>
        <v>9213.3799999997918</v>
      </c>
      <c r="BI148" s="80">
        <f>SUMIFS($AU$3:AU148,$Q$3:Q148,"F")</f>
        <v>4326.4000000000005</v>
      </c>
      <c r="BJ148" s="80">
        <f>SUMIFS($AU$3:AU148,$Q$3:Q148,"S")</f>
        <v>4144.0000000000009</v>
      </c>
      <c r="BK148" s="87">
        <f>SUMIFS($AU$3:AU148,$P$3:P148,"W")</f>
        <v>6861.5799999999372</v>
      </c>
      <c r="BL148" s="87">
        <f>SUMIFS($AU$3:AU148,$P$3:P148,"R")</f>
        <v>2000.0000000000002</v>
      </c>
      <c r="BM148" s="87">
        <f>SUMIFS($AU$3:AU148,$AQ$3:AQ148,"M")</f>
        <v>2806.9799999997908</v>
      </c>
      <c r="BN148" s="87">
        <f>SUMIFS($AU$3:AU148,$AQ$3:AQ148,"H")</f>
        <v>3599.9999999999991</v>
      </c>
      <c r="BO148" s="87">
        <f>SUMIFS($AU$3:AU148,$AQ$3:AQ148,"D")</f>
        <v>1696.0000000000009</v>
      </c>
      <c r="BP148" s="87">
        <f>SUMIFS($AU$3:AU151,$AQ$3:AQ151,"W")</f>
        <v>1414.3999999999999</v>
      </c>
      <c r="BQ148" s="87">
        <f>SUMIFS($AU$3:AU148,$Q$3:Q148,"O")</f>
        <v>366.97999999978163</v>
      </c>
      <c r="BR148" s="87">
        <f>SUMIFS($AU$3:AU149,$AA$3:AA149,"*")</f>
        <v>9668.1999999996824</v>
      </c>
      <c r="BS148" s="87">
        <f>SUMIFS($AU$3:AU149,$AB$3:AB149,"*")</f>
        <v>2583.1799999999344</v>
      </c>
      <c r="BT148" s="87">
        <f>SUMIFS($AU$3:AU149,$AC$3:AC149,"*")</f>
        <v>4644.3999999999996</v>
      </c>
      <c r="BU148" s="87">
        <f>SUMIFS($AU$3:AU149,$AA$3:AA149,"*",$AB$3:AB149,"*")</f>
        <v>2207.9999999998245</v>
      </c>
      <c r="BV148" s="87">
        <f>SUMIFS($AU$3:AU149,$AA$3:AA149,"*",$AC$3:AC149,"*")</f>
        <v>4580.3999999999996</v>
      </c>
      <c r="BW148" s="87">
        <f>SUMIFS($AU$3:AU149,$AB$3:AB149,"*",$AC$3:AC149,"*")</f>
        <v>1919.9999999999995</v>
      </c>
      <c r="BX148" s="87">
        <f>SUMIFS($AV$3:AV149,$Q$3:Q149,"F")</f>
        <v>145.15829909221213</v>
      </c>
      <c r="BY148" s="87">
        <f>SUMIFS($AV$3:AV149,$Q$3:Q149,"S")</f>
        <v>271.59909454524484</v>
      </c>
      <c r="BZ148" s="87">
        <f>SUMIFS($AV$3:AV149,$Q$3:Q149,"O")</f>
        <v>172.73999999992532</v>
      </c>
    </row>
    <row r="149" spans="1:78" ht="18" customHeight="1">
      <c r="A149" s="45" t="s">
        <v>567</v>
      </c>
      <c r="B149" s="59">
        <v>45324</v>
      </c>
      <c r="C149" s="46" t="s">
        <v>599</v>
      </c>
      <c r="D149" s="46" t="s">
        <v>115</v>
      </c>
      <c r="E149" s="66"/>
      <c r="F149" s="47"/>
      <c r="G149" s="110" t="s">
        <v>600</v>
      </c>
      <c r="H149" s="49"/>
      <c r="I149" s="49"/>
      <c r="J149" s="49"/>
      <c r="K149" s="50"/>
      <c r="L149" s="49">
        <v>1</v>
      </c>
      <c r="M149" s="49"/>
      <c r="N149" s="49"/>
      <c r="O149" s="50" t="s">
        <v>100</v>
      </c>
      <c r="P149" s="50" t="s">
        <v>126</v>
      </c>
      <c r="Q149" s="50" t="s">
        <v>127</v>
      </c>
      <c r="R149" s="50">
        <v>65</v>
      </c>
      <c r="S149" s="50">
        <v>32</v>
      </c>
      <c r="T149" s="50">
        <v>33</v>
      </c>
      <c r="U149" s="50" t="s">
        <v>22</v>
      </c>
      <c r="V149" s="50"/>
      <c r="W149" s="50"/>
      <c r="X149" s="50"/>
      <c r="Y149" s="51">
        <f>IF(ISBLANK(O149),"",(IF(O149=UPPER("IB"),0.005,0.01)))</f>
        <v>0.01</v>
      </c>
      <c r="Z149" s="52">
        <f>IF(ISBLANK(O149),"",IF(O149="IB",8.63*200,IF(O149="IR",16*100,IF(O149="YT",20*100,IF(O149="YT-XT",24*200,IF(O149="TED",80*100))))))</f>
        <v>1600</v>
      </c>
      <c r="AA149" s="52" t="s">
        <v>256</v>
      </c>
      <c r="AB149" s="52"/>
      <c r="AC149" s="52" t="s">
        <v>408</v>
      </c>
      <c r="AD149" s="231">
        <v>-0.04</v>
      </c>
      <c r="AE149" s="49"/>
      <c r="AF149" s="84"/>
      <c r="AG149" s="49"/>
      <c r="AH149" s="49"/>
      <c r="AI149" s="49"/>
      <c r="AJ149" s="226"/>
      <c r="AK149" s="49"/>
      <c r="AL149" s="113">
        <f t="shared" si="38"/>
        <v>-32</v>
      </c>
      <c r="AM149" s="113">
        <f t="shared" si="36"/>
        <v>-1056</v>
      </c>
      <c r="AN149" s="218"/>
      <c r="AO149" s="49"/>
      <c r="AP149" s="49" t="s">
        <v>297</v>
      </c>
      <c r="AQ149" s="84" t="s">
        <v>155</v>
      </c>
      <c r="AR149" s="49" t="s">
        <v>601</v>
      </c>
      <c r="AS149" s="55">
        <f>((-0.03*60)+(-0.04*5))/65</f>
        <v>-3.0769230769230767E-2</v>
      </c>
      <c r="AT149" s="55">
        <f>IF(ISBLANK(AS149),,IF(U149="S",AD149-AS149,AS149-AD149))</f>
        <v>9.2307692307692334E-3</v>
      </c>
      <c r="AU149" s="54">
        <f>AV149*R149-66</f>
        <v>894.00000000000023</v>
      </c>
      <c r="AV149" s="56">
        <f>IF(ISBLANK(AS149),,(AT149*Z149))</f>
        <v>14.769230769230774</v>
      </c>
      <c r="AW149" s="57" t="s">
        <v>101</v>
      </c>
      <c r="AX149" s="96" t="s">
        <v>602</v>
      </c>
      <c r="AY149" s="96"/>
      <c r="AZ149" s="96"/>
      <c r="BA149" s="96" t="s">
        <v>603</v>
      </c>
      <c r="BB149" s="96" t="s">
        <v>604</v>
      </c>
      <c r="BC149" s="96"/>
      <c r="BD149" s="96"/>
      <c r="BE149" s="96"/>
      <c r="BF149" s="100"/>
      <c r="BG149" s="94">
        <f>SUM($AV$4:AV149)</f>
        <v>917.49739363739013</v>
      </c>
      <c r="BH149" s="95">
        <f>SUM($AU$4:AU149)</f>
        <v>10107.379999999792</v>
      </c>
      <c r="BI149" s="80">
        <f>SUMIFS($AU$3:AU150,$Q$3:Q150,"F")</f>
        <v>5220.4000000000005</v>
      </c>
      <c r="BJ149" s="80">
        <f>SUMIFS($AU$3:AU150,$Q$3:Q150,"S")</f>
        <v>4432</v>
      </c>
      <c r="BK149" s="87">
        <f>SUMIFS($AU$3:AU150,$P$3:P150,"W")</f>
        <v>7149.5799999999363</v>
      </c>
      <c r="BL149" s="87">
        <f>SUMIFS($AU$3:AU150,$P$3:P150,"R")</f>
        <v>2894.0000000000005</v>
      </c>
      <c r="BM149" s="87">
        <f>SUMIFS($AU$3:AU150,$AQ$3:AQ150,"M")</f>
        <v>2806.9799999997908</v>
      </c>
      <c r="BN149" s="87">
        <f>SUMIFS($AU$3:AU150,$AQ$3:AQ150,"H")</f>
        <v>3887.9999999999986</v>
      </c>
      <c r="BO149" s="87">
        <f>SUMIFS($AU$3:AU150,$AQ$3:AQ150,"D")</f>
        <v>2590.0000000000009</v>
      </c>
      <c r="BP149" s="87">
        <f>SUMIFS($AU$3:AU152,$AQ$3:AQ152,"W")</f>
        <v>1414.3999999999999</v>
      </c>
      <c r="BQ149" s="87">
        <f>SUMIFS($AU$3:AU150,$Q$3:Q150,"O")</f>
        <v>366.97999999978163</v>
      </c>
      <c r="BR149" s="87">
        <f>SUMIFS($AU$3:AU150,$AA$3:AA150,"*")</f>
        <v>9956.1999999996824</v>
      </c>
      <c r="BS149" s="87">
        <f>SUMIFS($AU$3:AU150,$AB$3:AB150,"*")</f>
        <v>2871.1799999999339</v>
      </c>
      <c r="BT149" s="87">
        <f>SUMIFS($AU$3:AU150,$AC$3:AC150,"*")</f>
        <v>4644.3999999999996</v>
      </c>
      <c r="BU149" s="87">
        <f>SUMIFS($AU$3:AU150,$AA$3:AA150,"*",$AB$3:AB150,"*")</f>
        <v>2495.999999999824</v>
      </c>
      <c r="BV149" s="87">
        <f>SUMIFS($AU$3:AU150,$AA$3:AA150,"*",$AC$3:AC150,"*")</f>
        <v>4580.3999999999996</v>
      </c>
      <c r="BW149" s="87">
        <f>SUMIFS($AU$3:AU150,$AB$3:AB150,"*",$AC$3:AC150,"*")</f>
        <v>1919.9999999999995</v>
      </c>
      <c r="BX149" s="87">
        <f>SUMIFS($AV$3:AV150,$Q$3:Q150,"F")</f>
        <v>145.15829909221213</v>
      </c>
      <c r="BY149" s="87">
        <f>SUMIFS($AV$3:AV150,$Q$3:Q150,"S")</f>
        <v>287.59909454524478</v>
      </c>
      <c r="BZ149" s="87">
        <f>SUMIFS($AV$3:AV150,$Q$3:Q150,"O")</f>
        <v>172.73999999992532</v>
      </c>
    </row>
    <row r="150" spans="1:78" ht="18" customHeight="1">
      <c r="A150" s="45" t="s">
        <v>567</v>
      </c>
      <c r="B150" s="59">
        <v>45324</v>
      </c>
      <c r="C150" s="46" t="s">
        <v>605</v>
      </c>
      <c r="D150" s="46" t="s">
        <v>115</v>
      </c>
      <c r="E150" s="66"/>
      <c r="F150" s="47"/>
      <c r="G150" s="71" t="s">
        <v>111</v>
      </c>
      <c r="H150" s="49"/>
      <c r="I150" s="49"/>
      <c r="J150" s="49"/>
      <c r="K150" s="50"/>
      <c r="L150" s="49">
        <v>1</v>
      </c>
      <c r="M150" s="49">
        <v>1</v>
      </c>
      <c r="N150" s="49"/>
      <c r="O150" s="50" t="s">
        <v>100</v>
      </c>
      <c r="P150" s="50" t="s">
        <v>101</v>
      </c>
      <c r="Q150" s="50" t="s">
        <v>102</v>
      </c>
      <c r="R150" s="50">
        <v>18</v>
      </c>
      <c r="S150" s="50">
        <v>0</v>
      </c>
      <c r="T150" s="50">
        <v>18</v>
      </c>
      <c r="U150" s="50" t="s">
        <v>102</v>
      </c>
      <c r="V150" s="50"/>
      <c r="W150" s="50"/>
      <c r="X150" s="50"/>
      <c r="Y150" s="51">
        <f>IF(ISBLANK(O150),"",(IF(O150=UPPER("IB"),0.005,0.01)))</f>
        <v>0.01</v>
      </c>
      <c r="Z150" s="52">
        <f>IF(ISBLANK(O150),"",IF(O150="IB",8.63*200,IF(O150="IR",16*100,IF(O150="YT",20*100,IF(O150="YT-XT",24*200,IF(O150="TED",80*100))))))</f>
        <v>1600</v>
      </c>
      <c r="AA150" s="52" t="s">
        <v>580</v>
      </c>
      <c r="AB150" s="97" t="s">
        <v>606</v>
      </c>
      <c r="AC150" s="52"/>
      <c r="AD150" s="231">
        <v>-0.17</v>
      </c>
      <c r="AE150" s="49"/>
      <c r="AF150" s="84"/>
      <c r="AG150" s="49"/>
      <c r="AH150" s="49"/>
      <c r="AI150" s="49"/>
      <c r="AJ150" s="226"/>
      <c r="AK150" s="49"/>
      <c r="AL150" s="113">
        <f t="shared" si="38"/>
        <v>-32</v>
      </c>
      <c r="AM150" s="113">
        <f t="shared" si="36"/>
        <v>-576</v>
      </c>
      <c r="AN150" s="218"/>
      <c r="AO150" s="49"/>
      <c r="AP150" s="49" t="s">
        <v>607</v>
      </c>
      <c r="AQ150" s="84" t="s">
        <v>142</v>
      </c>
      <c r="AR150" s="49" t="s">
        <v>608</v>
      </c>
      <c r="AS150" s="55">
        <v>-0.18</v>
      </c>
      <c r="AT150" s="55">
        <f>IF(ISBLANK(AS150),,IF(U150="S",AD150-AS150,AS150-AD150))</f>
        <v>9.9999999999999811E-3</v>
      </c>
      <c r="AU150" s="54">
        <f>AV150*R150</f>
        <v>287.99999999999943</v>
      </c>
      <c r="AV150" s="56">
        <f>IF(ISBLANK(AS150),,(AT150*Z150))</f>
        <v>15.99999999999997</v>
      </c>
      <c r="AW150" s="57" t="s">
        <v>101</v>
      </c>
      <c r="AX150" s="96"/>
      <c r="AY150" s="96"/>
      <c r="AZ150" s="96"/>
      <c r="BA150" s="96"/>
      <c r="BB150" s="96"/>
      <c r="BC150" s="96"/>
      <c r="BD150" s="96"/>
      <c r="BE150" s="96"/>
      <c r="BF150" s="100"/>
      <c r="BG150" s="94">
        <f>SUM($AV$4:AV150)</f>
        <v>933.49739363739013</v>
      </c>
      <c r="BH150" s="95">
        <f>SUM($AU$4:AU150)</f>
        <v>10395.379999999792</v>
      </c>
      <c r="BI150" s="80">
        <f>SUMIFS($AU$3:AU151,$Q$3:Q151,"F")</f>
        <v>5220.4000000000005</v>
      </c>
      <c r="BJ150" s="80">
        <f>SUMIFS($AU$3:AU151,$Q$3:Q151,"S")</f>
        <v>4432</v>
      </c>
      <c r="BK150" s="87">
        <f>SUMIFS($AU$3:AU151,$P$3:P151,"W")</f>
        <v>7149.5799999999363</v>
      </c>
      <c r="BL150" s="87">
        <f>SUMIFS($AU$3:AU151,$P$3:P151,"R")</f>
        <v>2894.0000000000005</v>
      </c>
      <c r="BM150" s="87">
        <f>SUMIFS($AU$3:AU151,$AQ$3:AQ151,"M")</f>
        <v>2806.9799999997908</v>
      </c>
      <c r="BN150" s="87">
        <f>SUMIFS($AU$3:AU151,$AQ$3:AQ151,"H")</f>
        <v>3887.9999999999986</v>
      </c>
      <c r="BO150" s="87">
        <f>SUMIFS($AU$3:AU151,$AQ$3:AQ151,"D")</f>
        <v>2590.0000000000009</v>
      </c>
      <c r="BP150" s="87">
        <f>SUMIFS($AU$3:AU153,$AQ$3:AQ153,"W")</f>
        <v>1414.3999999999999</v>
      </c>
      <c r="BQ150" s="87">
        <f>SUMIFS($AU$3:AU151,$Q$3:Q151,"O")</f>
        <v>366.97999999978163</v>
      </c>
      <c r="BR150" s="87">
        <f>SUMIFS($AU$3:AU151,$AA$3:AA151,"*")</f>
        <v>9956.1999999996824</v>
      </c>
      <c r="BS150" s="87">
        <f>SUMIFS($AU$3:AU151,$AB$3:AB151,"*")</f>
        <v>2871.1799999999339</v>
      </c>
      <c r="BT150" s="87">
        <f>SUMIFS($AU$3:AU151,$AC$3:AC151,"*")</f>
        <v>4644.3999999999996</v>
      </c>
      <c r="BU150" s="87">
        <f>SUMIFS($AU$3:AU151,$AA$3:AA151,"*",$AB$3:AB151,"*")</f>
        <v>2495.999999999824</v>
      </c>
      <c r="BV150" s="87">
        <f>SUMIFS($AU$3:AU151,$AA$3:AA151,"*",$AC$3:AC151,"*")</f>
        <v>4580.3999999999996</v>
      </c>
      <c r="BW150" s="87">
        <f>SUMIFS($AU$3:AU151,$AB$3:AB151,"*",$AC$3:AC151,"*")</f>
        <v>1919.9999999999995</v>
      </c>
      <c r="BX150" s="87">
        <f>SUMIFS($AV$3:AV151,$Q$3:Q151,"F")</f>
        <v>145.15829909221213</v>
      </c>
      <c r="BY150" s="87">
        <f>SUMIFS($AV$3:AV151,$Q$3:Q151,"S")</f>
        <v>287.59909454524478</v>
      </c>
      <c r="BZ150" s="87">
        <f>SUMIFS($AV$3:AV151,$Q$3:Q151,"O")</f>
        <v>172.73999999992532</v>
      </c>
    </row>
    <row r="151" spans="1:78" ht="18" customHeight="1">
      <c r="A151" s="45" t="s">
        <v>567</v>
      </c>
      <c r="B151" s="59"/>
      <c r="C151" s="46"/>
      <c r="D151" s="46"/>
      <c r="E151" s="66"/>
      <c r="F151" s="47"/>
      <c r="G151" s="48"/>
      <c r="H151" s="49"/>
      <c r="I151" s="49"/>
      <c r="J151" s="49"/>
      <c r="K151" s="50"/>
      <c r="L151" s="49"/>
      <c r="M151" s="49"/>
      <c r="N151" s="49"/>
      <c r="O151" s="50"/>
      <c r="P151" s="50"/>
      <c r="Q151" s="50"/>
      <c r="R151" s="50"/>
      <c r="S151" s="50"/>
      <c r="T151" s="50"/>
      <c r="U151" s="50"/>
      <c r="V151" s="50"/>
      <c r="W151" s="50"/>
      <c r="X151" s="50"/>
      <c r="Y151" s="50"/>
      <c r="Z151" s="50"/>
      <c r="AA151" s="52"/>
      <c r="AB151" s="52"/>
      <c r="AC151" s="52"/>
      <c r="AD151" s="231"/>
      <c r="AE151" s="49"/>
      <c r="AF151" s="84"/>
      <c r="AG151" s="49"/>
      <c r="AH151" s="49"/>
      <c r="AI151" s="49"/>
      <c r="AJ151" s="226"/>
      <c r="AK151" s="49"/>
      <c r="AL151" s="113">
        <f t="shared" si="38"/>
        <v>0</v>
      </c>
      <c r="AM151" s="113">
        <f t="shared" si="36"/>
        <v>0</v>
      </c>
      <c r="AN151" s="218"/>
      <c r="AO151" s="49"/>
      <c r="AP151" s="49"/>
      <c r="AQ151" s="84" t="str">
        <f>UPPER(RIGHT(Journal_Live[[#This Row],[DURATION ]]))</f>
        <v/>
      </c>
      <c r="AR151" s="49"/>
      <c r="AS151" s="55"/>
      <c r="AT151" s="55"/>
      <c r="AU151" s="54"/>
      <c r="AV151" s="56"/>
      <c r="AW151" s="57"/>
      <c r="AX151" s="96" t="s">
        <v>609</v>
      </c>
      <c r="AY151" s="96" t="s">
        <v>610</v>
      </c>
      <c r="AZ151" s="133" t="s">
        <v>611</v>
      </c>
      <c r="BA151" s="133" t="s">
        <v>612</v>
      </c>
      <c r="BB151" s="133" t="s">
        <v>613</v>
      </c>
      <c r="BC151" s="133"/>
      <c r="BD151" s="96"/>
      <c r="BE151" s="96"/>
      <c r="BF151" s="100"/>
      <c r="BG151" s="94">
        <f>SUM($AV$4:AV151)</f>
        <v>933.49739363739013</v>
      </c>
      <c r="BH151" s="95">
        <f>SUM($AU$4:AU151)</f>
        <v>10395.379999999792</v>
      </c>
      <c r="BI151" s="80">
        <f>SUMIFS($AU$3:AU152,$Q$3:Q152,"F")</f>
        <v>5220.4000000000005</v>
      </c>
      <c r="BJ151" s="80">
        <f>SUMIFS($AU$3:AU152,$Q$3:Q152,"S")</f>
        <v>4432</v>
      </c>
      <c r="BK151" s="87">
        <f>SUMIFS($AU$3:AU152,$P$3:P152,"W")</f>
        <v>7149.5799999999363</v>
      </c>
      <c r="BL151" s="87">
        <f>SUMIFS($AU$3:AU152,$P$3:P152,"R")</f>
        <v>2894.0000000000005</v>
      </c>
      <c r="BM151" s="87">
        <f>SUMIFS($AU$3:AU152,$AQ$3:AQ152,"M")</f>
        <v>2806.9799999997908</v>
      </c>
      <c r="BN151" s="87">
        <f>SUMIFS($AU$3:AU152,$AQ$3:AQ152,"H")</f>
        <v>3887.9999999999986</v>
      </c>
      <c r="BO151" s="87">
        <f>SUMIFS($AU$3:AU152,$AQ$3:AQ152,"D")</f>
        <v>2590.0000000000009</v>
      </c>
      <c r="BP151" s="87">
        <f>SUMIFS($AU$3:AU154,$AQ$3:AQ154,"W")</f>
        <v>1414.3999999999999</v>
      </c>
      <c r="BQ151" s="87">
        <f>SUMIFS($AU$3:AU152,$Q$3:Q152,"O")</f>
        <v>366.97999999978163</v>
      </c>
      <c r="BR151" s="87">
        <f>SUMIFS($AU$3:AU152,$AA$3:AA152,"*")</f>
        <v>9956.1999999996824</v>
      </c>
      <c r="BS151" s="87">
        <f>SUMIFS($AU$3:AU152,$AB$3:AB152,"*")</f>
        <v>2871.1799999999339</v>
      </c>
      <c r="BT151" s="87">
        <f>SUMIFS($AU$3:AU152,$AC$3:AC152,"*")</f>
        <v>4644.3999999999996</v>
      </c>
      <c r="BU151" s="87">
        <f>SUMIFS($AU$3:AU152,$AA$3:AA152,"*",$AB$3:AB152,"*")</f>
        <v>2495.999999999824</v>
      </c>
      <c r="BV151" s="87">
        <f>SUMIFS($AU$3:AU152,$AA$3:AA152,"*",$AC$3:AC152,"*")</f>
        <v>4580.3999999999996</v>
      </c>
      <c r="BW151" s="87">
        <f>SUMIFS($AU$3:AU152,$AB$3:AB152,"*",$AC$3:AC152,"*")</f>
        <v>1919.9999999999995</v>
      </c>
      <c r="BX151" s="87">
        <f>SUMIFS($AV$3:AV152,$Q$3:Q152,"F")</f>
        <v>145.15829909221213</v>
      </c>
      <c r="BY151" s="87">
        <f>SUMIFS($AV$3:AV152,$Q$3:Q152,"S")</f>
        <v>287.59909454524478</v>
      </c>
      <c r="BZ151" s="87">
        <f>SUMIFS($AV$3:AV152,$Q$3:Q152,"O")</f>
        <v>172.73999999992532</v>
      </c>
    </row>
    <row r="152" spans="1:78" ht="18" customHeight="1">
      <c r="A152" s="45" t="s">
        <v>567</v>
      </c>
      <c r="B152" s="59"/>
      <c r="C152" s="46"/>
      <c r="D152" s="46"/>
      <c r="E152" s="66"/>
      <c r="F152" s="47"/>
      <c r="G152" s="48"/>
      <c r="H152" s="49"/>
      <c r="I152" s="49"/>
      <c r="J152" s="49"/>
      <c r="K152" s="50"/>
      <c r="L152" s="49"/>
      <c r="M152" s="49"/>
      <c r="N152" s="49"/>
      <c r="O152" s="50"/>
      <c r="P152" s="50"/>
      <c r="Q152" s="50"/>
      <c r="R152" s="50"/>
      <c r="S152" s="50"/>
      <c r="T152" s="50"/>
      <c r="U152" s="50"/>
      <c r="V152" s="50"/>
      <c r="W152" s="50"/>
      <c r="X152" s="50"/>
      <c r="Y152" s="50"/>
      <c r="Z152" s="50"/>
      <c r="AA152" s="52"/>
      <c r="AB152" s="52"/>
      <c r="AC152" s="52"/>
      <c r="AD152" s="231"/>
      <c r="AE152" s="49"/>
      <c r="AF152" s="84"/>
      <c r="AG152" s="49"/>
      <c r="AH152" s="49"/>
      <c r="AI152" s="49"/>
      <c r="AJ152" s="226"/>
      <c r="AK152" s="49"/>
      <c r="AL152" s="113">
        <f t="shared" si="38"/>
        <v>0</v>
      </c>
      <c r="AM152" s="113">
        <f t="shared" si="36"/>
        <v>0</v>
      </c>
      <c r="AN152" s="218"/>
      <c r="AO152" s="49"/>
      <c r="AP152" s="49"/>
      <c r="AQ152" s="84" t="str">
        <f>UPPER(RIGHT(Journal_Live[[#This Row],[DURATION ]]))</f>
        <v/>
      </c>
      <c r="AR152" s="49"/>
      <c r="AS152" s="55"/>
      <c r="AT152" s="55"/>
      <c r="AU152" s="54"/>
      <c r="AV152" s="56"/>
      <c r="AW152" s="57"/>
      <c r="AX152" s="96" t="s">
        <v>614</v>
      </c>
      <c r="AY152" s="96" t="s">
        <v>615</v>
      </c>
      <c r="AZ152" s="133" t="s">
        <v>616</v>
      </c>
      <c r="BA152" s="133" t="s">
        <v>617</v>
      </c>
      <c r="BB152" s="133"/>
      <c r="BC152" s="133"/>
      <c r="BD152" s="99" t="s">
        <v>618</v>
      </c>
      <c r="BE152" s="96"/>
      <c r="BF152" s="100"/>
      <c r="BG152" s="94">
        <f>SUM($AV$4:AV152)</f>
        <v>933.49739363739013</v>
      </c>
      <c r="BH152" s="95">
        <f>SUM($AU$4:AU152)</f>
        <v>10395.379999999792</v>
      </c>
      <c r="BI152" s="80">
        <f>SUMIFS($AU$3:AU153,$Q$3:Q153,"F")</f>
        <v>5220.4000000000005</v>
      </c>
      <c r="BJ152" s="80">
        <f>SUMIFS($AU$3:AU153,$Q$3:Q153,"S")</f>
        <v>4432</v>
      </c>
      <c r="BK152" s="87">
        <f>SUMIFS($AU$3:AU153,$P$3:P153,"W")</f>
        <v>7149.5799999999363</v>
      </c>
      <c r="BL152" s="87">
        <f>SUMIFS($AU$3:AU153,$P$3:P153,"R")</f>
        <v>2894.0000000000005</v>
      </c>
      <c r="BM152" s="87">
        <f>SUMIFS($AU$3:AU153,$AQ$3:AQ153,"M")</f>
        <v>2806.9799999997908</v>
      </c>
      <c r="BN152" s="87">
        <f>SUMIFS($AU$3:AU153,$AQ$3:AQ153,"H")</f>
        <v>3887.9999999999986</v>
      </c>
      <c r="BO152" s="87">
        <f>SUMIFS($AU$3:AU153,$AQ$3:AQ153,"D")</f>
        <v>2590.0000000000009</v>
      </c>
      <c r="BP152" s="87">
        <f>SUMIFS($AU$3:AU155,$AQ$3:AQ155,"W")</f>
        <v>1414.3999999999999</v>
      </c>
      <c r="BQ152" s="87">
        <f>SUMIFS($AU$3:AU153,$Q$3:Q153,"O")</f>
        <v>366.97999999978163</v>
      </c>
      <c r="BR152" s="87">
        <f>SUMIFS($AU$3:AU153,$AA$3:AA153,"*")</f>
        <v>9956.1999999996824</v>
      </c>
      <c r="BS152" s="87">
        <f>SUMIFS($AU$3:AU153,$AB$3:AB153,"*")</f>
        <v>2871.1799999999339</v>
      </c>
      <c r="BT152" s="87">
        <f>SUMIFS($AU$3:AU153,$AC$3:AC153,"*")</f>
        <v>4644.3999999999996</v>
      </c>
      <c r="BU152" s="87">
        <f>SUMIFS($AU$3:AU153,$AA$3:AA153,"*",$AB$3:AB153,"*")</f>
        <v>2495.999999999824</v>
      </c>
      <c r="BV152" s="87">
        <f>SUMIFS($AU$3:AU153,$AA$3:AA153,"*",$AC$3:AC153,"*")</f>
        <v>4580.3999999999996</v>
      </c>
      <c r="BW152" s="87">
        <f>SUMIFS($AU$3:AU153,$AB$3:AB153,"*",$AC$3:AC153,"*")</f>
        <v>1919.9999999999995</v>
      </c>
      <c r="BX152" s="87">
        <f>SUMIFS($AV$3:AV153,$Q$3:Q153,"F")</f>
        <v>145.15829909221213</v>
      </c>
      <c r="BY152" s="87">
        <f>SUMIFS($AV$3:AV153,$Q$3:Q153,"S")</f>
        <v>287.59909454524478</v>
      </c>
      <c r="BZ152" s="87">
        <f>SUMIFS($AV$3:AV153,$Q$3:Q153,"O")</f>
        <v>172.73999999992532</v>
      </c>
    </row>
    <row r="153" spans="1:78" ht="18" customHeight="1">
      <c r="A153" s="45" t="s">
        <v>567</v>
      </c>
      <c r="B153" s="59">
        <v>45324</v>
      </c>
      <c r="C153" s="46" t="s">
        <v>179</v>
      </c>
      <c r="D153" s="46" t="s">
        <v>115</v>
      </c>
      <c r="E153" s="66" t="s">
        <v>619</v>
      </c>
      <c r="F153" s="47"/>
      <c r="G153" s="48"/>
      <c r="H153" s="49"/>
      <c r="I153" s="49"/>
      <c r="J153" s="49">
        <v>1</v>
      </c>
      <c r="K153" s="50" t="s">
        <v>155</v>
      </c>
      <c r="L153" s="49"/>
      <c r="M153" s="49"/>
      <c r="N153" s="49"/>
      <c r="O153" s="50"/>
      <c r="P153" s="50"/>
      <c r="Q153" s="50"/>
      <c r="R153" s="50"/>
      <c r="S153" s="50"/>
      <c r="T153" s="50"/>
      <c r="U153" s="50"/>
      <c r="V153" s="50"/>
      <c r="W153" s="50"/>
      <c r="X153" s="50"/>
      <c r="Y153" s="50"/>
      <c r="Z153" s="50"/>
      <c r="AA153" s="52"/>
      <c r="AB153" s="52"/>
      <c r="AC153" s="52"/>
      <c r="AD153" s="231"/>
      <c r="AE153" s="49"/>
      <c r="AF153" s="84"/>
      <c r="AG153" s="49"/>
      <c r="AH153" s="49"/>
      <c r="AI153" s="49"/>
      <c r="AJ153" s="226"/>
      <c r="AK153" s="49"/>
      <c r="AL153" s="113">
        <f t="shared" si="38"/>
        <v>0</v>
      </c>
      <c r="AM153" s="113">
        <f t="shared" si="36"/>
        <v>0</v>
      </c>
      <c r="AN153" s="218"/>
      <c r="AO153" s="49"/>
      <c r="AP153" s="49"/>
      <c r="AQ153" s="84" t="str">
        <f>UPPER(RIGHT(Journal_Live[[#This Row],[DURATION ]]))</f>
        <v/>
      </c>
      <c r="AR153" s="49"/>
      <c r="AS153" s="55"/>
      <c r="AT153" s="55"/>
      <c r="AU153" s="54"/>
      <c r="AV153" s="56"/>
      <c r="AW153" s="57"/>
      <c r="AX153" s="96"/>
      <c r="AY153" s="96"/>
      <c r="AZ153" s="133"/>
      <c r="BA153" s="133"/>
      <c r="BB153" s="133"/>
      <c r="BC153" s="133"/>
      <c r="BD153" s="96"/>
      <c r="BE153" s="96"/>
      <c r="BF153" s="100"/>
      <c r="BG153" s="94">
        <f>SUM($AV$4:AV153)</f>
        <v>933.49739363739013</v>
      </c>
      <c r="BH153" s="95">
        <f>SUM($AU$4:AU153)</f>
        <v>10395.379999999792</v>
      </c>
      <c r="BI153" s="80">
        <f>SUMIFS($AU$3:AU154,$Q$3:Q154,"F")</f>
        <v>5220.4000000000005</v>
      </c>
      <c r="BJ153" s="80">
        <f>SUMIFS($AU$3:AU154,$Q$3:Q154,"S")</f>
        <v>4944</v>
      </c>
      <c r="BK153" s="87">
        <f>SUMIFS($AU$3:AU154,$P$3:P154,"W")</f>
        <v>7661.5799999999363</v>
      </c>
      <c r="BL153" s="87">
        <f>SUMIFS($AU$3:AU154,$P$3:P154,"R")</f>
        <v>2894.0000000000005</v>
      </c>
      <c r="BM153" s="87">
        <f>SUMIFS($AU$3:AU154,$AQ$3:AQ154,"M")</f>
        <v>2806.9799999997908</v>
      </c>
      <c r="BN153" s="87">
        <f>SUMIFS($AU$3:AU154,$AQ$3:AQ154,"H")</f>
        <v>4399.9999999999982</v>
      </c>
      <c r="BO153" s="87">
        <f>SUMIFS($AU$3:AU154,$AQ$3:AQ154,"D")</f>
        <v>2590.0000000000009</v>
      </c>
      <c r="BP153" s="87">
        <f>SUMIFS($AU$3:AU156,$AQ$3:AQ156,"W")</f>
        <v>1414.3999999999999</v>
      </c>
      <c r="BQ153" s="87">
        <f>SUMIFS($AU$3:AU154,$Q$3:Q154,"O")</f>
        <v>366.97999999978163</v>
      </c>
      <c r="BR153" s="87">
        <f>SUMIFS($AU$3:AU154,$AA$3:AA154,"*")</f>
        <v>9956.1999999996824</v>
      </c>
      <c r="BS153" s="87">
        <f>SUMIFS($AU$3:AU154,$AB$3:AB154,"*")</f>
        <v>3383.1799999999339</v>
      </c>
      <c r="BT153" s="87">
        <f>SUMIFS($AU$3:AU154,$AC$3:AC154,"*")</f>
        <v>4644.3999999999996</v>
      </c>
      <c r="BU153" s="87">
        <f>SUMIFS($AU$3:AU154,$AA$3:AA154,"*",$AB$3:AB154,"*")</f>
        <v>2495.999999999824</v>
      </c>
      <c r="BV153" s="87">
        <f>SUMIFS($AU$3:AU154,$AA$3:AA154,"*",$AC$3:AC154,"*")</f>
        <v>4580.3999999999996</v>
      </c>
      <c r="BW153" s="87">
        <f>SUMIFS($AU$3:AU154,$AB$3:AB154,"*",$AC$3:AC154,"*")</f>
        <v>1919.9999999999995</v>
      </c>
      <c r="BX153" s="87">
        <f>SUMIFS($AV$3:AV154,$Q$3:Q154,"F")</f>
        <v>145.15829909221213</v>
      </c>
      <c r="BY153" s="87">
        <f>SUMIFS($AV$3:AV154,$Q$3:Q154,"S")</f>
        <v>308.9324278785781</v>
      </c>
      <c r="BZ153" s="87">
        <f>SUMIFS($AV$3:AV154,$Q$3:Q154,"O")</f>
        <v>172.73999999992532</v>
      </c>
    </row>
    <row r="154" spans="1:78" ht="18" customHeight="1">
      <c r="A154" s="45" t="s">
        <v>567</v>
      </c>
      <c r="B154" s="59">
        <v>45324</v>
      </c>
      <c r="C154" s="46" t="s">
        <v>620</v>
      </c>
      <c r="D154" s="46" t="s">
        <v>115</v>
      </c>
      <c r="E154" s="66"/>
      <c r="F154" s="47"/>
      <c r="G154" s="106" t="s">
        <v>99</v>
      </c>
      <c r="H154" s="49"/>
      <c r="I154" s="49"/>
      <c r="J154" s="49"/>
      <c r="K154" s="50"/>
      <c r="L154" s="49">
        <v>1</v>
      </c>
      <c r="M154" s="49">
        <v>1</v>
      </c>
      <c r="N154" s="49"/>
      <c r="O154" s="50" t="s">
        <v>100</v>
      </c>
      <c r="P154" s="50" t="s">
        <v>101</v>
      </c>
      <c r="Q154" s="50" t="s">
        <v>102</v>
      </c>
      <c r="R154" s="50">
        <v>24</v>
      </c>
      <c r="S154" s="50">
        <v>0</v>
      </c>
      <c r="T154" s="50">
        <v>24</v>
      </c>
      <c r="U154" s="50" t="s">
        <v>22</v>
      </c>
      <c r="V154" s="50"/>
      <c r="W154" s="50"/>
      <c r="X154" s="50"/>
      <c r="Y154" s="51">
        <f>IF(ISBLANK(O154),"",(IF(O154=UPPER("IB"),0.005,0.01)))</f>
        <v>0.01</v>
      </c>
      <c r="Z154" s="52">
        <f>IF(ISBLANK(O154),"",IF(O154="IB",8.63*200,IF(O154="IR",16*100,IF(O154="YT",20*100,IF(O154="YT-XT",24*200,IF(O154="TED",80*100))))))</f>
        <v>1600</v>
      </c>
      <c r="AA154" s="52"/>
      <c r="AB154" s="97" t="s">
        <v>621</v>
      </c>
      <c r="AC154" s="52"/>
      <c r="AD154" s="231">
        <v>-0.14000000000000001</v>
      </c>
      <c r="AE154" s="49"/>
      <c r="AF154" s="84"/>
      <c r="AG154" s="49"/>
      <c r="AH154" s="49"/>
      <c r="AI154" s="49"/>
      <c r="AJ154" s="226"/>
      <c r="AK154" s="49"/>
      <c r="AL154" s="113">
        <f t="shared" si="38"/>
        <v>-32</v>
      </c>
      <c r="AM154" s="113">
        <f t="shared" si="36"/>
        <v>-768</v>
      </c>
      <c r="AN154" s="218"/>
      <c r="AO154" s="49"/>
      <c r="AP154" s="49" t="s">
        <v>622</v>
      </c>
      <c r="AQ154" s="84" t="s">
        <v>142</v>
      </c>
      <c r="AR154" s="49" t="s">
        <v>147</v>
      </c>
      <c r="AS154" s="55">
        <f>((-0.13*8)+(-0.12*8)+(-0.13*8))/24</f>
        <v>-0.12666666666666668</v>
      </c>
      <c r="AT154" s="55">
        <f>IF(ISBLANK(AS154),,IF(U154="S",AD154-AS154,AS154-AD154))</f>
        <v>1.3333333333333336E-2</v>
      </c>
      <c r="AU154" s="54">
        <f>AV154*R154</f>
        <v>512</v>
      </c>
      <c r="AV154" s="56">
        <f>IF(ISBLANK(AS154),,(AT154*Z154))</f>
        <v>21.333333333333336</v>
      </c>
      <c r="AW154" s="57" t="s">
        <v>101</v>
      </c>
      <c r="AX154" s="96"/>
      <c r="AY154" s="96"/>
      <c r="AZ154" s="96"/>
      <c r="BA154" s="96"/>
      <c r="BB154" s="96"/>
      <c r="BC154" s="96"/>
      <c r="BD154" s="96"/>
      <c r="BE154" s="96"/>
      <c r="BF154" s="100"/>
      <c r="BG154" s="94">
        <f>SUM($AV$4:AV154)</f>
        <v>954.8307269707235</v>
      </c>
      <c r="BH154" s="95">
        <f>SUM($AU$4:AU154)</f>
        <v>10907.379999999792</v>
      </c>
      <c r="BI154" s="80">
        <f>SUMIFS($AU$3:AU155,$Q$3:Q155,"F")</f>
        <v>5220.4000000000005</v>
      </c>
      <c r="BJ154" s="80">
        <f>SUMIFS($AU$3:AU155,$Q$3:Q155,"S")</f>
        <v>5807.9999999999991</v>
      </c>
      <c r="BK154" s="87">
        <f>SUMIFS($AU$3:AU155,$P$3:P155,"W")</f>
        <v>8525.5799999999363</v>
      </c>
      <c r="BL154" s="87">
        <f>SUMIFS($AU$3:AU155,$P$3:P155,"R")</f>
        <v>2894.0000000000005</v>
      </c>
      <c r="BM154" s="87">
        <f>SUMIFS($AU$3:AU155,$AQ$3:AQ155,"M")</f>
        <v>2806.9799999997908</v>
      </c>
      <c r="BN154" s="87">
        <f>SUMIFS($AU$3:AU155,$AQ$3:AQ155,"H")</f>
        <v>5263.9999999999973</v>
      </c>
      <c r="BO154" s="87">
        <f>SUMIFS($AU$3:AU155,$AQ$3:AQ155,"D")</f>
        <v>2590.0000000000009</v>
      </c>
      <c r="BP154" s="87">
        <f>SUMIFS($AU$3:AU157,$AQ$3:AQ157,"W")</f>
        <v>1414.3999999999999</v>
      </c>
      <c r="BQ154" s="87">
        <f>SUMIFS($AU$3:AU155,$Q$3:Q155,"O")</f>
        <v>366.97999999978163</v>
      </c>
      <c r="BR154" s="87">
        <f>SUMIFS($AU$3:AU155,$AA$3:AA155,"*")</f>
        <v>9956.1999999996824</v>
      </c>
      <c r="BS154" s="87">
        <f>SUMIFS($AU$3:AU155,$AB$3:AB155,"*")</f>
        <v>4247.179999999933</v>
      </c>
      <c r="BT154" s="87">
        <f>SUMIFS($AU$3:AU155,$AC$3:AC155,"*")</f>
        <v>4644.3999999999996</v>
      </c>
      <c r="BU154" s="87">
        <f>SUMIFS($AU$3:AU155,$AA$3:AA155,"*",$AB$3:AB155,"*")</f>
        <v>2495.999999999824</v>
      </c>
      <c r="BV154" s="87">
        <f>SUMIFS($AU$3:AU155,$AA$3:AA155,"*",$AC$3:AC155,"*")</f>
        <v>4580.3999999999996</v>
      </c>
      <c r="BW154" s="87">
        <f>SUMIFS($AU$3:AU155,$AB$3:AB155,"*",$AC$3:AC155,"*")</f>
        <v>1919.9999999999995</v>
      </c>
      <c r="BX154" s="87">
        <f>SUMIFS($AV$3:AV155,$Q$3:Q155,"F")</f>
        <v>145.15829909221213</v>
      </c>
      <c r="BY154" s="87">
        <f>SUMIFS($AV$3:AV155,$Q$3:Q155,"S")</f>
        <v>332.9324278785781</v>
      </c>
      <c r="BZ154" s="87">
        <f>SUMIFS($AV$3:AV155,$Q$3:Q155,"O")</f>
        <v>172.73999999992532</v>
      </c>
    </row>
    <row r="155" spans="1:78" ht="18" customHeight="1">
      <c r="A155" s="45" t="s">
        <v>567</v>
      </c>
      <c r="B155" s="59">
        <v>45324</v>
      </c>
      <c r="C155" s="46" t="s">
        <v>623</v>
      </c>
      <c r="D155" s="46" t="s">
        <v>115</v>
      </c>
      <c r="E155" s="66"/>
      <c r="F155" s="47"/>
      <c r="G155" s="106" t="s">
        <v>111</v>
      </c>
      <c r="H155" s="49"/>
      <c r="I155" s="49"/>
      <c r="J155" s="49"/>
      <c r="K155" s="50"/>
      <c r="L155" s="49">
        <v>1</v>
      </c>
      <c r="M155" s="49">
        <v>1</v>
      </c>
      <c r="N155" s="49"/>
      <c r="O155" s="50" t="s">
        <v>100</v>
      </c>
      <c r="P155" s="50" t="s">
        <v>101</v>
      </c>
      <c r="Q155" s="50" t="s">
        <v>102</v>
      </c>
      <c r="R155" s="50">
        <v>36</v>
      </c>
      <c r="S155" s="50">
        <v>0</v>
      </c>
      <c r="T155" s="50">
        <v>18</v>
      </c>
      <c r="U155" s="50" t="s">
        <v>22</v>
      </c>
      <c r="V155" s="50"/>
      <c r="W155" s="50"/>
      <c r="X155" s="50"/>
      <c r="Y155" s="51">
        <f>IF(ISBLANK(O155),"",(IF(O155=UPPER("IB"),0.005,0.01)))</f>
        <v>0.01</v>
      </c>
      <c r="Z155" s="52">
        <f>IF(ISBLANK(O155),"",IF(O155="IB",8.63*200,IF(O155="IR",16*100,IF(O155="YT",20*100,IF(O155="YT-XT",24*200,IF(O155="TED",80*100))))))</f>
        <v>1600</v>
      </c>
      <c r="AA155" s="52"/>
      <c r="AB155" s="52" t="s">
        <v>624</v>
      </c>
      <c r="AC155" s="52"/>
      <c r="AD155" s="231">
        <v>-0.18</v>
      </c>
      <c r="AE155" s="49"/>
      <c r="AF155" s="84"/>
      <c r="AG155" s="49"/>
      <c r="AH155" s="49"/>
      <c r="AI155" s="49"/>
      <c r="AJ155" s="226"/>
      <c r="AK155" s="49"/>
      <c r="AL155" s="113">
        <f t="shared" si="38"/>
        <v>-32</v>
      </c>
      <c r="AM155" s="113">
        <f t="shared" si="36"/>
        <v>-1152</v>
      </c>
      <c r="AN155" s="218"/>
      <c r="AO155" s="49"/>
      <c r="AP155" s="49" t="s">
        <v>622</v>
      </c>
      <c r="AQ155" s="84" t="s">
        <v>142</v>
      </c>
      <c r="AR155" s="49" t="s">
        <v>147</v>
      </c>
      <c r="AS155" s="55">
        <f>((-0.16)+(-0.17))/2</f>
        <v>-0.16500000000000001</v>
      </c>
      <c r="AT155" s="55">
        <f>IF(ISBLANK(AS155),,IF(U155="S",AD155-AS155,AS155-AD155))</f>
        <v>1.4999999999999986E-2</v>
      </c>
      <c r="AU155" s="54">
        <f>AV155*R155</f>
        <v>863.9999999999992</v>
      </c>
      <c r="AV155" s="56">
        <f>IF(ISBLANK(AS155),,(AT155*Z155))</f>
        <v>23.999999999999979</v>
      </c>
      <c r="AW155" s="57" t="s">
        <v>101</v>
      </c>
      <c r="AX155" s="96"/>
      <c r="AY155" s="96"/>
      <c r="AZ155" s="96"/>
      <c r="BA155" s="96"/>
      <c r="BB155" s="96"/>
      <c r="BC155" s="96"/>
      <c r="BD155" s="96"/>
      <c r="BE155" s="96"/>
      <c r="BF155" s="100"/>
      <c r="BG155" s="94">
        <f>SUM($AV$4:AV155)</f>
        <v>978.8307269707235</v>
      </c>
      <c r="BH155" s="95">
        <f>SUM($AU$4:AU155)</f>
        <v>11771.379999999792</v>
      </c>
      <c r="BI155" s="80">
        <f>SUMIFS($AU$3:AU156,$Q$3:Q156,"F")</f>
        <v>5220.4000000000005</v>
      </c>
      <c r="BJ155" s="80">
        <f>SUMIFS($AU$3:AU156,$Q$3:Q156,"S")</f>
        <v>5807.9999999999991</v>
      </c>
      <c r="BK155" s="87">
        <f>SUMIFS($AU$3:AU156,$P$3:P156,"W")</f>
        <v>8525.5799999999363</v>
      </c>
      <c r="BL155" s="87">
        <f>SUMIFS($AU$3:AU156,$P$3:P156,"R")</f>
        <v>2894.0000000000005</v>
      </c>
      <c r="BM155" s="87">
        <f>SUMIFS($AU$3:AU156,$AQ$3:AQ156,"M")</f>
        <v>2806.9799999997908</v>
      </c>
      <c r="BN155" s="87">
        <f>SUMIFS($AU$3:AU156,$AQ$3:AQ156,"H")</f>
        <v>5263.9999999999973</v>
      </c>
      <c r="BO155" s="87">
        <f>SUMIFS($AU$3:AU156,$AQ$3:AQ156,"D")</f>
        <v>2590.0000000000009</v>
      </c>
      <c r="BP155" s="87">
        <f>SUMIFS($AU$3:AU158,$AQ$3:AQ158,"W")</f>
        <v>1414.3999999999999</v>
      </c>
      <c r="BQ155" s="87">
        <f>SUMIFS($AU$3:AU156,$Q$3:Q156,"O")</f>
        <v>366.97999999978163</v>
      </c>
      <c r="BR155" s="87">
        <f>SUMIFS($AU$3:AU156,$AA$3:AA156,"*")</f>
        <v>9956.1999999996824</v>
      </c>
      <c r="BS155" s="87">
        <f>SUMIFS($AU$3:AU156,$AB$3:AB156,"*")</f>
        <v>4247.179999999933</v>
      </c>
      <c r="BT155" s="87">
        <f>SUMIFS($AU$3:AU156,$AC$3:AC156,"*")</f>
        <v>4644.3999999999996</v>
      </c>
      <c r="BU155" s="87">
        <f>SUMIFS($AU$3:AU156,$AA$3:AA156,"*",$AB$3:AB156,"*")</f>
        <v>2495.999999999824</v>
      </c>
      <c r="BV155" s="87">
        <f>SUMIFS($AU$3:AU156,$AA$3:AA156,"*",$AC$3:AC156,"*")</f>
        <v>4580.3999999999996</v>
      </c>
      <c r="BW155" s="87">
        <f>SUMIFS($AU$3:AU156,$AB$3:AB156,"*",$AC$3:AC156,"*")</f>
        <v>1919.9999999999995</v>
      </c>
      <c r="BX155" s="87">
        <f>SUMIFS($AV$3:AV156,$Q$3:Q156,"F")</f>
        <v>145.15829909221213</v>
      </c>
      <c r="BY155" s="87">
        <f>SUMIFS($AV$3:AV156,$Q$3:Q156,"S")</f>
        <v>332.9324278785781</v>
      </c>
      <c r="BZ155" s="87">
        <f>SUMIFS($AV$3:AV156,$Q$3:Q156,"O")</f>
        <v>172.73999999992532</v>
      </c>
    </row>
    <row r="156" spans="1:78" ht="18" customHeight="1">
      <c r="A156" s="45" t="s">
        <v>567</v>
      </c>
      <c r="B156" s="59">
        <v>45324</v>
      </c>
      <c r="C156" s="46" t="s">
        <v>139</v>
      </c>
      <c r="D156" s="46" t="s">
        <v>115</v>
      </c>
      <c r="E156" s="66" t="s">
        <v>625</v>
      </c>
      <c r="F156" s="47" t="s">
        <v>626</v>
      </c>
      <c r="G156" s="48"/>
      <c r="H156" s="49">
        <v>1</v>
      </c>
      <c r="I156" s="49"/>
      <c r="J156" s="49"/>
      <c r="K156" s="50" t="s">
        <v>142</v>
      </c>
      <c r="L156" s="49"/>
      <c r="M156" s="49"/>
      <c r="N156" s="49"/>
      <c r="O156" s="50"/>
      <c r="P156" s="50"/>
      <c r="Q156" s="50"/>
      <c r="R156" s="50"/>
      <c r="S156" s="50"/>
      <c r="T156" s="50"/>
      <c r="U156" s="50"/>
      <c r="V156" s="50"/>
      <c r="W156" s="50"/>
      <c r="X156" s="50"/>
      <c r="Y156" s="50"/>
      <c r="Z156" s="50"/>
      <c r="AA156" s="52"/>
      <c r="AB156" s="52"/>
      <c r="AC156" s="52"/>
      <c r="AD156" s="231"/>
      <c r="AE156" s="49"/>
      <c r="AF156" s="84"/>
      <c r="AG156" s="49"/>
      <c r="AH156" s="49"/>
      <c r="AI156" s="49"/>
      <c r="AJ156" s="226"/>
      <c r="AK156" s="49"/>
      <c r="AL156" s="113">
        <f t="shared" ref="AL156:AL159" si="39">-0.02*Z156</f>
        <v>0</v>
      </c>
      <c r="AM156" s="113">
        <f t="shared" si="36"/>
        <v>0</v>
      </c>
      <c r="AN156" s="218"/>
      <c r="AO156" s="49"/>
      <c r="AP156" s="49"/>
      <c r="AQ156" s="84" t="str">
        <f>UPPER(RIGHT(Journal_Live[[#This Row],[DURATION ]]))</f>
        <v/>
      </c>
      <c r="AR156" s="49"/>
      <c r="AS156" s="55"/>
      <c r="AT156" s="55"/>
      <c r="AU156" s="54"/>
      <c r="AV156" s="56"/>
      <c r="AW156" s="57"/>
      <c r="AX156" s="96"/>
      <c r="AY156" s="96"/>
      <c r="AZ156" s="96"/>
      <c r="BA156" s="96"/>
      <c r="BB156" s="96"/>
      <c r="BC156" s="96"/>
      <c r="BD156" s="96"/>
      <c r="BE156" s="96"/>
      <c r="BF156" s="100"/>
      <c r="BG156" s="94">
        <f>SUM($AV$4:AV156)</f>
        <v>978.8307269707235</v>
      </c>
      <c r="BH156" s="95">
        <f>SUM($AU$4:AU156)</f>
        <v>11771.379999999792</v>
      </c>
      <c r="BI156" s="80">
        <f>SUMIFS($AU$3:AU157,$Q$3:Q157,"F")</f>
        <v>5220.4000000000005</v>
      </c>
      <c r="BJ156" s="80">
        <f>SUMIFS($AU$3:AU157,$Q$3:Q157,"S")</f>
        <v>5807.9999999999991</v>
      </c>
      <c r="BK156" s="87">
        <f>SUMIFS($AU$3:AU157,$P$3:P157,"W")</f>
        <v>8525.5799999999363</v>
      </c>
      <c r="BL156" s="87">
        <f>SUMIFS($AU$3:AU157,$P$3:P157,"R")</f>
        <v>2894.0000000000005</v>
      </c>
      <c r="BM156" s="87">
        <f>SUMIFS($AU$3:AU157,$AQ$3:AQ157,"M")</f>
        <v>2806.9799999997908</v>
      </c>
      <c r="BN156" s="87">
        <f>SUMIFS($AU$3:AU157,$AQ$3:AQ157,"H")</f>
        <v>5263.9999999999973</v>
      </c>
      <c r="BO156" s="87">
        <f>SUMIFS($AU$3:AU157,$AQ$3:AQ157,"D")</f>
        <v>2590.0000000000009</v>
      </c>
      <c r="BP156" s="87">
        <f>SUMIFS($AU$3:AU159,$AQ$3:AQ159,"W")</f>
        <v>1414.3999999999999</v>
      </c>
      <c r="BQ156" s="87">
        <f>SUMIFS($AU$3:AU157,$Q$3:Q157,"O")</f>
        <v>366.97999999978163</v>
      </c>
      <c r="BR156" s="87">
        <f>SUMIFS($AU$3:AU157,$AA$3:AA157,"*")</f>
        <v>9956.1999999996824</v>
      </c>
      <c r="BS156" s="87">
        <f>SUMIFS($AU$3:AU157,$AB$3:AB157,"*")</f>
        <v>4247.179999999933</v>
      </c>
      <c r="BT156" s="87">
        <f>SUMIFS($AU$3:AU157,$AC$3:AC157,"*")</f>
        <v>4644.3999999999996</v>
      </c>
      <c r="BU156" s="87">
        <f>SUMIFS($AU$3:AU157,$AA$3:AA157,"*",$AB$3:AB157,"*")</f>
        <v>2495.999999999824</v>
      </c>
      <c r="BV156" s="87">
        <f>SUMIFS($AU$3:AU157,$AA$3:AA157,"*",$AC$3:AC157,"*")</f>
        <v>4580.3999999999996</v>
      </c>
      <c r="BW156" s="87">
        <f>SUMIFS($AU$3:AU157,$AB$3:AB157,"*",$AC$3:AC157,"*")</f>
        <v>1919.9999999999995</v>
      </c>
      <c r="BX156" s="87">
        <f>SUMIFS($AV$3:AV157,$Q$3:Q157,"F")</f>
        <v>145.15829909221213</v>
      </c>
      <c r="BY156" s="87">
        <f>SUMIFS($AV$3:AV157,$Q$3:Q157,"S")</f>
        <v>332.9324278785781</v>
      </c>
      <c r="BZ156" s="87">
        <f>SUMIFS($AV$3:AV157,$Q$3:Q157,"O")</f>
        <v>172.73999999992532</v>
      </c>
    </row>
    <row r="157" spans="1:78" ht="18" customHeight="1">
      <c r="A157" s="45" t="s">
        <v>567</v>
      </c>
      <c r="B157" s="59"/>
      <c r="C157" s="46"/>
      <c r="D157" s="46"/>
      <c r="E157" s="66" t="s">
        <v>627</v>
      </c>
      <c r="F157" s="47" t="s">
        <v>628</v>
      </c>
      <c r="G157" s="48"/>
      <c r="H157" s="49">
        <v>1</v>
      </c>
      <c r="I157" s="49"/>
      <c r="J157" s="49"/>
      <c r="K157" s="50" t="s">
        <v>142</v>
      </c>
      <c r="L157" s="49"/>
      <c r="M157" s="49"/>
      <c r="N157" s="49"/>
      <c r="O157" s="50"/>
      <c r="P157" s="50"/>
      <c r="Q157" s="50"/>
      <c r="R157" s="50"/>
      <c r="S157" s="50"/>
      <c r="T157" s="50"/>
      <c r="U157" s="50"/>
      <c r="V157" s="50"/>
      <c r="W157" s="50"/>
      <c r="X157" s="50"/>
      <c r="Y157" s="50"/>
      <c r="Z157" s="50"/>
      <c r="AA157" s="52"/>
      <c r="AB157" s="52"/>
      <c r="AC157" s="52"/>
      <c r="AD157" s="231"/>
      <c r="AE157" s="49"/>
      <c r="AF157" s="84"/>
      <c r="AG157" s="49"/>
      <c r="AH157" s="49"/>
      <c r="AI157" s="49"/>
      <c r="AJ157" s="226"/>
      <c r="AK157" s="49"/>
      <c r="AL157" s="113">
        <f t="shared" si="39"/>
        <v>0</v>
      </c>
      <c r="AM157" s="113">
        <f t="shared" si="36"/>
        <v>0</v>
      </c>
      <c r="AN157" s="218"/>
      <c r="AO157" s="49"/>
      <c r="AP157" s="49"/>
      <c r="AQ157" s="84" t="str">
        <f>UPPER(RIGHT(Journal_Live[[#This Row],[DURATION ]]))</f>
        <v/>
      </c>
      <c r="AR157" s="49"/>
      <c r="AS157" s="55"/>
      <c r="AT157" s="55"/>
      <c r="AU157" s="54"/>
      <c r="AV157" s="56"/>
      <c r="AW157" s="57"/>
      <c r="AX157" s="96"/>
      <c r="AY157" s="96"/>
      <c r="AZ157" s="96"/>
      <c r="BA157" s="96"/>
      <c r="BB157" s="96"/>
      <c r="BC157" s="96"/>
      <c r="BD157" s="96"/>
      <c r="BE157" s="96"/>
      <c r="BF157" s="100"/>
      <c r="BG157" s="94">
        <f>SUM($AV$4:AV157)</f>
        <v>978.8307269707235</v>
      </c>
      <c r="BH157" s="95">
        <f>SUM($AU$4:AU157)</f>
        <v>11771.379999999792</v>
      </c>
      <c r="BI157" s="80">
        <f>SUMIFS($AU$3:AU158,$Q$3:Q158,"F")</f>
        <v>5220.4000000000005</v>
      </c>
      <c r="BJ157" s="80">
        <f>SUMIFS($AU$3:AU158,$Q$3:Q158,"S")</f>
        <v>5807.9999999999991</v>
      </c>
      <c r="BK157" s="87">
        <f>SUMIFS($AU$3:AU158,$P$3:P158,"W")</f>
        <v>8525.5799999999363</v>
      </c>
      <c r="BL157" s="87">
        <f>SUMIFS($AU$3:AU158,$P$3:P158,"R")</f>
        <v>2894.0000000000005</v>
      </c>
      <c r="BM157" s="87">
        <f>SUMIFS($AU$3:AU158,$AQ$3:AQ158,"M")</f>
        <v>2806.9799999997908</v>
      </c>
      <c r="BN157" s="87">
        <f>SUMIFS($AU$3:AU158,$AQ$3:AQ158,"H")</f>
        <v>5263.9999999999973</v>
      </c>
      <c r="BO157" s="87">
        <f>SUMIFS($AU$3:AU158,$AQ$3:AQ158,"D")</f>
        <v>2590.0000000000009</v>
      </c>
      <c r="BP157" s="87">
        <f>SUMIFS($AU$3:AU160,$AQ$3:AQ160,"W")</f>
        <v>1414.3999999999999</v>
      </c>
      <c r="BQ157" s="87">
        <f>SUMIFS($AU$3:AU158,$Q$3:Q158,"O")</f>
        <v>366.97999999978163</v>
      </c>
      <c r="BR157" s="87">
        <f>SUMIFS($AU$3:AU158,$AA$3:AA158,"*")</f>
        <v>9956.1999999996824</v>
      </c>
      <c r="BS157" s="87">
        <f>SUMIFS($AU$3:AU158,$AB$3:AB158,"*")</f>
        <v>4247.179999999933</v>
      </c>
      <c r="BT157" s="87">
        <f>SUMIFS($AU$3:AU158,$AC$3:AC158,"*")</f>
        <v>4644.3999999999996</v>
      </c>
      <c r="BU157" s="87">
        <f>SUMIFS($AU$3:AU158,$AA$3:AA158,"*",$AB$3:AB158,"*")</f>
        <v>2495.999999999824</v>
      </c>
      <c r="BV157" s="87">
        <f>SUMIFS($AU$3:AU158,$AA$3:AA158,"*",$AC$3:AC158,"*")</f>
        <v>4580.3999999999996</v>
      </c>
      <c r="BW157" s="87">
        <f>SUMIFS($AU$3:AU158,$AB$3:AB158,"*",$AC$3:AC158,"*")</f>
        <v>1919.9999999999995</v>
      </c>
      <c r="BX157" s="87">
        <f>SUMIFS($AV$3:AV158,$Q$3:Q158,"F")</f>
        <v>145.15829909221213</v>
      </c>
      <c r="BY157" s="87">
        <f>SUMIFS($AV$3:AV158,$Q$3:Q158,"S")</f>
        <v>332.9324278785781</v>
      </c>
      <c r="BZ157" s="87">
        <f>SUMIFS($AV$3:AV158,$Q$3:Q158,"O")</f>
        <v>172.73999999992532</v>
      </c>
    </row>
    <row r="158" spans="1:78" ht="18" customHeight="1">
      <c r="A158" s="45" t="s">
        <v>567</v>
      </c>
      <c r="B158" s="59"/>
      <c r="C158" s="46"/>
      <c r="D158" s="46"/>
      <c r="E158" s="66" t="s">
        <v>629</v>
      </c>
      <c r="F158" s="47"/>
      <c r="G158" s="48"/>
      <c r="H158" s="49"/>
      <c r="I158" s="49"/>
      <c r="J158" s="49">
        <v>1</v>
      </c>
      <c r="K158" s="50" t="s">
        <v>142</v>
      </c>
      <c r="L158" s="49"/>
      <c r="M158" s="49"/>
      <c r="N158" s="49"/>
      <c r="O158" s="50"/>
      <c r="P158" s="50"/>
      <c r="Q158" s="50"/>
      <c r="R158" s="50"/>
      <c r="S158" s="50"/>
      <c r="T158" s="50"/>
      <c r="U158" s="50"/>
      <c r="V158" s="50"/>
      <c r="W158" s="50"/>
      <c r="X158" s="50"/>
      <c r="Y158" s="50"/>
      <c r="Z158" s="50"/>
      <c r="AA158" s="52"/>
      <c r="AB158" s="52"/>
      <c r="AC158" s="52"/>
      <c r="AD158" s="231"/>
      <c r="AE158" s="49"/>
      <c r="AF158" s="84"/>
      <c r="AG158" s="49"/>
      <c r="AH158" s="49"/>
      <c r="AI158" s="49"/>
      <c r="AJ158" s="226"/>
      <c r="AK158" s="49"/>
      <c r="AL158" s="113">
        <f t="shared" si="39"/>
        <v>0</v>
      </c>
      <c r="AM158" s="113">
        <f t="shared" si="36"/>
        <v>0</v>
      </c>
      <c r="AN158" s="218"/>
      <c r="AO158" s="49"/>
      <c r="AP158" s="49"/>
      <c r="AQ158" s="84" t="str">
        <f>UPPER(RIGHT(Journal_Live[[#This Row],[DURATION ]]))</f>
        <v/>
      </c>
      <c r="AR158" s="49"/>
      <c r="AS158" s="55"/>
      <c r="AT158" s="55"/>
      <c r="AU158" s="54"/>
      <c r="AV158" s="56"/>
      <c r="AW158" s="57"/>
      <c r="AX158" s="96"/>
      <c r="AY158" s="96"/>
      <c r="AZ158" s="96"/>
      <c r="BA158" s="96"/>
      <c r="BB158" s="96"/>
      <c r="BC158" s="96"/>
      <c r="BD158" s="96"/>
      <c r="BE158" s="96"/>
      <c r="BF158" s="100"/>
      <c r="BG158" s="94">
        <f>SUM($AV$4:AV158)</f>
        <v>978.8307269707235</v>
      </c>
      <c r="BH158" s="95">
        <f>SUM($AU$4:AU158)</f>
        <v>11771.379999999792</v>
      </c>
      <c r="BI158" s="80">
        <f>SUMIFS($AU$3:AU159,$Q$3:Q159,"F")</f>
        <v>5220.4000000000005</v>
      </c>
      <c r="BJ158" s="80">
        <f>SUMIFS($AU$3:AU159,$Q$3:Q159,"S")</f>
        <v>5807.9999999999991</v>
      </c>
      <c r="BK158" s="87">
        <f>SUMIFS($AU$3:AU159,$P$3:P159,"W")</f>
        <v>8525.5799999999363</v>
      </c>
      <c r="BL158" s="87">
        <f>SUMIFS($AU$3:AU159,$P$3:P159,"R")</f>
        <v>2894.0000000000005</v>
      </c>
      <c r="BM158" s="87">
        <f>SUMIFS($AU$3:AU159,$AQ$3:AQ159,"M")</f>
        <v>2835.9799999997645</v>
      </c>
      <c r="BN158" s="87">
        <f>SUMIFS($AU$3:AU159,$AQ$3:AQ159,"H")</f>
        <v>5263.9999999999973</v>
      </c>
      <c r="BO158" s="87">
        <f>SUMIFS($AU$3:AU159,$AQ$3:AQ159,"D")</f>
        <v>2590.0000000000009</v>
      </c>
      <c r="BP158" s="87">
        <f>SUMIFS($AU$3:AU161,$AQ$3:AQ161,"W")</f>
        <v>1414.3999999999999</v>
      </c>
      <c r="BQ158" s="87">
        <f>SUMIFS($AU$3:AU159,$Q$3:Q159,"O")</f>
        <v>395.97999999975525</v>
      </c>
      <c r="BR158" s="87">
        <f>SUMIFS($AU$3:AU159,$AA$3:AA159,"*")</f>
        <v>9985.1999999996551</v>
      </c>
      <c r="BS158" s="87">
        <f>SUMIFS($AU$3:AU159,$AB$3:AB159,"*")</f>
        <v>4247.179999999933</v>
      </c>
      <c r="BT158" s="87">
        <f>SUMIFS($AU$3:AU159,$AC$3:AC159,"*")</f>
        <v>4644.3999999999996</v>
      </c>
      <c r="BU158" s="87">
        <f>SUMIFS($AU$3:AU159,$AA$3:AA159,"*",$AB$3:AB159,"*")</f>
        <v>2495.999999999824</v>
      </c>
      <c r="BV158" s="87">
        <f>SUMIFS($AU$3:AU159,$AA$3:AA159,"*",$AC$3:AC159,"*")</f>
        <v>4580.3999999999996</v>
      </c>
      <c r="BW158" s="87">
        <f>SUMIFS($AU$3:AU159,$AB$3:AB159,"*",$AC$3:AC159,"*")</f>
        <v>1919.9999999999995</v>
      </c>
      <c r="BX158" s="87">
        <f>SUMIFS($AV$3:AV159,$Q$3:Q159,"F")</f>
        <v>145.15829909221213</v>
      </c>
      <c r="BY158" s="87">
        <f>SUMIFS($AV$3:AV159,$Q$3:Q159,"S")</f>
        <v>332.9324278785781</v>
      </c>
      <c r="BZ158" s="87">
        <f>SUMIFS($AV$3:AV159,$Q$3:Q159,"O")</f>
        <v>201.73999999989894</v>
      </c>
    </row>
    <row r="159" spans="1:78" ht="18" customHeight="1">
      <c r="A159" s="45" t="s">
        <v>567</v>
      </c>
      <c r="B159" s="59">
        <v>45324</v>
      </c>
      <c r="C159" s="46" t="s">
        <v>147</v>
      </c>
      <c r="D159" s="46" t="s">
        <v>115</v>
      </c>
      <c r="E159" s="66"/>
      <c r="F159" s="47"/>
      <c r="G159" s="106" t="s">
        <v>195</v>
      </c>
      <c r="H159" s="49"/>
      <c r="I159" s="49"/>
      <c r="J159" s="49"/>
      <c r="K159" s="50"/>
      <c r="L159" s="49">
        <v>2</v>
      </c>
      <c r="M159" s="49"/>
      <c r="N159" s="49"/>
      <c r="O159" s="50" t="s">
        <v>196</v>
      </c>
      <c r="P159" s="50" t="s">
        <v>197</v>
      </c>
      <c r="Q159" s="50" t="s">
        <v>198</v>
      </c>
      <c r="R159" s="50">
        <v>1</v>
      </c>
      <c r="S159" s="50">
        <v>0</v>
      </c>
      <c r="T159" s="50">
        <v>1</v>
      </c>
      <c r="U159" s="50" t="s">
        <v>102</v>
      </c>
      <c r="V159" s="50"/>
      <c r="W159" s="50"/>
      <c r="X159" s="50"/>
      <c r="Y159" s="51">
        <f t="shared" ref="Y159:Y164" si="40">IF(ISBLANK(O159),"",(IF(O159=UPPER("IB"),0.005,0.01)))</f>
        <v>0.01</v>
      </c>
      <c r="Z159" s="52">
        <f>IF(ISBLANK(O159),"",IF(O159="IB",8.63*200,IF(O159="IR",16*100,IF(O159="YT",20*100,IF(O159="YT-XT",24*200,IF(O159="TED",80*100,IF(O159="XT",29*200)))))))</f>
        <v>5800</v>
      </c>
      <c r="AA159" s="52" t="s">
        <v>630</v>
      </c>
      <c r="AB159" s="52"/>
      <c r="AC159" s="52"/>
      <c r="AD159" s="231">
        <v>95.954999999999998</v>
      </c>
      <c r="AE159" s="49"/>
      <c r="AF159" s="84"/>
      <c r="AG159" s="49"/>
      <c r="AH159" s="49"/>
      <c r="AI159" s="49"/>
      <c r="AJ159" s="226"/>
      <c r="AK159" s="49"/>
      <c r="AL159" s="113">
        <f t="shared" si="39"/>
        <v>-116</v>
      </c>
      <c r="AM159" s="113">
        <f t="shared" si="36"/>
        <v>-116</v>
      </c>
      <c r="AN159" s="218"/>
      <c r="AO159" s="49"/>
      <c r="AP159" s="49" t="s">
        <v>631</v>
      </c>
      <c r="AQ159" s="84" t="s">
        <v>350</v>
      </c>
      <c r="AR159" s="49" t="s">
        <v>632</v>
      </c>
      <c r="AS159" s="55">
        <v>95.95</v>
      </c>
      <c r="AT159" s="55">
        <f t="shared" ref="AT159:AT164" si="41">IF(ISBLANK(AS159),,IF(U159="S",AD159-AS159,AS159-AD159))</f>
        <v>4.9999999999954525E-3</v>
      </c>
      <c r="AU159" s="54">
        <f t="shared" ref="AU159:AU164" si="42">AV159*R159</f>
        <v>28.999999999973625</v>
      </c>
      <c r="AV159" s="56">
        <f t="shared" ref="AV159:AV164" si="43">IF(ISBLANK(AS159),,(AT159*Z159))</f>
        <v>28.999999999973625</v>
      </c>
      <c r="AW159" s="57" t="s">
        <v>101</v>
      </c>
      <c r="AX159" s="96" t="s">
        <v>633</v>
      </c>
      <c r="AY159" s="96" t="s">
        <v>634</v>
      </c>
      <c r="AZ159" s="96"/>
      <c r="BA159" s="96"/>
      <c r="BB159" s="96"/>
      <c r="BC159" s="96"/>
      <c r="BD159" s="99" t="s">
        <v>634</v>
      </c>
      <c r="BE159" s="96"/>
      <c r="BF159" s="100"/>
      <c r="BG159" s="94">
        <f>SUM($AV$4:AV159)</f>
        <v>1007.8307269706971</v>
      </c>
      <c r="BH159" s="95">
        <f>SUM($AU$4:AU159)</f>
        <v>11800.379999999765</v>
      </c>
      <c r="BI159" s="80">
        <f>SUMIFS($AU$3:AU160,$Q$3:Q160,"F")</f>
        <v>5220.4000000000005</v>
      </c>
      <c r="BJ159" s="80">
        <f>SUMIFS($AU$3:AU160,$Q$3:Q160,"S")</f>
        <v>5807.9999999999991</v>
      </c>
      <c r="BK159" s="87">
        <f>SUMIFS($AU$3:AU160,$P$3:P160,"W")</f>
        <v>8525.5799999999363</v>
      </c>
      <c r="BL159" s="87">
        <f>SUMIFS($AU$3:AU160,$P$3:P160,"R")</f>
        <v>2894.0000000000005</v>
      </c>
      <c r="BM159" s="87">
        <f>SUMIFS($AU$3:AU160,$AQ$3:AQ160,"M")</f>
        <v>2748.9799999997613</v>
      </c>
      <c r="BN159" s="87">
        <f>SUMIFS($AU$3:AU160,$AQ$3:AQ160,"H")</f>
        <v>5263.9999999999973</v>
      </c>
      <c r="BO159" s="87">
        <f>SUMIFS($AU$3:AU160,$AQ$3:AQ160,"D")</f>
        <v>2590.0000000000009</v>
      </c>
      <c r="BP159" s="87">
        <f>SUMIFS($AU$3:AU162,$AQ$3:AQ162,"W")</f>
        <v>1414.3999999999999</v>
      </c>
      <c r="BQ159" s="87">
        <f>SUMIFS($AU$3:AU160,$Q$3:Q160,"O")</f>
        <v>308.97999999975195</v>
      </c>
      <c r="BR159" s="87">
        <f>SUMIFS($AU$3:AU160,$AA$3:AA160,"*")</f>
        <v>9898.1999999996515</v>
      </c>
      <c r="BS159" s="87">
        <f>SUMIFS($AU$3:AU160,$AB$3:AB160,"*")</f>
        <v>4247.179999999933</v>
      </c>
      <c r="BT159" s="87">
        <f>SUMIFS($AU$3:AU160,$AC$3:AC160,"*")</f>
        <v>4644.3999999999996</v>
      </c>
      <c r="BU159" s="87">
        <f>SUMIFS($AU$3:AU160,$AA$3:AA160,"*",$AB$3:AB160,"*")</f>
        <v>2495.999999999824</v>
      </c>
      <c r="BV159" s="87">
        <f>SUMIFS($AU$3:AU160,$AA$3:AA160,"*",$AC$3:AC160,"*")</f>
        <v>4580.3999999999996</v>
      </c>
      <c r="BW159" s="87">
        <f>SUMIFS($AU$3:AU160,$AB$3:AB160,"*",$AC$3:AC160,"*")</f>
        <v>1919.9999999999995</v>
      </c>
      <c r="BX159" s="87">
        <f>SUMIFS($AV$3:AV160,$Q$3:Q160,"F")</f>
        <v>145.15829909221213</v>
      </c>
      <c r="BY159" s="87">
        <f>SUMIFS($AV$3:AV160,$Q$3:Q160,"S")</f>
        <v>332.9324278785781</v>
      </c>
      <c r="BZ159" s="87">
        <f>SUMIFS($AV$3:AV160,$Q$3:Q160,"O")</f>
        <v>114.73999999989564</v>
      </c>
    </row>
    <row r="160" spans="1:78" ht="18" customHeight="1">
      <c r="A160" s="45" t="s">
        <v>567</v>
      </c>
      <c r="B160" s="59">
        <v>45324</v>
      </c>
      <c r="C160" s="46" t="s">
        <v>635</v>
      </c>
      <c r="D160" s="46" t="s">
        <v>115</v>
      </c>
      <c r="E160" s="66"/>
      <c r="F160" s="47"/>
      <c r="G160" s="106" t="s">
        <v>195</v>
      </c>
      <c r="H160" s="49"/>
      <c r="I160" s="49"/>
      <c r="J160" s="49"/>
      <c r="K160" s="50"/>
      <c r="L160" s="49">
        <v>1</v>
      </c>
      <c r="M160" s="49"/>
      <c r="N160" s="49"/>
      <c r="O160" s="50" t="s">
        <v>196</v>
      </c>
      <c r="P160" s="50" t="s">
        <v>197</v>
      </c>
      <c r="Q160" s="50" t="s">
        <v>198</v>
      </c>
      <c r="R160" s="50">
        <v>1</v>
      </c>
      <c r="S160" s="50">
        <v>0</v>
      </c>
      <c r="T160" s="50">
        <v>1</v>
      </c>
      <c r="U160" s="50" t="s">
        <v>22</v>
      </c>
      <c r="V160" s="50"/>
      <c r="W160" s="50"/>
      <c r="X160" s="50"/>
      <c r="Y160" s="51">
        <f t="shared" si="40"/>
        <v>0.01</v>
      </c>
      <c r="Z160" s="52">
        <f>IF(ISBLANK(O160),"",IF(O160="IB",8.63*200,IF(O160="IR",16*100,IF(O160="YT",20*100,IF(O160="YT-XT",24*200,IF(O160="TED",80*100,IF(O160="XT",29*200)))))))</f>
        <v>5800</v>
      </c>
      <c r="AA160" s="52" t="s">
        <v>636</v>
      </c>
      <c r="AB160" s="52"/>
      <c r="AC160" s="52"/>
      <c r="AD160" s="231">
        <v>95.935000000000002</v>
      </c>
      <c r="AE160" s="49"/>
      <c r="AF160" s="84"/>
      <c r="AG160" s="49"/>
      <c r="AH160" s="49"/>
      <c r="AI160" s="49"/>
      <c r="AJ160" s="226"/>
      <c r="AK160" s="49"/>
      <c r="AL160" s="113">
        <f t="shared" si="38"/>
        <v>-116</v>
      </c>
      <c r="AM160" s="113">
        <f t="shared" si="36"/>
        <v>-116</v>
      </c>
      <c r="AN160" s="218"/>
      <c r="AO160" s="49"/>
      <c r="AP160" s="49" t="s">
        <v>637</v>
      </c>
      <c r="AQ160" s="84" t="s">
        <v>350</v>
      </c>
      <c r="AR160" s="49" t="s">
        <v>638</v>
      </c>
      <c r="AS160" s="55">
        <v>95.92</v>
      </c>
      <c r="AT160" s="55">
        <f t="shared" si="41"/>
        <v>-1.5000000000000568E-2</v>
      </c>
      <c r="AU160" s="54">
        <f t="shared" si="42"/>
        <v>-87.000000000003297</v>
      </c>
      <c r="AV160" s="56">
        <f t="shared" si="43"/>
        <v>-87.000000000003297</v>
      </c>
      <c r="AW160" s="57" t="s">
        <v>121</v>
      </c>
      <c r="AX160" s="96" t="s">
        <v>639</v>
      </c>
      <c r="AY160" s="96" t="s">
        <v>640</v>
      </c>
      <c r="AZ160" s="96" t="s">
        <v>641</v>
      </c>
      <c r="BA160" s="96"/>
      <c r="BB160" s="96"/>
      <c r="BC160" s="96"/>
      <c r="BD160" s="96"/>
      <c r="BE160" s="96"/>
      <c r="BF160" s="100"/>
      <c r="BG160" s="94">
        <f>SUM($AV$4:AV160)</f>
        <v>920.83072697069383</v>
      </c>
      <c r="BH160" s="95">
        <f>SUM($AU$4:AU160)</f>
        <v>11713.379999999761</v>
      </c>
      <c r="BI160" s="80">
        <f>SUMIFS($AU$3:AU259,$Q$3:Q259,"F")</f>
        <v>9348.4000000000015</v>
      </c>
      <c r="BJ160" s="80">
        <f>SUMIFS($AU$3:AU259,$Q$3:Q259,"S")</f>
        <v>3279.9999999999918</v>
      </c>
      <c r="BK160" s="87">
        <f>SUMIFS($AU$3:AU259,$P$3:P259,"W")</f>
        <v>8717.579999999929</v>
      </c>
      <c r="BL160" s="87">
        <f>SUMIFS($AU$3:AU259,$P$3:P259,"R")</f>
        <v>4181.9999999999991</v>
      </c>
      <c r="BM160" s="87">
        <f>SUMIFS($AU$3:AU259,$AQ$3:AQ259,"M")</f>
        <v>5219.3799999995472</v>
      </c>
      <c r="BN160" s="87">
        <f>SUMIFS($AU$3:AU259,$AQ$3:AQ259,"H")</f>
        <v>2931.2000000002599</v>
      </c>
      <c r="BO160" s="87">
        <f>SUMIFS($AU$3:AU259,$AQ$3:AQ259,"D")</f>
        <v>1266.0000000000005</v>
      </c>
      <c r="BP160" s="87">
        <f>SUMIFS($AU$3:AU163,$AQ$3:AQ163,"W")</f>
        <v>1414.3999999999999</v>
      </c>
      <c r="BQ160" s="87">
        <f>SUMIFS($AU$3:AU259,$Q$3:Q259,"O")</f>
        <v>1770.5799999998073</v>
      </c>
      <c r="BR160" s="87">
        <f>SUMIFS($AU$3:AU161,$AA$3:AA161,"*")</f>
        <v>10186.199999999651</v>
      </c>
      <c r="BS160" s="87">
        <f>SUMIFS($AU$3:AU161,$AB$3:AB161,"*")</f>
        <v>4247.179999999933</v>
      </c>
      <c r="BT160" s="87">
        <f>SUMIFS($AU$3:AU161,$AC$3:AC161,"*")</f>
        <v>4644.3999999999996</v>
      </c>
      <c r="BU160" s="87">
        <f>SUMIFS($AU$3:AU161,$AA$3:AA161,"*",$AB$3:AB161,"*")</f>
        <v>2495.999999999824</v>
      </c>
      <c r="BV160" s="87">
        <f>SUMIFS($AU$3:AU161,$AA$3:AA161,"*",$AC$3:AC161,"*")</f>
        <v>4580.3999999999996</v>
      </c>
      <c r="BW160" s="87">
        <f>SUMIFS($AU$3:AU161,$AB$3:AB161,"*",$AC$3:AC161,"*")</f>
        <v>1919.9999999999995</v>
      </c>
      <c r="BX160" s="87">
        <f>SUMIFS($AV$3:AV161,$Q$3:Q161,"F")</f>
        <v>145.15829909221213</v>
      </c>
      <c r="BY160" s="87">
        <f>SUMIFS($AV$3:AV161,$Q$3:Q161,"S")</f>
        <v>348.9324278785781</v>
      </c>
      <c r="BZ160" s="87">
        <f>SUMIFS($AV$3:AV161,$Q$3:Q161,"O")</f>
        <v>114.73999999989564</v>
      </c>
    </row>
    <row r="161" spans="1:78" ht="18" customHeight="1">
      <c r="A161" s="45" t="s">
        <v>567</v>
      </c>
      <c r="B161" s="59">
        <v>45324</v>
      </c>
      <c r="C161" s="46" t="s">
        <v>147</v>
      </c>
      <c r="D161" s="46" t="s">
        <v>115</v>
      </c>
      <c r="E161" s="66"/>
      <c r="F161" s="47"/>
      <c r="G161" s="106" t="s">
        <v>111</v>
      </c>
      <c r="H161" s="49"/>
      <c r="I161" s="49"/>
      <c r="J161" s="49"/>
      <c r="K161" s="50"/>
      <c r="L161" s="49"/>
      <c r="M161" s="49">
        <v>1</v>
      </c>
      <c r="N161" s="49"/>
      <c r="O161" s="50" t="s">
        <v>100</v>
      </c>
      <c r="P161" s="50" t="s">
        <v>101</v>
      </c>
      <c r="Q161" s="50" t="s">
        <v>102</v>
      </c>
      <c r="R161" s="50">
        <v>18</v>
      </c>
      <c r="S161" s="50">
        <v>0</v>
      </c>
      <c r="T161" s="50">
        <v>18</v>
      </c>
      <c r="U161" s="50" t="s">
        <v>102</v>
      </c>
      <c r="V161" s="50"/>
      <c r="W161" s="50"/>
      <c r="X161" s="50"/>
      <c r="Y161" s="51">
        <f t="shared" si="40"/>
        <v>0.01</v>
      </c>
      <c r="Z161" s="52">
        <f>IF(ISBLANK(O161),"",IF(O161="IB",8.63*200,IF(O161="IR",16*100,IF(O161="YT",20*100,IF(O161="YT-XT",24*200,IF(O161="TED",80*100))))))</f>
        <v>1600</v>
      </c>
      <c r="AA161" s="52" t="s">
        <v>642</v>
      </c>
      <c r="AB161" s="52"/>
      <c r="AC161" s="52"/>
      <c r="AD161" s="231">
        <v>-0.16</v>
      </c>
      <c r="AE161" s="49"/>
      <c r="AF161" s="84"/>
      <c r="AG161" s="49"/>
      <c r="AH161" s="49"/>
      <c r="AI161" s="49"/>
      <c r="AJ161" s="226"/>
      <c r="AK161" s="49"/>
      <c r="AL161" s="113">
        <f t="shared" ref="AL161:AL167" si="44">-0.02*Z161</f>
        <v>-32</v>
      </c>
      <c r="AM161" s="113">
        <f t="shared" si="36"/>
        <v>-576</v>
      </c>
      <c r="AN161" s="218"/>
      <c r="AO161" s="49"/>
      <c r="AP161" s="49" t="s">
        <v>643</v>
      </c>
      <c r="AQ161" s="84" t="s">
        <v>350</v>
      </c>
      <c r="AR161" s="49" t="s">
        <v>644</v>
      </c>
      <c r="AS161" s="55">
        <v>-0.17</v>
      </c>
      <c r="AT161" s="55">
        <f t="shared" si="41"/>
        <v>1.0000000000000009E-2</v>
      </c>
      <c r="AU161" s="54">
        <f t="shared" si="42"/>
        <v>288.00000000000023</v>
      </c>
      <c r="AV161" s="56">
        <f t="shared" si="43"/>
        <v>16.000000000000014</v>
      </c>
      <c r="AW161" s="57" t="s">
        <v>101</v>
      </c>
      <c r="AX161" s="96"/>
      <c r="AY161" s="96"/>
      <c r="AZ161" s="96"/>
      <c r="BA161" s="96"/>
      <c r="BB161" s="96"/>
      <c r="BC161" s="96"/>
      <c r="BD161" s="96"/>
      <c r="BE161" s="96"/>
      <c r="BF161" s="100"/>
      <c r="BG161" s="94">
        <f>SUM($AV$4:AV161)</f>
        <v>936.83072697069383</v>
      </c>
      <c r="BH161" s="95">
        <f>SUM($AU$4:AU161)</f>
        <v>12001.379999999761</v>
      </c>
      <c r="BI161" s="80">
        <f>SUMIFS($AU$3:AU162,$Q$3:Q162,"F")</f>
        <v>5220.4000000000005</v>
      </c>
      <c r="BJ161" s="80">
        <f>SUMIFS($AU$3:AU162,$Q$3:Q162,"S")</f>
        <v>6431.9999999999991</v>
      </c>
      <c r="BK161" s="87">
        <f>SUMIFS($AU$3:AU162,$P$3:P162,"W")</f>
        <v>9149.5799999999363</v>
      </c>
      <c r="BL161" s="87">
        <f>SUMIFS($AU$3:AU162,$P$3:P162,"R")</f>
        <v>2894.0000000000005</v>
      </c>
      <c r="BM161" s="87">
        <f>SUMIFS($AU$3:AU162,$AQ$3:AQ162,"M")</f>
        <v>3372.9799999997613</v>
      </c>
      <c r="BN161" s="87">
        <f>SUMIFS($AU$3:AU162,$AQ$3:AQ162,"H")</f>
        <v>5263.9999999999973</v>
      </c>
      <c r="BO161" s="87">
        <f>SUMIFS($AU$3:AU162,$AQ$3:AQ162,"D")</f>
        <v>2590.0000000000009</v>
      </c>
      <c r="BP161" s="87">
        <f>SUMIFS($AU$3:AU164,$AQ$3:AQ164,"W")</f>
        <v>1414.3999999999999</v>
      </c>
      <c r="BQ161" s="87">
        <f>SUMIFS($AU$3:AU162,$Q$3:Q162,"O")</f>
        <v>308.97999999975195</v>
      </c>
      <c r="BR161" s="87">
        <f>SUMIFS($AU$3:AU162,$AA$3:AA162,"*")</f>
        <v>10522.199999999651</v>
      </c>
      <c r="BS161" s="87">
        <f>SUMIFS($AU$3:AU162,$AB$3:AB162,"*")</f>
        <v>4247.179999999933</v>
      </c>
      <c r="BT161" s="87">
        <f>SUMIFS($AU$3:AU162,$AC$3:AC162,"*")</f>
        <v>4644.3999999999996</v>
      </c>
      <c r="BU161" s="87">
        <f>SUMIFS($AU$3:AU162,$AA$3:AA162,"*",$AB$3:AB162,"*")</f>
        <v>2495.999999999824</v>
      </c>
      <c r="BV161" s="87">
        <f>SUMIFS($AU$3:AU162,$AA$3:AA162,"*",$AC$3:AC162,"*")</f>
        <v>4580.3999999999996</v>
      </c>
      <c r="BW161" s="87">
        <f>SUMIFS($AU$3:AU162,$AB$3:AB162,"*",$AC$3:AC162,"*")</f>
        <v>1919.9999999999995</v>
      </c>
      <c r="BX161" s="87">
        <f>SUMIFS($AV$3:AV162,$Q$3:Q162,"F")</f>
        <v>145.15829909221213</v>
      </c>
      <c r="BY161" s="87">
        <f>SUMIFS($AV$3:AV162,$Q$3:Q162,"S")</f>
        <v>364.9324278785781</v>
      </c>
      <c r="BZ161" s="87">
        <f>SUMIFS($AV$3:AV162,$Q$3:Q162,"O")</f>
        <v>114.73999999989564</v>
      </c>
    </row>
    <row r="162" spans="1:78" ht="18" customHeight="1">
      <c r="A162" s="45" t="s">
        <v>567</v>
      </c>
      <c r="B162" s="59">
        <v>45324</v>
      </c>
      <c r="C162" s="46" t="s">
        <v>147</v>
      </c>
      <c r="D162" s="46" t="s">
        <v>115</v>
      </c>
      <c r="E162" s="66"/>
      <c r="F162" s="47"/>
      <c r="G162" s="106" t="s">
        <v>99</v>
      </c>
      <c r="H162" s="49"/>
      <c r="I162" s="49"/>
      <c r="J162" s="49"/>
      <c r="K162" s="50"/>
      <c r="L162" s="49"/>
      <c r="M162" s="49">
        <v>2</v>
      </c>
      <c r="N162" s="49"/>
      <c r="O162" s="50" t="s">
        <v>100</v>
      </c>
      <c r="P162" s="50" t="s">
        <v>101</v>
      </c>
      <c r="Q162" s="50" t="s">
        <v>102</v>
      </c>
      <c r="R162" s="50">
        <v>21</v>
      </c>
      <c r="S162" s="50">
        <v>21</v>
      </c>
      <c r="T162" s="50">
        <v>21</v>
      </c>
      <c r="U162" s="50" t="s">
        <v>102</v>
      </c>
      <c r="V162" s="50"/>
      <c r="W162" s="50"/>
      <c r="X162" s="50"/>
      <c r="Y162" s="51">
        <f t="shared" si="40"/>
        <v>0.01</v>
      </c>
      <c r="Z162" s="52">
        <f>IF(ISBLANK(O162),"",IF(O162="IB",8.63*200,IF(O162="IR",16*100,IF(O162="YT",20*100,IF(O162="YT-XT",24*200,IF(O162="TED",80*100))))))</f>
        <v>1600</v>
      </c>
      <c r="AA162" s="52" t="s">
        <v>645</v>
      </c>
      <c r="AB162" s="52"/>
      <c r="AC162" s="52"/>
      <c r="AD162" s="231">
        <v>-0.1</v>
      </c>
      <c r="AE162" s="49"/>
      <c r="AF162" s="84"/>
      <c r="AG162" s="49"/>
      <c r="AH162" s="49"/>
      <c r="AI162" s="49"/>
      <c r="AJ162" s="226"/>
      <c r="AK162" s="49"/>
      <c r="AL162" s="113">
        <f t="shared" si="44"/>
        <v>-32</v>
      </c>
      <c r="AM162" s="113">
        <f t="shared" si="36"/>
        <v>0</v>
      </c>
      <c r="AN162" s="218"/>
      <c r="AO162" s="49"/>
      <c r="AP162" s="49"/>
      <c r="AQ162" s="84" t="s">
        <v>350</v>
      </c>
      <c r="AR162" s="49" t="s">
        <v>147</v>
      </c>
      <c r="AS162" s="55">
        <v>-0.11</v>
      </c>
      <c r="AT162" s="55">
        <f t="shared" si="41"/>
        <v>9.999999999999995E-3</v>
      </c>
      <c r="AU162" s="54">
        <f t="shared" si="42"/>
        <v>335.99999999999983</v>
      </c>
      <c r="AV162" s="56">
        <f t="shared" si="43"/>
        <v>15.999999999999993</v>
      </c>
      <c r="AW162" s="57" t="s">
        <v>101</v>
      </c>
      <c r="AX162" s="96" t="s">
        <v>646</v>
      </c>
      <c r="AY162" s="96" t="s">
        <v>647</v>
      </c>
      <c r="AZ162" s="96"/>
      <c r="BA162" s="96"/>
      <c r="BB162" s="96"/>
      <c r="BC162" s="96"/>
      <c r="BD162" s="96"/>
      <c r="BE162" s="96"/>
      <c r="BF162" s="100"/>
      <c r="BG162" s="94">
        <f>SUM($AV$4:AV162)</f>
        <v>952.83072697069383</v>
      </c>
      <c r="BH162" s="95">
        <f>SUM($AU$4:AU162)</f>
        <v>12337.379999999761</v>
      </c>
      <c r="BI162" s="80">
        <f>SUMIFS($AU$3:AU163,$Q$3:Q163,"F")</f>
        <v>5220.4000000000005</v>
      </c>
      <c r="BJ162" s="80">
        <f>SUMIFS($AU$3:AU163,$Q$3:Q163,"S")</f>
        <v>6431.9999999999991</v>
      </c>
      <c r="BK162" s="87">
        <f>SUMIFS($AU$3:AU163,$P$3:P163,"W")</f>
        <v>9149.5799999999363</v>
      </c>
      <c r="BL162" s="87">
        <f>SUMIFS($AU$3:AU163,$P$3:P163,"R")</f>
        <v>2894.0000000000005</v>
      </c>
      <c r="BM162" s="87">
        <f>SUMIFS($AU$3:AU163,$AQ$3:AQ163,"M")</f>
        <v>3372.9799999997613</v>
      </c>
      <c r="BN162" s="87">
        <f>SUMIFS($AU$3:AU163,$AQ$3:AQ163,"H")</f>
        <v>5263.9999999999973</v>
      </c>
      <c r="BO162" s="87">
        <f>SUMIFS($AU$3:AU163,$AQ$3:AQ163,"D")</f>
        <v>2590.0000000000009</v>
      </c>
      <c r="BP162" s="87">
        <f>SUMIFS($AU$3:AU165,$AQ$3:AQ165,"W")</f>
        <v>1414.3999999999999</v>
      </c>
      <c r="BQ162" s="87">
        <f>SUMIFS($AU$3:AU163,$Q$3:Q163,"O")</f>
        <v>308.97999999975195</v>
      </c>
      <c r="BR162" s="87">
        <f>SUMIFS($AU$3:AU163,$AA$3:AA163,"*")</f>
        <v>10522.199999999651</v>
      </c>
      <c r="BS162" s="87">
        <f>SUMIFS($AU$3:AU163,$AB$3:AB163,"*")</f>
        <v>4247.179999999933</v>
      </c>
      <c r="BT162" s="87">
        <f>SUMIFS($AU$3:AU163,$AC$3:AC163,"*")</f>
        <v>4644.3999999999996</v>
      </c>
      <c r="BU162" s="87">
        <f>SUMIFS($AU$3:AU163,$AA$3:AA163,"*",$AB$3:AB163,"*")</f>
        <v>2495.999999999824</v>
      </c>
      <c r="BV162" s="87">
        <f>SUMIFS($AU$3:AU163,$AA$3:AA163,"*",$AC$3:AC163,"*")</f>
        <v>4580.3999999999996</v>
      </c>
      <c r="BW162" s="87">
        <f>SUMIFS($AU$3:AU163,$AB$3:AB163,"*",$AC$3:AC163,"*")</f>
        <v>1919.9999999999995</v>
      </c>
      <c r="BX162" s="87">
        <f>SUMIFS($AV$3:AV163,$Q$3:Q163,"F")</f>
        <v>145.15829909221213</v>
      </c>
      <c r="BY162" s="87">
        <f>SUMIFS($AV$3:AV163,$Q$3:Q163,"S")</f>
        <v>364.9324278785781</v>
      </c>
      <c r="BZ162" s="87">
        <f>SUMIFS($AV$3:AV163,$Q$3:Q163,"O")</f>
        <v>114.73999999989564</v>
      </c>
    </row>
    <row r="163" spans="1:78" ht="18" customHeight="1">
      <c r="A163" s="45" t="s">
        <v>567</v>
      </c>
      <c r="B163" s="59">
        <v>45324</v>
      </c>
      <c r="C163" s="46" t="s">
        <v>406</v>
      </c>
      <c r="D163" s="46" t="s">
        <v>115</v>
      </c>
      <c r="E163" s="66"/>
      <c r="F163" s="47"/>
      <c r="G163" s="106" t="s">
        <v>227</v>
      </c>
      <c r="H163" s="49"/>
      <c r="I163" s="49"/>
      <c r="J163" s="49"/>
      <c r="K163" s="50"/>
      <c r="L163" s="49">
        <v>2</v>
      </c>
      <c r="M163" s="49"/>
      <c r="N163" s="49"/>
      <c r="O163" s="50" t="s">
        <v>100</v>
      </c>
      <c r="P163" s="50" t="s">
        <v>101</v>
      </c>
      <c r="Q163" s="50" t="s">
        <v>102</v>
      </c>
      <c r="R163" s="50">
        <v>40</v>
      </c>
      <c r="S163" s="50">
        <v>0</v>
      </c>
      <c r="T163" s="50">
        <v>50</v>
      </c>
      <c r="U163" s="50" t="s">
        <v>102</v>
      </c>
      <c r="V163" s="50"/>
      <c r="W163" s="50"/>
      <c r="X163" s="50"/>
      <c r="Y163" s="51">
        <f t="shared" si="40"/>
        <v>0.01</v>
      </c>
      <c r="Z163" s="52">
        <f>IF(ISBLANK(O163),"",IF(O163="IB",8.63*200,IF(O163="IR",16*100,IF(O163="YT",20*100,IF(O163="YT-XT",24*200,IF(O163="TED",80*100))))))</f>
        <v>1600</v>
      </c>
      <c r="AA163" s="52" t="s">
        <v>277</v>
      </c>
      <c r="AB163" s="52"/>
      <c r="AC163" s="52" t="s">
        <v>648</v>
      </c>
      <c r="AD163" s="231">
        <v>-0.15</v>
      </c>
      <c r="AE163" s="49"/>
      <c r="AF163" s="84"/>
      <c r="AG163" s="49"/>
      <c r="AH163" s="49"/>
      <c r="AI163" s="49"/>
      <c r="AJ163" s="226"/>
      <c r="AK163" s="49"/>
      <c r="AL163" s="113">
        <f t="shared" si="44"/>
        <v>-32</v>
      </c>
      <c r="AM163" s="113">
        <f t="shared" si="36"/>
        <v>-1280</v>
      </c>
      <c r="AN163" s="218"/>
      <c r="AO163" s="49"/>
      <c r="AP163" s="49"/>
      <c r="AQ163" s="84" t="s">
        <v>142</v>
      </c>
      <c r="AR163" s="49" t="s">
        <v>649</v>
      </c>
      <c r="AS163" s="55">
        <v>-0.15</v>
      </c>
      <c r="AT163" s="55">
        <f t="shared" si="41"/>
        <v>0</v>
      </c>
      <c r="AU163" s="54">
        <f t="shared" si="42"/>
        <v>0</v>
      </c>
      <c r="AV163" s="56">
        <f t="shared" si="43"/>
        <v>0</v>
      </c>
      <c r="AW163" s="57" t="s">
        <v>155</v>
      </c>
      <c r="AX163" s="96" t="s">
        <v>650</v>
      </c>
      <c r="AY163" s="96" t="s">
        <v>651</v>
      </c>
      <c r="AZ163" s="96"/>
      <c r="BA163" s="96"/>
      <c r="BB163" s="96"/>
      <c r="BC163" s="96"/>
      <c r="BD163" s="96"/>
      <c r="BE163" s="96"/>
      <c r="BF163" s="100"/>
      <c r="BG163" s="94">
        <f>SUM($AV$4:AV163)</f>
        <v>952.83072697069383</v>
      </c>
      <c r="BH163" s="95">
        <f>SUM($AU$4:AU163)</f>
        <v>12337.379999999761</v>
      </c>
      <c r="BI163" s="80">
        <f>SUMIFS($AU$3:AU164,$Q$3:Q164,"F")</f>
        <v>5220.4000000000005</v>
      </c>
      <c r="BJ163" s="80">
        <f>SUMIFS($AU$3:AU164,$Q$3:Q164,"S")</f>
        <v>6431.9999999999991</v>
      </c>
      <c r="BK163" s="87">
        <f>SUMIFS($AU$3:AU164,$P$3:P164,"W")</f>
        <v>9149.5799999999363</v>
      </c>
      <c r="BL163" s="87">
        <f>SUMIFS($AU$3:AU164,$P$3:P164,"R")</f>
        <v>2974.0000000000005</v>
      </c>
      <c r="BM163" s="87">
        <f>SUMIFS($AU$3:AU164,$AQ$3:AQ164,"M")</f>
        <v>3372.9799999997613</v>
      </c>
      <c r="BN163" s="87">
        <f>SUMIFS($AU$3:AU164,$AQ$3:AQ164,"H")</f>
        <v>5343.9999999999973</v>
      </c>
      <c r="BO163" s="87">
        <f>SUMIFS($AU$3:AU164,$AQ$3:AQ164,"D")</f>
        <v>2590.0000000000009</v>
      </c>
      <c r="BP163" s="87">
        <f>SUMIFS($AU$3:AU166,$AQ$3:AQ166,"W")</f>
        <v>3846.4000000000005</v>
      </c>
      <c r="BQ163" s="87">
        <f>SUMIFS($AU$3:AU164,$Q$3:Q164,"O")</f>
        <v>308.97999999975195</v>
      </c>
      <c r="BR163" s="87">
        <f>SUMIFS($AU$3:AU164,$AA$3:AA164,"*")</f>
        <v>10602.199999999651</v>
      </c>
      <c r="BS163" s="87">
        <f>SUMIFS($AU$3:AU164,$AB$3:AB164,"*")</f>
        <v>4247.179999999933</v>
      </c>
      <c r="BT163" s="87">
        <f>SUMIFS($AU$3:AU164,$AC$3:AC164,"*")</f>
        <v>4644.3999999999996</v>
      </c>
      <c r="BU163" s="87">
        <f>SUMIFS($AU$3:AU164,$AA$3:AA164,"*",$AB$3:AB164,"*")</f>
        <v>2495.999999999824</v>
      </c>
      <c r="BV163" s="87">
        <f>SUMIFS($AU$3:AU164,$AA$3:AA164,"*",$AC$3:AC164,"*")</f>
        <v>4580.3999999999996</v>
      </c>
      <c r="BW163" s="87">
        <f>SUMIFS($AU$3:AU164,$AB$3:AB164,"*",$AC$3:AC164,"*")</f>
        <v>1919.9999999999995</v>
      </c>
      <c r="BX163" s="87">
        <f>SUMIFS($AV$3:AV164,$Q$3:Q164,"F")</f>
        <v>145.15829909221213</v>
      </c>
      <c r="BY163" s="87">
        <f>SUMIFS($AV$3:AV164,$Q$3:Q164,"S")</f>
        <v>364.9324278785781</v>
      </c>
      <c r="BZ163" s="87">
        <f>SUMIFS($AV$3:AV164,$Q$3:Q164,"O")</f>
        <v>114.73999999989564</v>
      </c>
    </row>
    <row r="164" spans="1:78" ht="18" customHeight="1">
      <c r="A164" s="45" t="s">
        <v>567</v>
      </c>
      <c r="B164" s="59">
        <v>45327</v>
      </c>
      <c r="C164" s="46" t="s">
        <v>652</v>
      </c>
      <c r="D164" s="46" t="s">
        <v>176</v>
      </c>
      <c r="E164" s="66"/>
      <c r="F164" s="47"/>
      <c r="G164" s="106" t="s">
        <v>362</v>
      </c>
      <c r="H164" s="49"/>
      <c r="I164" s="49"/>
      <c r="J164" s="49"/>
      <c r="K164" s="50"/>
      <c r="L164" s="49">
        <v>1</v>
      </c>
      <c r="M164" s="49"/>
      <c r="N164" s="49"/>
      <c r="O164" s="50" t="s">
        <v>363</v>
      </c>
      <c r="P164" s="50" t="s">
        <v>126</v>
      </c>
      <c r="Q164" s="50"/>
      <c r="R164" s="50">
        <v>1</v>
      </c>
      <c r="S164" s="50">
        <v>0</v>
      </c>
      <c r="T164" s="50">
        <v>1</v>
      </c>
      <c r="U164" s="50" t="s">
        <v>102</v>
      </c>
      <c r="V164" s="50"/>
      <c r="W164" s="50"/>
      <c r="X164" s="50"/>
      <c r="Y164" s="51">
        <f t="shared" si="40"/>
        <v>0.01</v>
      </c>
      <c r="Z164" s="52">
        <f>IF(ISBLANK(O164),"",IF(O164="IB",8.63*200,IF(O164="IR",16*100,IF(O164="YT",20*100,IF(O164="YT-XT",24*200,IF(O164="TED",80*100))))))</f>
        <v>8000</v>
      </c>
      <c r="AA164" s="52" t="s">
        <v>177</v>
      </c>
      <c r="AB164" s="52"/>
      <c r="AC164" s="52"/>
      <c r="AD164" s="231">
        <v>0.01</v>
      </c>
      <c r="AE164" s="49"/>
      <c r="AF164" s="84"/>
      <c r="AG164" s="49"/>
      <c r="AH164" s="49"/>
      <c r="AI164" s="49"/>
      <c r="AJ164" s="226"/>
      <c r="AK164" s="49"/>
      <c r="AL164" s="113">
        <f t="shared" si="44"/>
        <v>-160</v>
      </c>
      <c r="AM164" s="113">
        <f t="shared" si="36"/>
        <v>-160</v>
      </c>
      <c r="AN164" s="218"/>
      <c r="AO164" s="49"/>
      <c r="AP164" s="49" t="s">
        <v>136</v>
      </c>
      <c r="AQ164" s="84" t="s">
        <v>142</v>
      </c>
      <c r="AR164" s="49" t="s">
        <v>653</v>
      </c>
      <c r="AS164" s="55">
        <v>0</v>
      </c>
      <c r="AT164" s="55">
        <f t="shared" si="41"/>
        <v>0.01</v>
      </c>
      <c r="AU164" s="54">
        <f t="shared" si="42"/>
        <v>80</v>
      </c>
      <c r="AV164" s="56">
        <f t="shared" si="43"/>
        <v>80</v>
      </c>
      <c r="AW164" s="57" t="s">
        <v>101</v>
      </c>
      <c r="AX164" s="96" t="s">
        <v>654</v>
      </c>
      <c r="AY164" s="96"/>
      <c r="AZ164" s="96"/>
      <c r="BA164" s="96"/>
      <c r="BB164" s="96"/>
      <c r="BC164" s="96"/>
      <c r="BD164" s="96"/>
      <c r="BE164" s="96"/>
      <c r="BF164" s="100"/>
      <c r="BG164" s="94">
        <f>SUM($AV$4:AV164)</f>
        <v>1032.8307269706938</v>
      </c>
      <c r="BH164" s="95">
        <f>SUM($AU$4:AU164)</f>
        <v>12417.379999999761</v>
      </c>
      <c r="BI164" s="80">
        <f>SUMIFS($AU$3:AU257,$Q$3:Q257,"F")</f>
        <v>9348.4000000000015</v>
      </c>
      <c r="BJ164" s="80">
        <f>SUMIFS($AU$3:AU257,$Q$3:Q257,"S")</f>
        <v>3279.9999999999918</v>
      </c>
      <c r="BK164" s="87">
        <f>SUMIFS($AU$3:AU257,$P$3:P257,"W")</f>
        <v>8717.579999999929</v>
      </c>
      <c r="BL164" s="87">
        <f>SUMIFS($AU$3:AU257,$P$3:P257,"R")</f>
        <v>4181.9999999999991</v>
      </c>
      <c r="BM164" s="87">
        <f>SUMIFS($AU$3:AU257,$AQ$3:AQ257,"M")</f>
        <v>5219.3799999995472</v>
      </c>
      <c r="BN164" s="87">
        <f>SUMIFS($AU$3:AU257,$AQ$3:AQ257,"H")</f>
        <v>2931.2000000002599</v>
      </c>
      <c r="BO164" s="87">
        <f>SUMIFS($AU$3:AU257,$AQ$3:AQ257,"D")</f>
        <v>1266.0000000000005</v>
      </c>
      <c r="BP164" s="87">
        <f>SUMIFS($AU$3:AU167,$AQ$3:AQ167,"W")</f>
        <v>3846.4000000000005</v>
      </c>
      <c r="BQ164" s="87">
        <f>SUMIFS($AU$3:AU257,$Q$3:Q257,"O")</f>
        <v>1770.5799999998073</v>
      </c>
      <c r="BR164" s="87">
        <f>SUMIFS($AU$3:AU165,$AA$3:AA165,"*")</f>
        <v>10602.199999999651</v>
      </c>
      <c r="BS164" s="87">
        <f>SUMIFS($AU$3:AU165,$AB$3:AB165,"*")</f>
        <v>4247.179999999933</v>
      </c>
      <c r="BT164" s="87">
        <f>SUMIFS($AU$3:AU165,$AC$3:AC165,"*")</f>
        <v>4644.3999999999996</v>
      </c>
      <c r="BU164" s="87">
        <f>SUMIFS($AU$3:AU165,$AA$3:AA165,"*",$AB$3:AB165,"*")</f>
        <v>2495.999999999824</v>
      </c>
      <c r="BV164" s="87">
        <f>SUMIFS($AU$3:AU165,$AA$3:AA165,"*",$AC$3:AC165,"*")</f>
        <v>4580.3999999999996</v>
      </c>
      <c r="BW164" s="87">
        <f>SUMIFS($AU$3:AU165,$AB$3:AB165,"*",$AC$3:AC165,"*")</f>
        <v>1919.9999999999995</v>
      </c>
      <c r="BX164" s="87">
        <f>SUMIFS($AV$3:AV165,$Q$3:Q165,"F")</f>
        <v>145.15829909221213</v>
      </c>
      <c r="BY164" s="87">
        <f>SUMIFS($AV$3:AV165,$Q$3:Q165,"S")</f>
        <v>364.9324278785781</v>
      </c>
      <c r="BZ164" s="87">
        <f>SUMIFS($AV$3:AV165,$Q$3:Q165,"O")</f>
        <v>114.73999999989564</v>
      </c>
    </row>
    <row r="165" spans="1:78" ht="18" customHeight="1">
      <c r="A165" s="45" t="s">
        <v>567</v>
      </c>
      <c r="B165" s="59">
        <v>45327</v>
      </c>
      <c r="C165" s="46" t="s">
        <v>179</v>
      </c>
      <c r="D165" s="46" t="s">
        <v>176</v>
      </c>
      <c r="E165" s="66"/>
      <c r="F165" s="47"/>
      <c r="G165" s="48" t="s">
        <v>655</v>
      </c>
      <c r="H165" s="49"/>
      <c r="I165" s="49"/>
      <c r="J165" s="49"/>
      <c r="K165" s="50"/>
      <c r="L165" s="49"/>
      <c r="M165" s="49"/>
      <c r="N165" s="49"/>
      <c r="O165" s="50"/>
      <c r="P165" s="50"/>
      <c r="Q165" s="50"/>
      <c r="R165" s="50"/>
      <c r="S165" s="50"/>
      <c r="T165" s="50"/>
      <c r="U165" s="50"/>
      <c r="V165" s="50"/>
      <c r="W165" s="50"/>
      <c r="X165" s="50"/>
      <c r="Y165" s="51"/>
      <c r="Z165" s="52"/>
      <c r="AA165" s="52"/>
      <c r="AB165" s="52"/>
      <c r="AC165" s="52"/>
      <c r="AD165" s="231"/>
      <c r="AE165" s="49"/>
      <c r="AF165" s="84"/>
      <c r="AG165" s="49"/>
      <c r="AH165" s="49"/>
      <c r="AI165" s="49"/>
      <c r="AJ165" s="226"/>
      <c r="AK165" s="49"/>
      <c r="AL165" s="113">
        <f t="shared" si="44"/>
        <v>0</v>
      </c>
      <c r="AM165" s="113">
        <f t="shared" si="36"/>
        <v>0</v>
      </c>
      <c r="AN165" s="218"/>
      <c r="AO165" s="49"/>
      <c r="AP165" s="49"/>
      <c r="AQ165" s="84" t="str">
        <f>UPPER(RIGHT(Journal_Live[[#This Row],[DURATION ]]))</f>
        <v/>
      </c>
      <c r="AR165" s="49"/>
      <c r="AS165" s="55"/>
      <c r="AT165" s="55"/>
      <c r="AU165" s="54"/>
      <c r="AV165" s="56"/>
      <c r="AW165" s="57"/>
      <c r="AX165" s="97" t="s">
        <v>656</v>
      </c>
      <c r="AY165" s="97" t="s">
        <v>657</v>
      </c>
      <c r="AZ165" s="97" t="s">
        <v>658</v>
      </c>
      <c r="BA165" s="97" t="s">
        <v>659</v>
      </c>
      <c r="BB165" s="96"/>
      <c r="BC165" s="96"/>
      <c r="BD165" s="99" t="s">
        <v>660</v>
      </c>
      <c r="BE165" s="99" t="s">
        <v>661</v>
      </c>
      <c r="BF165" s="99" t="s">
        <v>662</v>
      </c>
      <c r="BG165" s="94">
        <f>SUM($AV$4:AV165)</f>
        <v>1032.8307269706938</v>
      </c>
      <c r="BH165" s="95">
        <f>SUM($AU$4:AU165)</f>
        <v>12417.379999999761</v>
      </c>
      <c r="BI165" s="80">
        <f>SUMIFS($AU$3:AU166,$Q$3:Q166,"F")</f>
        <v>7652.4000000000015</v>
      </c>
      <c r="BJ165" s="80">
        <f>SUMIFS($AU$3:AU166,$Q$3:Q166,"S")</f>
        <v>6431.9999999999991</v>
      </c>
      <c r="BK165" s="87">
        <f>SUMIFS($AU$3:AU166,$P$3:P166,"W")</f>
        <v>11581.579999999936</v>
      </c>
      <c r="BL165" s="87">
        <f>SUMIFS($AU$3:AU166,$P$3:P166,"R")</f>
        <v>2974.0000000000005</v>
      </c>
      <c r="BM165" s="87">
        <f>SUMIFS($AU$3:AU166,$AQ$3:AQ166,"M")</f>
        <v>3372.9799999997613</v>
      </c>
      <c r="BN165" s="87">
        <f>SUMIFS($AU$3:AU166,$AQ$3:AQ166,"H")</f>
        <v>5343.9999999999973</v>
      </c>
      <c r="BO165" s="87">
        <f>SUMIFS($AU$3:AU166,$AQ$3:AQ166,"D")</f>
        <v>2590.0000000000009</v>
      </c>
      <c r="BP165" s="87">
        <f>SUMIFS($AU$3:AU168,$AQ$3:AQ168,"W")</f>
        <v>3846.4000000000005</v>
      </c>
      <c r="BQ165" s="87">
        <f>SUMIFS($AU$3:AU166,$Q$3:Q166,"O")</f>
        <v>308.97999999975195</v>
      </c>
      <c r="BR165" s="87">
        <f>SUMIFS($AU$3:AU166,$AA$3:AA166,"*")</f>
        <v>13034.199999999651</v>
      </c>
      <c r="BS165" s="87">
        <f>SUMIFS($AU$3:AU166,$AB$3:AB166,"*")</f>
        <v>4247.179999999933</v>
      </c>
      <c r="BT165" s="87">
        <f>SUMIFS($AU$3:AU166,$AC$3:AC166,"*")</f>
        <v>7076.4000000000005</v>
      </c>
      <c r="BU165" s="87">
        <f>SUMIFS($AU$3:AU166,$AA$3:AA166,"*",$AB$3:AB166,"*")</f>
        <v>2495.999999999824</v>
      </c>
      <c r="BV165" s="87">
        <f>SUMIFS($AU$3:AU166,$AA$3:AA166,"*",$AC$3:AC166,"*")</f>
        <v>7012.4000000000005</v>
      </c>
      <c r="BW165" s="87">
        <f>SUMIFS($AU$3:AU166,$AB$3:AB166,"*",$AC$3:AC166,"*")</f>
        <v>1919.9999999999995</v>
      </c>
      <c r="BX165" s="87">
        <f>SUMIFS($AV$3:AV166,$Q$3:Q166,"F")</f>
        <v>198.02786430960344</v>
      </c>
      <c r="BY165" s="87">
        <f>SUMIFS($AV$3:AV166,$Q$3:Q166,"S")</f>
        <v>364.9324278785781</v>
      </c>
      <c r="BZ165" s="87">
        <f>SUMIFS($AV$3:AV166,$Q$3:Q166,"O")</f>
        <v>114.73999999989564</v>
      </c>
    </row>
    <row r="166" spans="1:78" ht="18" customHeight="1">
      <c r="A166" s="45" t="s">
        <v>567</v>
      </c>
      <c r="B166" s="59">
        <v>45327</v>
      </c>
      <c r="C166" s="46" t="s">
        <v>663</v>
      </c>
      <c r="D166" s="46" t="s">
        <v>176</v>
      </c>
      <c r="E166" s="66"/>
      <c r="F166" s="47"/>
      <c r="G166" s="106" t="s">
        <v>664</v>
      </c>
      <c r="H166" s="49"/>
      <c r="I166" s="49"/>
      <c r="J166" s="49"/>
      <c r="K166" s="50"/>
      <c r="L166" s="49"/>
      <c r="M166" s="49">
        <v>1</v>
      </c>
      <c r="N166" s="49"/>
      <c r="O166" s="50" t="s">
        <v>100</v>
      </c>
      <c r="P166" s="50" t="s">
        <v>101</v>
      </c>
      <c r="Q166" s="50" t="s">
        <v>127</v>
      </c>
      <c r="R166" s="50">
        <v>46</v>
      </c>
      <c r="S166" s="50">
        <v>30</v>
      </c>
      <c r="T166" s="50">
        <v>41</v>
      </c>
      <c r="U166" s="50" t="s">
        <v>102</v>
      </c>
      <c r="V166" s="50"/>
      <c r="W166" s="50"/>
      <c r="X166" s="50"/>
      <c r="Y166" s="51">
        <f>IF(ISBLANK(O166),"",(IF(O166=UPPER("IB"),0.005,0.01)))</f>
        <v>0.01</v>
      </c>
      <c r="Z166" s="52">
        <f>IF(ISBLANK(O166),"",IF(O166="IB",8.63*200,IF(O166="IR",16*100,IF(O166="YT",20*100,IF(O166="YT-XT",24*200,IF(O166="TED",80*100))))))</f>
        <v>1600</v>
      </c>
      <c r="AA166" s="52" t="s">
        <v>665</v>
      </c>
      <c r="AB166" s="52"/>
      <c r="AC166" s="52" t="s">
        <v>666</v>
      </c>
      <c r="AD166" s="231">
        <f>(0.05*41+0.07*5)/46</f>
        <v>5.2173913043478272E-2</v>
      </c>
      <c r="AE166" s="49"/>
      <c r="AF166" s="84"/>
      <c r="AG166" s="49"/>
      <c r="AH166" s="49"/>
      <c r="AI166" s="49"/>
      <c r="AJ166" s="226" t="s">
        <v>667</v>
      </c>
      <c r="AK166" s="49"/>
      <c r="AL166" s="113">
        <f>-0.035*Z166</f>
        <v>-56.000000000000007</v>
      </c>
      <c r="AM166" s="113">
        <f t="shared" si="36"/>
        <v>-896.00000000000011</v>
      </c>
      <c r="AN166" s="218" t="s">
        <v>668</v>
      </c>
      <c r="AO166" s="96" t="s">
        <v>669</v>
      </c>
      <c r="AP166" s="49" t="s">
        <v>670</v>
      </c>
      <c r="AQ166" s="84" t="s">
        <v>101</v>
      </c>
      <c r="AR166" s="74">
        <v>45335</v>
      </c>
      <c r="AS166" s="55">
        <f>((0.02*30)+(0.01*10)+(0.03*6))/46</f>
        <v>1.9130434782608695E-2</v>
      </c>
      <c r="AT166" s="55">
        <f>IF(ISBLANK(AS166),,IF(U166="S",AD166-AS166,AS166-AD166))</f>
        <v>3.3043478260869577E-2</v>
      </c>
      <c r="AU166" s="54">
        <f>AV166*R166</f>
        <v>2432.0000000000009</v>
      </c>
      <c r="AV166" s="56">
        <f>IF(ISBLANK(AS166),,(AT166*Z166))</f>
        <v>52.869565217391326</v>
      </c>
      <c r="AW166" s="57" t="s">
        <v>101</v>
      </c>
      <c r="AX166" s="96" t="s">
        <v>671</v>
      </c>
      <c r="AY166" s="96" t="s">
        <v>672</v>
      </c>
      <c r="AZ166" s="96" t="s">
        <v>673</v>
      </c>
      <c r="BA166" s="96" t="s">
        <v>674</v>
      </c>
      <c r="BB166" s="96" t="s">
        <v>675</v>
      </c>
      <c r="BC166" s="96" t="s">
        <v>603</v>
      </c>
      <c r="BD166" s="96" t="s">
        <v>676</v>
      </c>
      <c r="BE166" s="96"/>
      <c r="BF166" s="100"/>
      <c r="BG166" s="94">
        <f>SUM($AV$4:AV166)</f>
        <v>1085.7002921880851</v>
      </c>
      <c r="BH166" s="95">
        <f>SUM($AU$4:AU166)</f>
        <v>14849.379999999761</v>
      </c>
      <c r="BI166" s="80">
        <f>SUMIFS($AU$3:AU167,$Q$3:Q167,"F")</f>
        <v>7652.4000000000015</v>
      </c>
      <c r="BJ166" s="80">
        <f>SUMIFS($AU$3:AU167,$Q$3:Q167,"S")</f>
        <v>6431.9999999999991</v>
      </c>
      <c r="BK166" s="87">
        <f>SUMIFS($AU$3:AU167,$P$3:P167,"W")</f>
        <v>11581.579999999936</v>
      </c>
      <c r="BL166" s="87">
        <f>SUMIFS($AU$3:AU167,$P$3:P167,"R")</f>
        <v>2974.0000000000005</v>
      </c>
      <c r="BM166" s="87">
        <f>SUMIFS($AU$3:AU167,$AQ$3:AQ167,"M")</f>
        <v>3372.9799999997613</v>
      </c>
      <c r="BN166" s="87">
        <f>SUMIFS($AU$3:AU167,$AQ$3:AQ167,"H")</f>
        <v>5343.9999999999973</v>
      </c>
      <c r="BO166" s="87">
        <f>SUMIFS($AU$3:AU167,$AQ$3:AQ167,"D")</f>
        <v>2590.0000000000009</v>
      </c>
      <c r="BP166" s="87">
        <f>SUMIFS($AU$3:AU169,$AQ$3:AQ169,"W")</f>
        <v>3846.4000000000005</v>
      </c>
      <c r="BQ166" s="87">
        <f>SUMIFS($AU$3:AU167,$Q$3:Q167,"O")</f>
        <v>308.97999999975195</v>
      </c>
      <c r="BR166" s="87">
        <f>SUMIFS($AU$3:AU167,$AA$3:AA167,"*")</f>
        <v>13034.199999999651</v>
      </c>
      <c r="BS166" s="87">
        <f>SUMIFS($AU$3:AU167,$AB$3:AB167,"*")</f>
        <v>4247.179999999933</v>
      </c>
      <c r="BT166" s="87">
        <f>SUMIFS($AU$3:AU167,$AC$3:AC167,"*")</f>
        <v>7076.4000000000005</v>
      </c>
      <c r="BU166" s="87">
        <f>SUMIFS($AU$3:AU167,$AA$3:AA167,"*",$AB$3:AB167,"*")</f>
        <v>2495.999999999824</v>
      </c>
      <c r="BV166" s="87">
        <f>SUMIFS($AU$3:AU167,$AA$3:AA167,"*",$AC$3:AC167,"*")</f>
        <v>7012.4000000000005</v>
      </c>
      <c r="BW166" s="87">
        <f>SUMIFS($AU$3:AU167,$AB$3:AB167,"*",$AC$3:AC167,"*")</f>
        <v>1919.9999999999995</v>
      </c>
      <c r="BX166" s="87">
        <f>SUMIFS($AV$3:AV167,$Q$3:Q167,"F")</f>
        <v>198.02786430960344</v>
      </c>
      <c r="BY166" s="87">
        <f>SUMIFS($AV$3:AV167,$Q$3:Q167,"S")</f>
        <v>364.9324278785781</v>
      </c>
      <c r="BZ166" s="87">
        <f>SUMIFS($AV$3:AV167,$Q$3:Q167,"O")</f>
        <v>114.73999999989564</v>
      </c>
    </row>
    <row r="167" spans="1:78" ht="18" customHeight="1">
      <c r="A167" s="45" t="s">
        <v>567</v>
      </c>
      <c r="B167" s="59">
        <v>45327</v>
      </c>
      <c r="C167" s="46" t="s">
        <v>235</v>
      </c>
      <c r="D167" s="46" t="s">
        <v>176</v>
      </c>
      <c r="E167" s="66"/>
      <c r="F167" s="47"/>
      <c r="G167" s="48" t="s">
        <v>276</v>
      </c>
      <c r="H167" s="49"/>
      <c r="I167" s="49"/>
      <c r="J167" s="49"/>
      <c r="K167" s="50"/>
      <c r="L167" s="49"/>
      <c r="M167" s="49"/>
      <c r="N167" s="49"/>
      <c r="O167" s="50"/>
      <c r="P167" s="50"/>
      <c r="Q167" s="50"/>
      <c r="R167" s="50"/>
      <c r="S167" s="50"/>
      <c r="T167" s="50"/>
      <c r="U167" s="50"/>
      <c r="V167" s="50"/>
      <c r="W167" s="50"/>
      <c r="X167" s="50"/>
      <c r="Y167" s="51"/>
      <c r="Z167" s="52"/>
      <c r="AA167" s="52"/>
      <c r="AB167" s="52"/>
      <c r="AC167" s="52"/>
      <c r="AD167" s="231"/>
      <c r="AE167" s="49"/>
      <c r="AF167" s="84"/>
      <c r="AG167" s="49"/>
      <c r="AH167" s="49"/>
      <c r="AI167" s="49"/>
      <c r="AJ167" s="226"/>
      <c r="AK167" s="49"/>
      <c r="AL167" s="113">
        <f t="shared" si="44"/>
        <v>0</v>
      </c>
      <c r="AM167" s="113">
        <f t="shared" si="36"/>
        <v>0</v>
      </c>
      <c r="AN167" s="218"/>
      <c r="AO167" s="49"/>
      <c r="AP167" s="49"/>
      <c r="AQ167" s="84" t="str">
        <f>UPPER(RIGHT(Journal_Live[[#This Row],[DURATION ]]))</f>
        <v/>
      </c>
      <c r="AR167" s="49"/>
      <c r="AS167" s="55"/>
      <c r="AT167" s="55"/>
      <c r="AU167" s="54"/>
      <c r="AV167" s="56"/>
      <c r="AW167" s="57"/>
      <c r="AX167" s="96"/>
      <c r="AY167" s="96"/>
      <c r="AZ167" s="96"/>
      <c r="BA167" s="96"/>
      <c r="BB167" s="96"/>
      <c r="BC167" s="96"/>
      <c r="BD167" s="96"/>
      <c r="BE167" s="96"/>
      <c r="BF167" s="100"/>
      <c r="BG167" s="94">
        <f>SUM($AV$4:AV167)</f>
        <v>1085.7002921880851</v>
      </c>
      <c r="BH167" s="95">
        <f>SUM($AU$4:AU167)</f>
        <v>14849.379999999761</v>
      </c>
      <c r="BI167" s="80">
        <f>SUMIFS($AU$3:AU257,$Q$3:Q257,"F")</f>
        <v>9348.4000000000015</v>
      </c>
      <c r="BJ167" s="80">
        <f>SUMIFS($AU$3:AU257,$Q$3:Q257,"S")</f>
        <v>3279.9999999999918</v>
      </c>
      <c r="BK167" s="87">
        <f>SUMIFS($AU$3:AU257,$P$3:P257,"W")</f>
        <v>8717.579999999929</v>
      </c>
      <c r="BL167" s="87">
        <f>SUMIFS($AU$3:AU257,$P$3:P257,"R")</f>
        <v>4181.9999999999991</v>
      </c>
      <c r="BM167" s="87">
        <f>SUMIFS($AU$3:AU257,$AQ$3:AQ257,"M")</f>
        <v>5219.3799999995472</v>
      </c>
      <c r="BN167" s="87">
        <f>SUMIFS($AU$3:AU257,$AQ$3:AQ257,"H")</f>
        <v>2931.2000000002599</v>
      </c>
      <c r="BO167" s="87">
        <f>SUMIFS($AU$3:AU257,$AQ$3:AQ257,"D")</f>
        <v>1266.0000000000005</v>
      </c>
      <c r="BP167" s="87">
        <f>SUMIFS($AU$3:AU170,$AQ$3:AQ170,"W")</f>
        <v>3846.4000000000005</v>
      </c>
      <c r="BQ167" s="87">
        <f>SUMIFS($AU$3:AU257,$Q$3:Q257,"O")</f>
        <v>1770.5799999998073</v>
      </c>
      <c r="BR167" s="87">
        <f>SUMIFS($AU$3:AU168,$AA$3:AA168,"*")</f>
        <v>13034.199999999651</v>
      </c>
      <c r="BS167" s="87">
        <f>SUMIFS($AU$3:AU168,$AB$3:AB168,"*")</f>
        <v>4247.179999999933</v>
      </c>
      <c r="BT167" s="87">
        <f>SUMIFS($AU$3:AU168,$AC$3:AC168,"*")</f>
        <v>7076.4000000000005</v>
      </c>
      <c r="BU167" s="87">
        <f>SUMIFS($AU$3:AU168,$AA$3:AA168,"*",$AB$3:AB168,"*")</f>
        <v>2495.999999999824</v>
      </c>
      <c r="BV167" s="87">
        <f>SUMIFS($AU$3:AU168,$AA$3:AA168,"*",$AC$3:AC168,"*")</f>
        <v>7012.4000000000005</v>
      </c>
      <c r="BW167" s="87">
        <f>SUMIFS($AU$3:AU168,$AB$3:AB168,"*",$AC$3:AC168,"*")</f>
        <v>1919.9999999999995</v>
      </c>
      <c r="BX167" s="87">
        <f>SUMIFS($AV$3:AV168,$Q$3:Q168,"F")</f>
        <v>198.02786430960344</v>
      </c>
      <c r="BY167" s="87">
        <f>SUMIFS($AV$3:AV168,$Q$3:Q168,"S")</f>
        <v>364.9324278785781</v>
      </c>
      <c r="BZ167" s="87">
        <f>SUMIFS($AV$3:AV168,$Q$3:Q168,"O")</f>
        <v>114.73999999989564</v>
      </c>
    </row>
    <row r="168" spans="1:78" ht="18" customHeight="1">
      <c r="A168" s="45" t="s">
        <v>567</v>
      </c>
      <c r="B168" s="59">
        <v>45327</v>
      </c>
      <c r="C168" s="46" t="s">
        <v>677</v>
      </c>
      <c r="D168" s="46" t="s">
        <v>176</v>
      </c>
      <c r="E168" s="66"/>
      <c r="F168" s="47"/>
      <c r="G168" s="106" t="s">
        <v>99</v>
      </c>
      <c r="H168" s="49"/>
      <c r="I168" s="49"/>
      <c r="J168" s="49"/>
      <c r="K168" s="50"/>
      <c r="L168" s="49"/>
      <c r="M168" s="49">
        <v>1</v>
      </c>
      <c r="N168" s="49"/>
      <c r="O168" s="50" t="s">
        <v>100</v>
      </c>
      <c r="P168" s="50" t="s">
        <v>101</v>
      </c>
      <c r="Q168" s="50" t="s">
        <v>102</v>
      </c>
      <c r="R168" s="50">
        <v>21</v>
      </c>
      <c r="S168" s="50">
        <v>11</v>
      </c>
      <c r="T168" s="50">
        <v>21</v>
      </c>
      <c r="U168" s="50" t="s">
        <v>102</v>
      </c>
      <c r="V168" s="50"/>
      <c r="W168" s="50"/>
      <c r="X168" s="50"/>
      <c r="Y168" s="51">
        <f>IF(ISBLANK(O168),"",(IF(O168=UPPER("IB"),0.005,0.01)))</f>
        <v>0.01</v>
      </c>
      <c r="Z168" s="52">
        <f>IF(ISBLANK(O168),"",IF(O168="IB",8.63*200,IF(O168="IR",16*100,IF(O168="YT",20*100,IF(O168="YT-XT",24*200,IF(O168="TED",80*100))))))</f>
        <v>1600</v>
      </c>
      <c r="AA168" s="52" t="s">
        <v>678</v>
      </c>
      <c r="AB168" s="97" t="s">
        <v>679</v>
      </c>
      <c r="AC168" s="52"/>
      <c r="AD168" s="231">
        <v>-0.08</v>
      </c>
      <c r="AE168" s="49"/>
      <c r="AF168" s="84"/>
      <c r="AG168" s="49"/>
      <c r="AH168" s="49"/>
      <c r="AI168" s="49"/>
      <c r="AJ168" s="226"/>
      <c r="AK168" s="49"/>
      <c r="AL168" s="113">
        <f t="shared" ref="AL168" si="45">-0.02*Z168</f>
        <v>-32</v>
      </c>
      <c r="AM168" s="113">
        <f t="shared" si="36"/>
        <v>-320</v>
      </c>
      <c r="AN168" s="218"/>
      <c r="AO168" s="49"/>
      <c r="AP168" s="49" t="s">
        <v>680</v>
      </c>
      <c r="AQ168" s="84" t="s">
        <v>350</v>
      </c>
      <c r="AR168" s="49" t="s">
        <v>681</v>
      </c>
      <c r="AS168" s="55">
        <v>-0.08</v>
      </c>
      <c r="AT168" s="55">
        <f>IF(ISBLANK(AS168),,IF(U168="S",AD168-AS168,AS168-AD168))</f>
        <v>0</v>
      </c>
      <c r="AU168" s="54">
        <f>AV168*R168</f>
        <v>0</v>
      </c>
      <c r="AV168" s="56">
        <f>IF(ISBLANK(AS168),,(AT168*Z168))</f>
        <v>0</v>
      </c>
      <c r="AW168" s="57" t="s">
        <v>155</v>
      </c>
      <c r="AX168" s="96" t="s">
        <v>682</v>
      </c>
      <c r="AY168" s="96" t="s">
        <v>683</v>
      </c>
      <c r="AZ168" s="96" t="s">
        <v>684</v>
      </c>
      <c r="BA168" s="96" t="s">
        <v>685</v>
      </c>
      <c r="BB168" s="96" t="s">
        <v>686</v>
      </c>
      <c r="BC168" s="96"/>
      <c r="BD168" s="96"/>
      <c r="BE168" s="96"/>
      <c r="BF168" s="100"/>
      <c r="BG168" s="94">
        <f>SUM($AV$4:AV168)</f>
        <v>1085.7002921880851</v>
      </c>
      <c r="BH168" s="95">
        <f>SUM($AU$4:AU168)</f>
        <v>14849.379999999761</v>
      </c>
      <c r="BI168" s="80">
        <f>SUMIFS($AU$3:AU177,$Q$3:Q177,"F")</f>
        <v>7652.4000000000015</v>
      </c>
      <c r="BJ168" s="80">
        <f>SUMIFS($AU$3:AU177,$Q$3:Q177,"S")</f>
        <v>7423.9999999999991</v>
      </c>
      <c r="BK168" s="87">
        <f>SUMIFS($AU$3:AU177,$P$3:P177,"W")</f>
        <v>12573.579999999936</v>
      </c>
      <c r="BL168" s="87">
        <f>SUMIFS($AU$3:AU177,$P$3:P177,"R")</f>
        <v>2974.0000000000005</v>
      </c>
      <c r="BM168" s="87">
        <f>SUMIFS($AU$3:AU177,$AQ$3:AQ177,"M")</f>
        <v>4411.3799999996527</v>
      </c>
      <c r="BN168" s="87">
        <f>SUMIFS($AU$3:AU177,$AQ$3:AQ177,"H")</f>
        <v>5343.9999999999973</v>
      </c>
      <c r="BO168" s="87">
        <f>SUMIFS($AU$3:AU177,$AQ$3:AQ177,"D")</f>
        <v>2590.0000000000009</v>
      </c>
      <c r="BP168" s="87">
        <f>SUMIFS($AU$3:AU171,$AQ$3:AQ171,"W")</f>
        <v>3846.4000000000005</v>
      </c>
      <c r="BQ168" s="87">
        <f>SUMIFS($AU$3:AU177,$Q$3:Q177,"O")</f>
        <v>355.37999999964381</v>
      </c>
      <c r="BR168" s="87">
        <f>SUMIFS($AU$3:AU169,$AA$3:AA169,"*")</f>
        <v>13034.199999999651</v>
      </c>
      <c r="BS168" s="87">
        <f>SUMIFS($AU$3:AU169,$AB$3:AB169,"*")</f>
        <v>4247.179999999933</v>
      </c>
      <c r="BT168" s="87">
        <f>SUMIFS($AU$3:AU169,$AC$3:AC169,"*")</f>
        <v>7076.4000000000005</v>
      </c>
      <c r="BU168" s="87">
        <f>SUMIFS($AU$3:AU169,$AA$3:AA169,"*",$AB$3:AB169,"*")</f>
        <v>2495.999999999824</v>
      </c>
      <c r="BV168" s="87">
        <f>SUMIFS($AU$3:AU169,$AA$3:AA169,"*",$AC$3:AC169,"*")</f>
        <v>7012.4000000000005</v>
      </c>
      <c r="BW168" s="87">
        <f>SUMIFS($AU$3:AU169,$AB$3:AB169,"*",$AC$3:AC169,"*")</f>
        <v>1919.9999999999995</v>
      </c>
      <c r="BX168" s="87">
        <f>SUMIFS($AV$3:AV169,$Q$3:Q169,"F")</f>
        <v>198.02786430960344</v>
      </c>
      <c r="BY168" s="87">
        <f>SUMIFS($AV$3:AV169,$Q$3:Q169,"S")</f>
        <v>364.9324278785781</v>
      </c>
      <c r="BZ168" s="87">
        <f>SUMIFS($AV$3:AV169,$Q$3:Q169,"O")</f>
        <v>114.73999999989564</v>
      </c>
    </row>
    <row r="169" spans="1:78" ht="18" customHeight="1">
      <c r="A169" s="45" t="s">
        <v>567</v>
      </c>
      <c r="B169" s="59">
        <v>45327</v>
      </c>
      <c r="C169" s="46" t="s">
        <v>687</v>
      </c>
      <c r="D169" s="46" t="s">
        <v>176</v>
      </c>
      <c r="E169" s="66"/>
      <c r="F169" s="47"/>
      <c r="G169" s="48" t="s">
        <v>688</v>
      </c>
      <c r="H169" s="49"/>
      <c r="I169" s="49"/>
      <c r="J169" s="49"/>
      <c r="K169" s="50"/>
      <c r="L169" s="49"/>
      <c r="M169" s="49"/>
      <c r="N169" s="49"/>
      <c r="O169" s="50"/>
      <c r="P169" s="50"/>
      <c r="Q169" s="50"/>
      <c r="R169" s="50"/>
      <c r="S169" s="50"/>
      <c r="T169" s="50"/>
      <c r="U169" s="50"/>
      <c r="V169" s="50"/>
      <c r="W169" s="50"/>
      <c r="X169" s="50"/>
      <c r="Y169" s="51"/>
      <c r="Z169" s="52"/>
      <c r="AA169" s="52"/>
      <c r="AB169" s="52"/>
      <c r="AC169" s="52"/>
      <c r="AD169" s="231"/>
      <c r="AE169" s="49"/>
      <c r="AF169" s="84"/>
      <c r="AG169" s="49"/>
      <c r="AH169" s="49"/>
      <c r="AI169" s="49"/>
      <c r="AJ169" s="226"/>
      <c r="AK169" s="49"/>
      <c r="AL169" s="113">
        <f>-0.02*Z169</f>
        <v>0</v>
      </c>
      <c r="AM169" s="113">
        <f t="shared" si="36"/>
        <v>0</v>
      </c>
      <c r="AN169" s="218"/>
      <c r="AO169" s="49"/>
      <c r="AP169" s="49"/>
      <c r="AQ169" s="84" t="str">
        <f>UPPER(RIGHT(Journal_Live[[#This Row],[DURATION ]]))</f>
        <v/>
      </c>
      <c r="AR169" s="49"/>
      <c r="AS169" s="55"/>
      <c r="AT169" s="55"/>
      <c r="AU169" s="54"/>
      <c r="AV169" s="56"/>
      <c r="AW169" s="57"/>
      <c r="AX169" s="97" t="s">
        <v>689</v>
      </c>
      <c r="AY169" s="96" t="s">
        <v>690</v>
      </c>
      <c r="AZ169" s="96" t="s">
        <v>691</v>
      </c>
      <c r="BA169" s="96" t="s">
        <v>692</v>
      </c>
      <c r="BB169" s="97" t="s">
        <v>693</v>
      </c>
      <c r="BC169" s="96"/>
      <c r="BD169" s="96"/>
      <c r="BE169" s="96"/>
      <c r="BF169" s="100"/>
      <c r="BG169" s="94">
        <f>SUM($AV$4:AV169)</f>
        <v>1085.7002921880851</v>
      </c>
      <c r="BH169" s="95">
        <f>SUM($AU$4:AU169)</f>
        <v>14849.379999999761</v>
      </c>
      <c r="BI169" s="80">
        <f>SUMIFS($AU$3:AU171,$Q$3:Q171,"F")</f>
        <v>7652.4000000000015</v>
      </c>
      <c r="BJ169" s="80">
        <f>SUMIFS($AU$3:AU171,$Q$3:Q171,"S")</f>
        <v>6431.9999999999991</v>
      </c>
      <c r="BK169" s="87">
        <f>SUMIFS($AU$3:AU171,$P$3:P171,"W")</f>
        <v>11581.579999999936</v>
      </c>
      <c r="BL169" s="87">
        <f>SUMIFS($AU$3:AU171,$P$3:P171,"R")</f>
        <v>2974.0000000000005</v>
      </c>
      <c r="BM169" s="87">
        <f>SUMIFS($AU$3:AU171,$AQ$3:AQ171,"M")</f>
        <v>3372.9799999997613</v>
      </c>
      <c r="BN169" s="87">
        <f>SUMIFS($AU$3:AU171,$AQ$3:AQ171,"H")</f>
        <v>5343.9999999999973</v>
      </c>
      <c r="BO169" s="87">
        <f>SUMIFS($AU$3:AU171,$AQ$3:AQ171,"D")</f>
        <v>2590.0000000000009</v>
      </c>
      <c r="BP169" s="87">
        <f>SUMIFS($AU$3:AU172,$AQ$3:AQ172,"W")</f>
        <v>3846.4000000000005</v>
      </c>
      <c r="BQ169" s="87">
        <f>SUMIFS($AU$3:AU171,$Q$3:Q171,"O")</f>
        <v>308.97999999975195</v>
      </c>
      <c r="BR169" s="87">
        <f>SUMIFS($AU$3:AU170,$AA$3:AA170,"*")</f>
        <v>13034.199999999651</v>
      </c>
      <c r="BS169" s="87">
        <f>SUMIFS($AU$3:AU170,$AB$3:AB170,"*")</f>
        <v>4247.179999999933</v>
      </c>
      <c r="BT169" s="87">
        <f>SUMIFS($AU$3:AU170,$AC$3:AC170,"*")</f>
        <v>7076.4000000000005</v>
      </c>
      <c r="BU169" s="87">
        <f>SUMIFS($AU$3:AU170,$AA$3:AA170,"*",$AB$3:AB170,"*")</f>
        <v>2495.999999999824</v>
      </c>
      <c r="BV169" s="87">
        <f>SUMIFS($AU$3:AU170,$AA$3:AA170,"*",$AC$3:AC170,"*")</f>
        <v>7012.4000000000005</v>
      </c>
      <c r="BW169" s="87">
        <f>SUMIFS($AU$3:AU170,$AB$3:AB170,"*",$AC$3:AC170,"*")</f>
        <v>1919.9999999999995</v>
      </c>
      <c r="BX169" s="87">
        <f>SUMIFS($AV$3:AV170,$Q$3:Q170,"F")</f>
        <v>198.02786430960344</v>
      </c>
      <c r="BY169" s="87">
        <f>SUMIFS($AV$3:AV170,$Q$3:Q170,"S")</f>
        <v>364.9324278785781</v>
      </c>
      <c r="BZ169" s="87">
        <f>SUMIFS($AV$3:AV170,$Q$3:Q170,"O")</f>
        <v>114.73999999989564</v>
      </c>
    </row>
    <row r="170" spans="1:78" ht="18" customHeight="1">
      <c r="A170" s="45" t="s">
        <v>567</v>
      </c>
      <c r="B170" s="59">
        <v>45327</v>
      </c>
      <c r="C170" s="46" t="s">
        <v>235</v>
      </c>
      <c r="D170" s="46" t="s">
        <v>176</v>
      </c>
      <c r="E170" s="66"/>
      <c r="F170" s="47"/>
      <c r="G170" s="48" t="s">
        <v>276</v>
      </c>
      <c r="H170" s="49"/>
      <c r="I170" s="49"/>
      <c r="J170" s="49"/>
      <c r="K170" s="50"/>
      <c r="L170" s="49"/>
      <c r="M170" s="49"/>
      <c r="N170" s="49"/>
      <c r="O170" s="50"/>
      <c r="P170" s="50"/>
      <c r="Q170" s="50"/>
      <c r="R170" s="50"/>
      <c r="S170" s="50"/>
      <c r="T170" s="50"/>
      <c r="U170" s="50"/>
      <c r="V170" s="50"/>
      <c r="W170" s="50"/>
      <c r="X170" s="50"/>
      <c r="Y170" s="51"/>
      <c r="Z170" s="52"/>
      <c r="AA170" s="52"/>
      <c r="AB170" s="52"/>
      <c r="AC170" s="52"/>
      <c r="AD170" s="231"/>
      <c r="AE170" s="49"/>
      <c r="AF170" s="84"/>
      <c r="AG170" s="49"/>
      <c r="AH170" s="49"/>
      <c r="AI170" s="49"/>
      <c r="AJ170" s="226"/>
      <c r="AK170" s="49"/>
      <c r="AL170" s="113">
        <f t="shared" ref="AL170" si="46">-0.02*Z170</f>
        <v>0</v>
      </c>
      <c r="AM170" s="113">
        <f t="shared" si="36"/>
        <v>0</v>
      </c>
      <c r="AN170" s="218"/>
      <c r="AO170" s="49"/>
      <c r="AP170" s="49"/>
      <c r="AQ170" s="84" t="str">
        <f>UPPER(RIGHT(Journal_Live[[#This Row],[DURATION ]]))</f>
        <v/>
      </c>
      <c r="AR170" s="49"/>
      <c r="AS170" s="55"/>
      <c r="AT170" s="55"/>
      <c r="AU170" s="54"/>
      <c r="AV170" s="56"/>
      <c r="AW170" s="57"/>
      <c r="AX170" s="96"/>
      <c r="AY170" s="96"/>
      <c r="AZ170" s="96"/>
      <c r="BA170" s="96"/>
      <c r="BB170" s="96"/>
      <c r="BC170" s="96"/>
      <c r="BD170" s="96"/>
      <c r="BE170" s="96"/>
      <c r="BF170" s="100"/>
      <c r="BG170" s="94">
        <f>SUM($AV$4:AV170)</f>
        <v>1085.7002921880851</v>
      </c>
      <c r="BH170" s="95">
        <f>SUM($AU$4:AU170)</f>
        <v>14849.379999999761</v>
      </c>
      <c r="BI170" s="80">
        <f>SUMIFS($AU$3:AU260,$Q$3:Q260,"F")</f>
        <v>9348.4000000000015</v>
      </c>
      <c r="BJ170" s="80">
        <f>SUMIFS($AU$3:AU260,$Q$3:Q260,"S")</f>
        <v>3279.9999999999918</v>
      </c>
      <c r="BK170" s="87">
        <f>SUMIFS($AU$3:AU260,$P$3:P260,"W")</f>
        <v>8717.579999999929</v>
      </c>
      <c r="BL170" s="87">
        <f>SUMIFS($AU$3:AU260,$P$3:P260,"R")</f>
        <v>4181.9999999999991</v>
      </c>
      <c r="BM170" s="87">
        <f>SUMIFS($AU$3:AU260,$AQ$3:AQ260,"M")</f>
        <v>5219.3799999995472</v>
      </c>
      <c r="BN170" s="87">
        <f>SUMIFS($AU$3:AU260,$AQ$3:AQ260,"H")</f>
        <v>2931.2000000002599</v>
      </c>
      <c r="BO170" s="87">
        <f>SUMIFS($AU$3:AU260,$AQ$3:AQ260,"D")</f>
        <v>1266.0000000000005</v>
      </c>
      <c r="BP170" s="87">
        <f>SUMIFS($AU$3:AU173,$AQ$3:AQ173,"W")</f>
        <v>3846.4000000000005</v>
      </c>
      <c r="BQ170" s="87">
        <f>SUMIFS($AU$3:AU260,$Q$3:Q260,"O")</f>
        <v>1770.5799999998073</v>
      </c>
      <c r="BR170" s="87">
        <f>SUMIFS($AU$3:AU171,$AA$3:AA171,"*")</f>
        <v>13034.199999999651</v>
      </c>
      <c r="BS170" s="87">
        <f>SUMIFS($AU$3:AU171,$AB$3:AB171,"*")</f>
        <v>4247.179999999933</v>
      </c>
      <c r="BT170" s="87">
        <f>SUMIFS($AU$3:AU171,$AC$3:AC171,"*")</f>
        <v>7076.4000000000005</v>
      </c>
      <c r="BU170" s="87">
        <f>SUMIFS($AU$3:AU171,$AA$3:AA171,"*",$AB$3:AB171,"*")</f>
        <v>2495.999999999824</v>
      </c>
      <c r="BV170" s="87">
        <f>SUMIFS($AU$3:AU171,$AA$3:AA171,"*",$AC$3:AC171,"*")</f>
        <v>7012.4000000000005</v>
      </c>
      <c r="BW170" s="87">
        <f>SUMIFS($AU$3:AU171,$AB$3:AB171,"*",$AC$3:AC171,"*")</f>
        <v>1919.9999999999995</v>
      </c>
      <c r="BX170" s="87">
        <f>SUMIFS($AV$3:AV171,$Q$3:Q171,"F")</f>
        <v>198.02786430960344</v>
      </c>
      <c r="BY170" s="87">
        <f>SUMIFS($AV$3:AV171,$Q$3:Q171,"S")</f>
        <v>364.9324278785781</v>
      </c>
      <c r="BZ170" s="87">
        <f>SUMIFS($AV$3:AV171,$Q$3:Q171,"O")</f>
        <v>114.73999999989564</v>
      </c>
    </row>
    <row r="171" spans="1:78" ht="18" customHeight="1">
      <c r="A171" s="45" t="s">
        <v>567</v>
      </c>
      <c r="B171" s="59">
        <v>45327</v>
      </c>
      <c r="C171" s="46" t="s">
        <v>493</v>
      </c>
      <c r="D171" s="46" t="s">
        <v>176</v>
      </c>
      <c r="E171" s="66" t="s">
        <v>694</v>
      </c>
      <c r="F171" s="47"/>
      <c r="G171" s="48"/>
      <c r="H171" s="49">
        <v>1</v>
      </c>
      <c r="I171" s="49"/>
      <c r="J171" s="49"/>
      <c r="K171" s="50" t="s">
        <v>142</v>
      </c>
      <c r="L171" s="49"/>
      <c r="M171" s="49"/>
      <c r="N171" s="49"/>
      <c r="O171" s="50"/>
      <c r="P171" s="50"/>
      <c r="Q171" s="50"/>
      <c r="R171" s="50"/>
      <c r="S171" s="50"/>
      <c r="T171" s="50"/>
      <c r="U171" s="50"/>
      <c r="V171" s="50"/>
      <c r="W171" s="50"/>
      <c r="X171" s="50"/>
      <c r="Y171" s="51"/>
      <c r="Z171" s="52"/>
      <c r="AA171" s="52"/>
      <c r="AB171" s="52"/>
      <c r="AC171" s="52"/>
      <c r="AD171" s="231"/>
      <c r="AE171" s="49"/>
      <c r="AF171" s="84"/>
      <c r="AG171" s="49"/>
      <c r="AH171" s="49"/>
      <c r="AI171" s="49"/>
      <c r="AJ171" s="226"/>
      <c r="AK171" s="49"/>
      <c r="AL171" s="113">
        <f t="shared" ref="AL171:AL1234" si="47">-0.02*Z171</f>
        <v>0</v>
      </c>
      <c r="AM171" s="113">
        <f t="shared" si="36"/>
        <v>0</v>
      </c>
      <c r="AN171" s="218"/>
      <c r="AO171" s="49"/>
      <c r="AP171" s="49"/>
      <c r="AQ171" s="84" t="str">
        <f>UPPER(RIGHT(Journal_Live[[#This Row],[DURATION ]]))</f>
        <v/>
      </c>
      <c r="AR171" s="49"/>
      <c r="AS171" s="55"/>
      <c r="AT171" s="55"/>
      <c r="AU171" s="54"/>
      <c r="AV171" s="56"/>
      <c r="AW171" s="57"/>
      <c r="AX171" s="97" t="s">
        <v>695</v>
      </c>
      <c r="AY171" s="96" t="s">
        <v>696</v>
      </c>
      <c r="AZ171" s="96"/>
      <c r="BA171" s="96"/>
      <c r="BB171" s="96"/>
      <c r="BC171" s="96"/>
      <c r="BD171" s="96"/>
      <c r="BE171" s="96"/>
      <c r="BF171" s="100"/>
      <c r="BG171" s="94">
        <f>SUM($AV$4:AV171)</f>
        <v>1085.7002921880851</v>
      </c>
      <c r="BH171" s="95">
        <f>SUM($AU$4:AU171)</f>
        <v>14849.379999999761</v>
      </c>
      <c r="BI171" s="80">
        <f>SUMIFS($AU$3:AU172,$Q$3:Q172,"F")</f>
        <v>7652.4000000000015</v>
      </c>
      <c r="BJ171" s="80">
        <f>SUMIFS($AU$3:AU172,$Q$3:Q172,"S")</f>
        <v>6431.9999999999991</v>
      </c>
      <c r="BK171" s="87">
        <f>SUMIFS($AU$3:AU172,$P$3:P172,"W")</f>
        <v>11581.579999999936</v>
      </c>
      <c r="BL171" s="87">
        <f>SUMIFS($AU$3:AU172,$P$3:P172,"R")</f>
        <v>2974.0000000000005</v>
      </c>
      <c r="BM171" s="87">
        <f>SUMIFS($AU$3:AU172,$AQ$3:AQ172,"M")</f>
        <v>3419.3799999996531</v>
      </c>
      <c r="BN171" s="87">
        <f>SUMIFS($AU$3:AU172,$AQ$3:AQ172,"H")</f>
        <v>5343.9999999999973</v>
      </c>
      <c r="BO171" s="87">
        <f>SUMIFS($AU$3:AU172,$AQ$3:AQ172,"D")</f>
        <v>2590.0000000000009</v>
      </c>
      <c r="BP171" s="87">
        <f>SUMIFS($AU$3:AU174,$AQ$3:AQ174,"W")</f>
        <v>3846.4000000000005</v>
      </c>
      <c r="BQ171" s="87">
        <f>SUMIFS($AU$3:AU172,$Q$3:Q172,"O")</f>
        <v>355.37999999964381</v>
      </c>
      <c r="BR171" s="87">
        <f>SUMIFS($AU$3:AU172,$AA$3:AA172,"*")</f>
        <v>13080.599999999544</v>
      </c>
      <c r="BS171" s="87">
        <f>SUMIFS($AU$3:AU172,$AB$3:AB172,"*")</f>
        <v>4247.179999999933</v>
      </c>
      <c r="BT171" s="87">
        <f>SUMIFS($AU$3:AU172,$AC$3:AC172,"*")</f>
        <v>7076.4000000000005</v>
      </c>
      <c r="BU171" s="87">
        <f>SUMIFS($AU$3:AU172,$AA$3:AA172,"*",$AB$3:AB172,"*")</f>
        <v>2495.999999999824</v>
      </c>
      <c r="BV171" s="87">
        <f>SUMIFS($AU$3:AU172,$AA$3:AA172,"*",$AC$3:AC172,"*")</f>
        <v>7012.4000000000005</v>
      </c>
      <c r="BW171" s="87">
        <f>SUMIFS($AU$3:AU172,$AB$3:AB172,"*",$AC$3:AC172,"*")</f>
        <v>1919.9999999999995</v>
      </c>
      <c r="BX171" s="87">
        <f>SUMIFS($AV$3:AV172,$Q$3:Q172,"F")</f>
        <v>198.02786430960344</v>
      </c>
      <c r="BY171" s="87">
        <f>SUMIFS($AV$3:AV172,$Q$3:Q172,"S")</f>
        <v>364.9324278785781</v>
      </c>
      <c r="BZ171" s="87">
        <f>SUMIFS($AV$3:AV172,$Q$3:Q172,"O")</f>
        <v>137.93999999984158</v>
      </c>
    </row>
    <row r="172" spans="1:78" ht="18" customHeight="1">
      <c r="A172" s="45" t="s">
        <v>567</v>
      </c>
      <c r="B172" s="59">
        <v>45327</v>
      </c>
      <c r="C172" s="46" t="s">
        <v>147</v>
      </c>
      <c r="D172" s="46" t="s">
        <v>176</v>
      </c>
      <c r="E172" s="66" t="s">
        <v>697</v>
      </c>
      <c r="F172" s="47"/>
      <c r="G172" s="48" t="s">
        <v>195</v>
      </c>
      <c r="H172" s="49"/>
      <c r="I172" s="49"/>
      <c r="J172" s="49"/>
      <c r="K172" s="50"/>
      <c r="L172" s="49">
        <v>2</v>
      </c>
      <c r="M172" s="49"/>
      <c r="N172" s="49"/>
      <c r="O172" s="50" t="s">
        <v>196</v>
      </c>
      <c r="P172" s="50" t="s">
        <v>197</v>
      </c>
      <c r="Q172" s="50" t="s">
        <v>198</v>
      </c>
      <c r="R172" s="50">
        <v>2</v>
      </c>
      <c r="S172" s="50">
        <v>0</v>
      </c>
      <c r="T172" s="50">
        <v>1</v>
      </c>
      <c r="U172" s="50" t="s">
        <v>102</v>
      </c>
      <c r="V172" s="50"/>
      <c r="W172" s="50"/>
      <c r="X172" s="50"/>
      <c r="Y172" s="51">
        <f t="shared" ref="Y172:Y181" si="48">IF(ISBLANK(O172),"",(IF(O172=UPPER("IB"),0.005,0.01)))</f>
        <v>0.01</v>
      </c>
      <c r="Z172" s="52">
        <f>IF(ISBLANK(O172),"",IF(O172="IB",8.63*200,IF(O172="IR",16*100,IF(O172="YT",20*100,IF(O172="YT-XT",24*200,IF(O172="TED",80*100,IF(O172="XT",29*200)))))))</f>
        <v>5800</v>
      </c>
      <c r="AA172" s="52" t="s">
        <v>630</v>
      </c>
      <c r="AB172" s="52"/>
      <c r="AC172" s="52"/>
      <c r="AD172" s="231">
        <v>95.816999999999993</v>
      </c>
      <c r="AE172" s="49"/>
      <c r="AF172" s="84"/>
      <c r="AG172" s="49"/>
      <c r="AH172" s="49"/>
      <c r="AI172" s="49"/>
      <c r="AJ172" s="226"/>
      <c r="AK172" s="49"/>
      <c r="AL172" s="113">
        <f>-0.04*Z172</f>
        <v>-232</v>
      </c>
      <c r="AM172" s="113">
        <f t="shared" si="36"/>
        <v>-464</v>
      </c>
      <c r="AN172" s="218"/>
      <c r="AO172" s="49"/>
      <c r="AP172" s="49" t="s">
        <v>698</v>
      </c>
      <c r="AQ172" s="84" t="s">
        <v>350</v>
      </c>
      <c r="AR172" s="49" t="s">
        <v>391</v>
      </c>
      <c r="AS172" s="55">
        <v>95.813000000000002</v>
      </c>
      <c r="AT172" s="55">
        <f>IF(ISBLANK(AS172),,IF(U172="S",AD172-AS172,AS172-AD172))</f>
        <v>3.9999999999906777E-3</v>
      </c>
      <c r="AU172" s="54">
        <f>AV172*R172</f>
        <v>46.399999999891861</v>
      </c>
      <c r="AV172" s="56">
        <f>IF(ISBLANK(AS172),,(AT172*Z172))</f>
        <v>23.199999999945931</v>
      </c>
      <c r="AW172" s="57" t="s">
        <v>101</v>
      </c>
      <c r="AX172" s="96" t="s">
        <v>699</v>
      </c>
      <c r="AY172" s="96" t="s">
        <v>700</v>
      </c>
      <c r="AZ172" s="96" t="s">
        <v>701</v>
      </c>
      <c r="BA172" s="96" t="s">
        <v>702</v>
      </c>
      <c r="BB172" s="96"/>
      <c r="BC172" s="96"/>
      <c r="BD172" s="96" t="s">
        <v>703</v>
      </c>
      <c r="BE172" s="96" t="s">
        <v>704</v>
      </c>
      <c r="BF172" s="100"/>
      <c r="BG172" s="94">
        <f>SUM($AV$4:AV172)</f>
        <v>1108.900292188031</v>
      </c>
      <c r="BH172" s="95">
        <f>SUM($AU$4:AU172)</f>
        <v>14895.779999999653</v>
      </c>
      <c r="BI172" s="80">
        <f>SUMIFS($AU$3:AU173,$Q$3:Q173,"F")</f>
        <v>7652.4000000000015</v>
      </c>
      <c r="BJ172" s="80">
        <f>SUMIFS($AU$3:AU173,$Q$3:Q173,"S")</f>
        <v>6431.9999999999991</v>
      </c>
      <c r="BK172" s="87">
        <f>SUMIFS($AU$3:AU173,$P$3:P173,"W")</f>
        <v>11581.579999999936</v>
      </c>
      <c r="BL172" s="87">
        <f>SUMIFS($AU$3:AU173,$P$3:P173,"R")</f>
        <v>2974.0000000000005</v>
      </c>
      <c r="BM172" s="87">
        <f>SUMIFS($AU$3:AU173,$AQ$3:AQ173,"M")</f>
        <v>3419.3799999996531</v>
      </c>
      <c r="BN172" s="87">
        <f>SUMIFS($AU$3:AU173,$AQ$3:AQ173,"H")</f>
        <v>5343.9999999999973</v>
      </c>
      <c r="BO172" s="87">
        <f>SUMIFS($AU$3:AU173,$AQ$3:AQ173,"D")</f>
        <v>2590.0000000000009</v>
      </c>
      <c r="BP172" s="87">
        <f>SUMIFS($AU$3:AU175,$AQ$3:AQ175,"W")</f>
        <v>3846.4000000000005</v>
      </c>
      <c r="BQ172" s="87">
        <f>SUMIFS($AU$3:AU173,$Q$3:Q173,"O")</f>
        <v>355.37999999964381</v>
      </c>
      <c r="BR172" s="87">
        <f>SUMIFS($AU$3:AU173,$AA$3:AA173,"*")</f>
        <v>13080.599999999544</v>
      </c>
      <c r="BS172" s="87">
        <f>SUMIFS($AU$3:AU173,$AB$3:AB173,"*")</f>
        <v>4247.179999999933</v>
      </c>
      <c r="BT172" s="87">
        <f>SUMIFS($AU$3:AU173,$AC$3:AC173,"*")</f>
        <v>7076.4000000000005</v>
      </c>
      <c r="BU172" s="87">
        <f>SUMIFS($AU$3:AU173,$AA$3:AA173,"*",$AB$3:AB173,"*")</f>
        <v>2495.999999999824</v>
      </c>
      <c r="BV172" s="87">
        <f>SUMIFS($AU$3:AU173,$AA$3:AA173,"*",$AC$3:AC173,"*")</f>
        <v>7012.4000000000005</v>
      </c>
      <c r="BW172" s="87">
        <f>SUMIFS($AU$3:AU173,$AB$3:AB173,"*",$AC$3:AC173,"*")</f>
        <v>1919.9999999999995</v>
      </c>
      <c r="BX172" s="87">
        <f>SUMIFS($AV$3:AV173,$Q$3:Q173,"F")</f>
        <v>198.02786430960344</v>
      </c>
      <c r="BY172" s="87">
        <f>SUMIFS($AV$3:AV173,$Q$3:Q173,"S")</f>
        <v>364.9324278785781</v>
      </c>
      <c r="BZ172" s="87">
        <f>SUMIFS($AV$3:AV173,$Q$3:Q173,"O")</f>
        <v>137.93999999984158</v>
      </c>
    </row>
    <row r="173" spans="1:78" ht="18" customHeight="1">
      <c r="A173" s="45" t="s">
        <v>567</v>
      </c>
      <c r="B173" s="59">
        <v>45328</v>
      </c>
      <c r="C173" s="46" t="s">
        <v>705</v>
      </c>
      <c r="D173" s="46" t="s">
        <v>98</v>
      </c>
      <c r="E173" s="66" t="s">
        <v>706</v>
      </c>
      <c r="F173" s="47" t="s">
        <v>707</v>
      </c>
      <c r="G173" s="48"/>
      <c r="H173" s="49"/>
      <c r="I173" s="49">
        <v>1</v>
      </c>
      <c r="J173" s="49"/>
      <c r="K173" s="50"/>
      <c r="L173" s="49"/>
      <c r="M173" s="49"/>
      <c r="N173" s="49"/>
      <c r="O173" s="50"/>
      <c r="P173" s="50"/>
      <c r="Q173" s="50"/>
      <c r="R173" s="50"/>
      <c r="S173" s="50"/>
      <c r="T173" s="50"/>
      <c r="U173" s="50"/>
      <c r="V173" s="50"/>
      <c r="W173" s="50"/>
      <c r="X173" s="50"/>
      <c r="Y173" s="51" t="str">
        <f t="shared" si="48"/>
        <v/>
      </c>
      <c r="Z173" s="52" t="str">
        <f>IF(ISBLANK(O173),"",IF(O173="IB",8.63*200,IF(O173="IR",16*100,IF(O173="YT",20*100,IF(O173="YT-XT",24*200,IF(O173="TED",80*100,IF(O173="XT",29*200)))))))</f>
        <v/>
      </c>
      <c r="AA173" s="52"/>
      <c r="AB173" s="52"/>
      <c r="AC173" s="52"/>
      <c r="AD173" s="231"/>
      <c r="AE173" s="49"/>
      <c r="AF173" s="84"/>
      <c r="AG173" s="49"/>
      <c r="AH173" s="49"/>
      <c r="AI173" s="49"/>
      <c r="AJ173" s="226"/>
      <c r="AK173" s="49"/>
      <c r="AL173" s="113"/>
      <c r="AM173" s="113"/>
      <c r="AN173" s="218"/>
      <c r="AO173" s="49"/>
      <c r="AP173" s="49"/>
      <c r="AQ173" s="84" t="str">
        <f>UPPER(RIGHT(Journal_Live[[#This Row],[DURATION ]]))</f>
        <v/>
      </c>
      <c r="AR173" s="49"/>
      <c r="AS173" s="55"/>
      <c r="AT173" s="55"/>
      <c r="AU173" s="54"/>
      <c r="AV173" s="56"/>
      <c r="AW173" s="57"/>
      <c r="AX173" s="96" t="s">
        <v>708</v>
      </c>
      <c r="AY173" s="96" t="s">
        <v>709</v>
      </c>
      <c r="AZ173" s="96"/>
      <c r="BA173" s="96"/>
      <c r="BB173" s="96"/>
      <c r="BC173" s="96"/>
      <c r="BD173" s="96"/>
      <c r="BE173" s="96"/>
      <c r="BF173" s="100"/>
      <c r="BG173" s="94">
        <f>SUM($AV$4:AV173)</f>
        <v>1108.900292188031</v>
      </c>
      <c r="BH173" s="95">
        <f>SUM($AU$4:AU173)</f>
        <v>14895.779999999653</v>
      </c>
      <c r="BI173" s="80">
        <f>SUMIFS($AU$3:AU174,$Q$3:Q174,"F")</f>
        <v>7652.4000000000015</v>
      </c>
      <c r="BJ173" s="80">
        <f>SUMIFS($AU$3:AU174,$Q$3:Q174,"S")</f>
        <v>7103.9999999999991</v>
      </c>
      <c r="BK173" s="87">
        <f>SUMIFS($AU$3:AU174,$P$3:P174,"W")</f>
        <v>12253.579999999936</v>
      </c>
      <c r="BL173" s="87">
        <f>SUMIFS($AU$3:AU174,$P$3:P174,"R")</f>
        <v>2974.0000000000005</v>
      </c>
      <c r="BM173" s="87">
        <f>SUMIFS($AU$3:AU174,$AQ$3:AQ174,"M")</f>
        <v>4091.3799999996531</v>
      </c>
      <c r="BN173" s="87">
        <f>SUMIFS($AU$3:AU174,$AQ$3:AQ174,"H")</f>
        <v>5343.9999999999973</v>
      </c>
      <c r="BO173" s="87">
        <f>SUMIFS($AU$3:AU174,$AQ$3:AQ174,"D")</f>
        <v>2590.0000000000009</v>
      </c>
      <c r="BP173" s="87">
        <f>SUMIFS($AU$3:AU176,$AQ$3:AQ176,"W")</f>
        <v>3846.4000000000005</v>
      </c>
      <c r="BQ173" s="87">
        <f>SUMIFS($AU$3:AU174,$Q$3:Q174,"O")</f>
        <v>355.37999999964381</v>
      </c>
      <c r="BR173" s="87">
        <f>SUMIFS($AU$3:AU174,$AA$3:AA174,"*")</f>
        <v>13752.599999999544</v>
      </c>
      <c r="BS173" s="87">
        <f>SUMIFS($AU$3:AU174,$AB$3:AB174,"*")</f>
        <v>4919.179999999933</v>
      </c>
      <c r="BT173" s="87">
        <f>SUMIFS($AU$3:AU174,$AC$3:AC174,"*")</f>
        <v>7076.4000000000005</v>
      </c>
      <c r="BU173" s="87">
        <f>SUMIFS($AU$3:AU174,$AA$3:AA174,"*",$AB$3:AB174,"*")</f>
        <v>3167.999999999824</v>
      </c>
      <c r="BV173" s="87">
        <f>SUMIFS($AU$3:AU174,$AA$3:AA174,"*",$AC$3:AC174,"*")</f>
        <v>7012.4000000000005</v>
      </c>
      <c r="BW173" s="87">
        <f>SUMIFS($AU$3:AU174,$AB$3:AB174,"*",$AC$3:AC174,"*")</f>
        <v>1919.9999999999995</v>
      </c>
      <c r="BX173" s="87">
        <f>SUMIFS($AV$3:AV174,$Q$3:Q174,"F")</f>
        <v>198.02786430960344</v>
      </c>
      <c r="BY173" s="87">
        <f>SUMIFS($AV$3:AV174,$Q$3:Q174,"S")</f>
        <v>380.9324278785781</v>
      </c>
      <c r="BZ173" s="87">
        <f>SUMIFS($AV$3:AV174,$Q$3:Q174,"O")</f>
        <v>137.93999999984158</v>
      </c>
    </row>
    <row r="174" spans="1:78" ht="18" customHeight="1">
      <c r="A174" s="45" t="s">
        <v>567</v>
      </c>
      <c r="B174" s="59">
        <v>45328</v>
      </c>
      <c r="C174" s="46" t="s">
        <v>147</v>
      </c>
      <c r="D174" s="46" t="s">
        <v>98</v>
      </c>
      <c r="E174" s="66"/>
      <c r="F174" s="47"/>
      <c r="G174" s="106" t="s">
        <v>99</v>
      </c>
      <c r="H174" s="49"/>
      <c r="I174" s="49"/>
      <c r="J174" s="49"/>
      <c r="K174" s="50"/>
      <c r="L174" s="49"/>
      <c r="M174" s="49">
        <v>2</v>
      </c>
      <c r="N174" s="49"/>
      <c r="O174" s="50" t="s">
        <v>100</v>
      </c>
      <c r="P174" s="50" t="s">
        <v>101</v>
      </c>
      <c r="Q174" s="50" t="s">
        <v>102</v>
      </c>
      <c r="R174" s="50">
        <v>42</v>
      </c>
      <c r="S174" s="50">
        <v>0</v>
      </c>
      <c r="T174" s="50">
        <v>21</v>
      </c>
      <c r="U174" s="50" t="s">
        <v>102</v>
      </c>
      <c r="V174" s="50"/>
      <c r="W174" s="50"/>
      <c r="X174" s="50"/>
      <c r="Y174" s="51">
        <f t="shared" si="48"/>
        <v>0.01</v>
      </c>
      <c r="Z174" s="52">
        <f>IF(ISBLANK(O174),"",IF(O174="IB",8.63*200,IF(O174="IR",16*100,IF(O174="YT",20*100,IF(O174="YT-XT",24*200,IF(O174="TED",80*100))))))</f>
        <v>1600</v>
      </c>
      <c r="AA174" s="52" t="s">
        <v>710</v>
      </c>
      <c r="AB174" s="52" t="s">
        <v>711</v>
      </c>
      <c r="AC174" s="52"/>
      <c r="AD174" s="231">
        <v>-0.03</v>
      </c>
      <c r="AE174" s="49"/>
      <c r="AF174" s="84"/>
      <c r="AG174" s="49"/>
      <c r="AH174" s="49"/>
      <c r="AI174" s="49"/>
      <c r="AJ174" s="226"/>
      <c r="AK174" s="49"/>
      <c r="AL174" s="113">
        <f t="shared" si="47"/>
        <v>-32</v>
      </c>
      <c r="AM174" s="113">
        <f t="shared" ref="AM174:AM198" si="49">AL174*(R174-S174)</f>
        <v>-1344</v>
      </c>
      <c r="AN174" s="218"/>
      <c r="AO174" s="49"/>
      <c r="AP174" s="49" t="s">
        <v>712</v>
      </c>
      <c r="AQ174" s="84" t="s">
        <v>350</v>
      </c>
      <c r="AR174" s="49" t="s">
        <v>147</v>
      </c>
      <c r="AS174" s="55">
        <v>-0.04</v>
      </c>
      <c r="AT174" s="55">
        <f t="shared" ref="AT174:AT181" si="50">IF(ISBLANK(AS174),,IF(U174="S",AD174-AS174,AS174-AD174))</f>
        <v>1.0000000000000002E-2</v>
      </c>
      <c r="AU174" s="54">
        <f t="shared" ref="AU174:AU181" si="51">AV174*R174</f>
        <v>672.00000000000011</v>
      </c>
      <c r="AV174" s="56">
        <f t="shared" ref="AV174:AV181" si="52">IF(ISBLANK(AS174),,(AT174*Z174))</f>
        <v>16.000000000000004</v>
      </c>
      <c r="AW174" s="57" t="s">
        <v>101</v>
      </c>
      <c r="AX174" s="96"/>
      <c r="AY174" s="96"/>
      <c r="AZ174" s="96"/>
      <c r="BA174" s="96" t="s">
        <v>489</v>
      </c>
      <c r="BB174" s="96"/>
      <c r="BC174" s="96"/>
      <c r="BD174" s="96"/>
      <c r="BE174" s="96"/>
      <c r="BF174" s="100"/>
      <c r="BG174" s="94">
        <f>SUM($AV$4:AV174)</f>
        <v>1124.900292188031</v>
      </c>
      <c r="BH174" s="95">
        <f>SUM($AU$4:AU174)</f>
        <v>15567.779999999653</v>
      </c>
      <c r="BI174" s="80">
        <f>SUMIFS($AU$3:AU175,$Q$3:Q175,"F")</f>
        <v>7652.4000000000015</v>
      </c>
      <c r="BJ174" s="80">
        <f>SUMIFS($AU$3:AU175,$Q$3:Q175,"S")</f>
        <v>7423.9999999999991</v>
      </c>
      <c r="BK174" s="87">
        <f>SUMIFS($AU$3:AU175,$P$3:P175,"W")</f>
        <v>12573.579999999936</v>
      </c>
      <c r="BL174" s="87">
        <f>SUMIFS($AU$3:AU175,$P$3:P175,"R")</f>
        <v>2974.0000000000005</v>
      </c>
      <c r="BM174" s="87">
        <f>SUMIFS($AU$3:AU175,$AQ$3:AQ175,"M")</f>
        <v>4411.3799999996527</v>
      </c>
      <c r="BN174" s="87">
        <f>SUMIFS($AU$3:AU175,$AQ$3:AQ175,"H")</f>
        <v>5343.9999999999973</v>
      </c>
      <c r="BO174" s="87">
        <f>SUMIFS($AU$3:AU175,$AQ$3:AQ175,"D")</f>
        <v>2590.0000000000009</v>
      </c>
      <c r="BP174" s="87">
        <f>SUMIFS($AU$3:AU177,$AQ$3:AQ177,"W")</f>
        <v>3846.4000000000005</v>
      </c>
      <c r="BQ174" s="87">
        <f>SUMIFS($AU$3:AU175,$Q$3:Q175,"O")</f>
        <v>355.37999999964381</v>
      </c>
      <c r="BR174" s="87">
        <f>SUMIFS($AU$3:AU175,$AA$3:AA175,"*")</f>
        <v>14072.599999999544</v>
      </c>
      <c r="BS174" s="87">
        <f>SUMIFS($AU$3:AU175,$AB$3:AB175,"*")</f>
        <v>4919.179999999933</v>
      </c>
      <c r="BT174" s="87">
        <f>SUMIFS($AU$3:AU175,$AC$3:AC175,"*")</f>
        <v>7076.4000000000005</v>
      </c>
      <c r="BU174" s="87">
        <f>SUMIFS($AU$3:AU175,$AA$3:AA175,"*",$AB$3:AB175,"*")</f>
        <v>3167.999999999824</v>
      </c>
      <c r="BV174" s="87">
        <f>SUMIFS($AU$3:AU175,$AA$3:AA175,"*",$AC$3:AC175,"*")</f>
        <v>7012.4000000000005</v>
      </c>
      <c r="BW174" s="87">
        <f>SUMIFS($AU$3:AU175,$AB$3:AB175,"*",$AC$3:AC175,"*")</f>
        <v>1919.9999999999995</v>
      </c>
      <c r="BX174" s="87">
        <f>SUMIFS($AV$3:AV175,$Q$3:Q175,"F")</f>
        <v>198.02786430960344</v>
      </c>
      <c r="BY174" s="87">
        <f>SUMIFS($AV$3:AV175,$Q$3:Q175,"S")</f>
        <v>396.9324278785781</v>
      </c>
      <c r="BZ174" s="87">
        <f>SUMIFS($AV$3:AV175,$Q$3:Q175,"O")</f>
        <v>137.93999999984158</v>
      </c>
    </row>
    <row r="175" spans="1:78" ht="18" customHeight="1">
      <c r="A175" s="45" t="s">
        <v>567</v>
      </c>
      <c r="B175" s="59">
        <v>45328</v>
      </c>
      <c r="C175" s="46" t="s">
        <v>147</v>
      </c>
      <c r="D175" s="46" t="s">
        <v>98</v>
      </c>
      <c r="E175" s="66"/>
      <c r="F175" s="47"/>
      <c r="G175" s="106" t="s">
        <v>99</v>
      </c>
      <c r="H175" s="49"/>
      <c r="I175" s="49"/>
      <c r="J175" s="49"/>
      <c r="K175" s="50"/>
      <c r="L175" s="49"/>
      <c r="M175" s="49">
        <v>2</v>
      </c>
      <c r="N175" s="49"/>
      <c r="O175" s="50" t="s">
        <v>100</v>
      </c>
      <c r="P175" s="50" t="s">
        <v>101</v>
      </c>
      <c r="Q175" s="50" t="s">
        <v>102</v>
      </c>
      <c r="R175" s="50">
        <v>20</v>
      </c>
      <c r="S175" s="50">
        <v>0</v>
      </c>
      <c r="T175" s="50">
        <v>20</v>
      </c>
      <c r="U175" s="50" t="s">
        <v>102</v>
      </c>
      <c r="V175" s="50"/>
      <c r="W175" s="50"/>
      <c r="X175" s="50"/>
      <c r="Y175" s="51">
        <f t="shared" si="48"/>
        <v>0.01</v>
      </c>
      <c r="Z175" s="52">
        <f>IF(ISBLANK(O175),"",IF(O175="IB",8.63*200,IF(O175="IR",16*100,IF(O175="YT",20*100,IF(O175="YT-XT",24*200,IF(O175="TED",80*100))))))</f>
        <v>1600</v>
      </c>
      <c r="AA175" s="52" t="s">
        <v>713</v>
      </c>
      <c r="AB175" s="52"/>
      <c r="AC175" s="52"/>
      <c r="AD175" s="231">
        <v>-0.05</v>
      </c>
      <c r="AE175" s="49"/>
      <c r="AF175" s="84"/>
      <c r="AG175" s="49"/>
      <c r="AH175" s="49"/>
      <c r="AI175" s="49"/>
      <c r="AJ175" s="226"/>
      <c r="AK175" s="49"/>
      <c r="AL175" s="113">
        <f t="shared" si="47"/>
        <v>-32</v>
      </c>
      <c r="AM175" s="113">
        <f t="shared" si="49"/>
        <v>-640</v>
      </c>
      <c r="AN175" s="218"/>
      <c r="AO175" s="49"/>
      <c r="AP175" s="49" t="s">
        <v>712</v>
      </c>
      <c r="AQ175" s="84" t="s">
        <v>350</v>
      </c>
      <c r="AR175" s="49" t="s">
        <v>147</v>
      </c>
      <c r="AS175" s="55">
        <v>-0.06</v>
      </c>
      <c r="AT175" s="55">
        <f t="shared" si="50"/>
        <v>9.999999999999995E-3</v>
      </c>
      <c r="AU175" s="54">
        <f t="shared" si="51"/>
        <v>319.99999999999989</v>
      </c>
      <c r="AV175" s="56">
        <f t="shared" si="52"/>
        <v>15.999999999999993</v>
      </c>
      <c r="AW175" s="57" t="s">
        <v>101</v>
      </c>
      <c r="AX175" s="96" t="s">
        <v>714</v>
      </c>
      <c r="AY175" s="96" t="s">
        <v>715</v>
      </c>
      <c r="AZ175" s="96"/>
      <c r="BA175" s="96" t="s">
        <v>716</v>
      </c>
      <c r="BB175" s="96" t="s">
        <v>717</v>
      </c>
      <c r="BC175" s="96"/>
      <c r="BD175" s="96"/>
      <c r="BE175" s="96"/>
      <c r="BF175" s="100"/>
      <c r="BG175" s="94">
        <f>SUM($AV$4:AV175)</f>
        <v>1140.900292188031</v>
      </c>
      <c r="BH175" s="95">
        <f>SUM($AU$4:AU175)</f>
        <v>15887.779999999653</v>
      </c>
      <c r="BI175" s="80">
        <f>SUMIFS($AU$3:AU176,$Q$3:Q176,"F")</f>
        <v>7652.4000000000015</v>
      </c>
      <c r="BJ175" s="80">
        <f>SUMIFS($AU$3:AU176,$Q$3:Q176,"S")</f>
        <v>7423.9999999999991</v>
      </c>
      <c r="BK175" s="87">
        <f>SUMIFS($AU$3:AU176,$P$3:P176,"W")</f>
        <v>12573.579999999936</v>
      </c>
      <c r="BL175" s="87">
        <f>SUMIFS($AU$3:AU176,$P$3:P176,"R")</f>
        <v>2974.0000000000005</v>
      </c>
      <c r="BM175" s="87">
        <f>SUMIFS($AU$3:AU176,$AQ$3:AQ176,"M")</f>
        <v>4411.3799999996527</v>
      </c>
      <c r="BN175" s="87">
        <f>SUMIFS($AU$3:AU176,$AQ$3:AQ176,"H")</f>
        <v>5343.9999999999973</v>
      </c>
      <c r="BO175" s="87">
        <f>SUMIFS($AU$3:AU176,$AQ$3:AQ176,"D")</f>
        <v>2590.0000000000009</v>
      </c>
      <c r="BP175" s="87">
        <f>SUMIFS($AU$3:AU178,$AQ$3:AQ178,"W")</f>
        <v>3846.4000000000005</v>
      </c>
      <c r="BQ175" s="87">
        <f>SUMIFS($AU$3:AU176,$Q$3:Q176,"O")</f>
        <v>355.37999999964381</v>
      </c>
      <c r="BR175" s="87">
        <f>SUMIFS($AU$3:AU176,$AA$3:AA176,"*")</f>
        <v>14072.599999999544</v>
      </c>
      <c r="BS175" s="87">
        <f>SUMIFS($AU$3:AU176,$AB$3:AB176,"*")</f>
        <v>4919.179999999933</v>
      </c>
      <c r="BT175" s="87">
        <f>SUMIFS($AU$3:AU176,$AC$3:AC176,"*")</f>
        <v>7076.4000000000005</v>
      </c>
      <c r="BU175" s="87">
        <f>SUMIFS($AU$3:AU176,$AA$3:AA176,"*",$AB$3:AB176,"*")</f>
        <v>3167.999999999824</v>
      </c>
      <c r="BV175" s="87">
        <f>SUMIFS($AU$3:AU176,$AA$3:AA176,"*",$AC$3:AC176,"*")</f>
        <v>7012.4000000000005</v>
      </c>
      <c r="BW175" s="87">
        <f>SUMIFS($AU$3:AU176,$AB$3:AB176,"*",$AC$3:AC176,"*")</f>
        <v>1919.9999999999995</v>
      </c>
      <c r="BX175" s="87">
        <f>SUMIFS($AV$3:AV176,$Q$3:Q176,"F")</f>
        <v>198.02786430960344</v>
      </c>
      <c r="BY175" s="87">
        <f>SUMIFS($AV$3:AV176,$Q$3:Q176,"S")</f>
        <v>396.9324278785781</v>
      </c>
      <c r="BZ175" s="87">
        <f>SUMIFS($AV$3:AV176,$Q$3:Q176,"O")</f>
        <v>137.93999999984158</v>
      </c>
    </row>
    <row r="176" spans="1:78" ht="18" customHeight="1">
      <c r="A176" s="45" t="s">
        <v>567</v>
      </c>
      <c r="B176" s="59">
        <v>45328</v>
      </c>
      <c r="C176" s="46" t="s">
        <v>718</v>
      </c>
      <c r="D176" s="46" t="s">
        <v>98</v>
      </c>
      <c r="E176" s="66"/>
      <c r="F176" s="47"/>
      <c r="G176" s="106" t="s">
        <v>459</v>
      </c>
      <c r="H176" s="49"/>
      <c r="I176" s="49"/>
      <c r="J176" s="49"/>
      <c r="K176" s="50"/>
      <c r="L176" s="49">
        <v>1</v>
      </c>
      <c r="M176" s="49"/>
      <c r="N176" s="49"/>
      <c r="O176" s="50" t="s">
        <v>100</v>
      </c>
      <c r="P176" s="50" t="s">
        <v>101</v>
      </c>
      <c r="Q176" s="50" t="s">
        <v>102</v>
      </c>
      <c r="R176" s="50">
        <v>24</v>
      </c>
      <c r="S176" s="50">
        <v>0</v>
      </c>
      <c r="T176" s="50">
        <v>24</v>
      </c>
      <c r="U176" s="50" t="s">
        <v>22</v>
      </c>
      <c r="V176" s="50"/>
      <c r="W176" s="50"/>
      <c r="X176" s="50"/>
      <c r="Y176" s="51">
        <f t="shared" si="48"/>
        <v>0.01</v>
      </c>
      <c r="Z176" s="52">
        <f>IF(ISBLANK(O176),"",IF(O176="IB",8.63*200,IF(O176="IR",16*100,IF(O176="YT",20*100,IF(O176="YT-XT",24*200,IF(O176="TED",80*100))))))</f>
        <v>1600</v>
      </c>
      <c r="AA176" s="97" t="s">
        <v>719</v>
      </c>
      <c r="AB176" s="52"/>
      <c r="AC176" s="52"/>
      <c r="AD176" s="231">
        <v>-0.28000000000000003</v>
      </c>
      <c r="AE176" s="49"/>
      <c r="AF176" s="84"/>
      <c r="AG176" s="49"/>
      <c r="AH176" s="49"/>
      <c r="AI176" s="49"/>
      <c r="AJ176" s="228" t="s">
        <v>720</v>
      </c>
      <c r="AK176" s="49"/>
      <c r="AL176" s="113">
        <f t="shared" si="47"/>
        <v>-32</v>
      </c>
      <c r="AM176" s="113">
        <f t="shared" si="49"/>
        <v>-768</v>
      </c>
      <c r="AN176" s="218"/>
      <c r="AO176" s="49"/>
      <c r="AP176" s="49" t="s">
        <v>136</v>
      </c>
      <c r="AQ176" s="84" t="s">
        <v>142</v>
      </c>
      <c r="AR176" s="49" t="s">
        <v>721</v>
      </c>
      <c r="AS176" s="55">
        <v>-0.28000000000000003</v>
      </c>
      <c r="AT176" s="55">
        <f t="shared" si="50"/>
        <v>0</v>
      </c>
      <c r="AU176" s="54">
        <f t="shared" si="51"/>
        <v>0</v>
      </c>
      <c r="AV176" s="56">
        <f t="shared" si="52"/>
        <v>0</v>
      </c>
      <c r="AW176" s="57" t="s">
        <v>155</v>
      </c>
      <c r="AX176" s="96" t="s">
        <v>722</v>
      </c>
      <c r="AY176" s="96" t="s">
        <v>723</v>
      </c>
      <c r="AZ176" s="96" t="s">
        <v>724</v>
      </c>
      <c r="BA176" s="96"/>
      <c r="BB176" s="96"/>
      <c r="BC176" s="96"/>
      <c r="BD176" s="96"/>
      <c r="BE176" s="96"/>
      <c r="BF176" s="100"/>
      <c r="BG176" s="94">
        <f>SUM($AV$4:AV176)</f>
        <v>1140.900292188031</v>
      </c>
      <c r="BH176" s="95">
        <f>SUM($AU$4:AU176)</f>
        <v>15887.779999999653</v>
      </c>
      <c r="BI176" s="80">
        <f>SUMIFS($AU$3:AU177,$Q$3:Q177,"F")</f>
        <v>7652.4000000000015</v>
      </c>
      <c r="BJ176" s="80">
        <f>SUMIFS($AU$3:AU177,$Q$3:Q177,"S")</f>
        <v>7423.9999999999991</v>
      </c>
      <c r="BK176" s="87">
        <f>SUMIFS($AU$3:AU177,$P$3:P177,"W")</f>
        <v>12573.579999999936</v>
      </c>
      <c r="BL176" s="87">
        <f>SUMIFS($AU$3:AU177,$P$3:P177,"R")</f>
        <v>2974.0000000000005</v>
      </c>
      <c r="BM176" s="87">
        <f>SUMIFS($AU$3:AU177,$AQ$3:AQ177,"M")</f>
        <v>4411.3799999996527</v>
      </c>
      <c r="BN176" s="87">
        <f>SUMIFS($AU$3:AU177,$AQ$3:AQ177,"H")</f>
        <v>5343.9999999999973</v>
      </c>
      <c r="BO176" s="87">
        <f>SUMIFS($AU$3:AU177,$AQ$3:AQ177,"D")</f>
        <v>2590.0000000000009</v>
      </c>
      <c r="BP176" s="87">
        <f>SUMIFS($AU$3:AU179,$AQ$3:AQ179,"W")</f>
        <v>3846.4000000000005</v>
      </c>
      <c r="BQ176" s="87">
        <f>SUMIFS($AU$3:AU177,$Q$3:Q177,"O")</f>
        <v>355.37999999964381</v>
      </c>
      <c r="BR176" s="87">
        <f>SUMIFS($AU$3:AU177,$AA$3:AA177,"*")</f>
        <v>14072.599999999544</v>
      </c>
      <c r="BS176" s="87">
        <f>SUMIFS($AU$3:AU177,$AB$3:AB177,"*")</f>
        <v>4919.179999999933</v>
      </c>
      <c r="BT176" s="87">
        <f>SUMIFS($AU$3:AU177,$AC$3:AC177,"*")</f>
        <v>7076.4000000000005</v>
      </c>
      <c r="BU176" s="87">
        <f>SUMIFS($AU$3:AU177,$AA$3:AA177,"*",$AB$3:AB177,"*")</f>
        <v>3167.999999999824</v>
      </c>
      <c r="BV176" s="87">
        <f>SUMIFS($AU$3:AU177,$AA$3:AA177,"*",$AC$3:AC177,"*")</f>
        <v>7012.4000000000005</v>
      </c>
      <c r="BW176" s="87">
        <f>SUMIFS($AU$3:AU177,$AB$3:AB177,"*",$AC$3:AC177,"*")</f>
        <v>1919.9999999999995</v>
      </c>
      <c r="BX176" s="87">
        <f>SUMIFS($AV$3:AV177,$Q$3:Q177,"F")</f>
        <v>198.02786430960344</v>
      </c>
      <c r="BY176" s="87">
        <f>SUMIFS($AV$3:AV177,$Q$3:Q177,"S")</f>
        <v>396.9324278785781</v>
      </c>
      <c r="BZ176" s="87">
        <f>SUMIFS($AV$3:AV177,$Q$3:Q177,"O")</f>
        <v>137.93999999984158</v>
      </c>
    </row>
    <row r="177" spans="1:78" ht="18" customHeight="1">
      <c r="A177" s="45" t="s">
        <v>567</v>
      </c>
      <c r="B177" s="59">
        <v>45329</v>
      </c>
      <c r="C177" s="46" t="s">
        <v>725</v>
      </c>
      <c r="D177" s="46" t="s">
        <v>186</v>
      </c>
      <c r="E177" s="66"/>
      <c r="F177" s="47"/>
      <c r="G177" s="106" t="s">
        <v>377</v>
      </c>
      <c r="H177" s="49"/>
      <c r="I177" s="49"/>
      <c r="J177" s="49"/>
      <c r="K177" s="50"/>
      <c r="L177" s="49">
        <v>1</v>
      </c>
      <c r="M177" s="49"/>
      <c r="N177" s="49"/>
      <c r="O177" s="50" t="s">
        <v>363</v>
      </c>
      <c r="P177" s="50" t="s">
        <v>126</v>
      </c>
      <c r="Q177" s="50"/>
      <c r="R177" s="50">
        <v>1</v>
      </c>
      <c r="S177" s="50">
        <v>0</v>
      </c>
      <c r="T177" s="50">
        <v>1</v>
      </c>
      <c r="U177" s="50" t="s">
        <v>22</v>
      </c>
      <c r="V177" s="50"/>
      <c r="W177" s="50"/>
      <c r="X177" s="50"/>
      <c r="Y177" s="51">
        <f t="shared" si="48"/>
        <v>0.01</v>
      </c>
      <c r="Z177" s="52">
        <f>IF(ISBLANK(O177),"",IF(O177="IB",8.63*200,IF(O177="IR",16*100,IF(O177="YT",20*100,IF(O177="YT-XT",24*200,IF(O177="TED",80*100))))))</f>
        <v>8000</v>
      </c>
      <c r="AA177" s="52" t="s">
        <v>177</v>
      </c>
      <c r="AB177" s="52"/>
      <c r="AC177" s="52"/>
      <c r="AD177" s="231">
        <v>-0.08</v>
      </c>
      <c r="AE177" s="49"/>
      <c r="AF177" s="84"/>
      <c r="AG177" s="49"/>
      <c r="AH177" s="49"/>
      <c r="AI177" s="49"/>
      <c r="AJ177" s="226"/>
      <c r="AK177" s="49"/>
      <c r="AL177" s="113">
        <f t="shared" si="47"/>
        <v>-160</v>
      </c>
      <c r="AM177" s="113">
        <f t="shared" si="49"/>
        <v>-160</v>
      </c>
      <c r="AN177" s="218"/>
      <c r="AO177" s="49"/>
      <c r="AP177" s="49"/>
      <c r="AQ177" s="84" t="s">
        <v>142</v>
      </c>
      <c r="AR177" s="49" t="s">
        <v>726</v>
      </c>
      <c r="AS177" s="55">
        <v>-0.08</v>
      </c>
      <c r="AT177" s="55">
        <f t="shared" si="50"/>
        <v>0</v>
      </c>
      <c r="AU177" s="54">
        <f t="shared" si="51"/>
        <v>0</v>
      </c>
      <c r="AV177" s="56">
        <f t="shared" si="52"/>
        <v>0</v>
      </c>
      <c r="AW177" s="57" t="s">
        <v>155</v>
      </c>
      <c r="AX177" s="96"/>
      <c r="AY177" s="96"/>
      <c r="AZ177" s="96"/>
      <c r="BA177" s="96"/>
      <c r="BB177" s="96"/>
      <c r="BC177" s="96"/>
      <c r="BD177" s="96"/>
      <c r="BE177" s="96"/>
      <c r="BF177" s="100"/>
      <c r="BG177" s="94">
        <f>SUM($AV$4:AV177)</f>
        <v>1140.900292188031</v>
      </c>
      <c r="BH177" s="95">
        <f>SUM($AU$4:AU177)</f>
        <v>15887.779999999653</v>
      </c>
      <c r="BI177" s="80">
        <f>SUMIFS($AU$3:AU253,$Q$3:Q253,"F")</f>
        <v>9348.4000000000015</v>
      </c>
      <c r="BJ177" s="80">
        <f>SUMIFS($AU$3:AU253,$Q$3:Q253,"S")</f>
        <v>3279.9999999999918</v>
      </c>
      <c r="BK177" s="87">
        <f>SUMIFS($AU$3:AU253,$P$3:P253,"W")</f>
        <v>8717.579999999929</v>
      </c>
      <c r="BL177" s="87">
        <f>SUMIFS($AU$3:AU253,$P$3:P253,"R")</f>
        <v>4181.9999999999991</v>
      </c>
      <c r="BM177" s="87">
        <f>SUMIFS($AU$3:AU253,$AQ$3:AQ253,"M")</f>
        <v>5219.3799999995472</v>
      </c>
      <c r="BN177" s="87">
        <f>SUMIFS($AU$3:AU253,$AQ$3:AQ253,"H")</f>
        <v>2931.2000000002599</v>
      </c>
      <c r="BO177" s="87">
        <f>SUMIFS($AU$3:AU253,$AQ$3:AQ253,"D")</f>
        <v>1266.0000000000005</v>
      </c>
      <c r="BP177" s="87">
        <f>SUMIFS($AU$3:AU180,$AQ$3:AQ180,"W")</f>
        <v>3846.4000000000005</v>
      </c>
      <c r="BQ177" s="87">
        <f>SUMIFS($AU$3:AU253,$Q$3:Q253,"O")</f>
        <v>1770.5799999998073</v>
      </c>
      <c r="BR177" s="87">
        <f>SUMIFS($AU$3:AU178,$AA$3:AA178,"*")</f>
        <v>14072.599999999544</v>
      </c>
      <c r="BS177" s="87">
        <f>SUMIFS($AU$3:AU178,$AB$3:AB178,"*")</f>
        <v>5319.1799999999321</v>
      </c>
      <c r="BT177" s="87">
        <f>SUMIFS($AU$3:AU178,$AC$3:AC178,"*")</f>
        <v>7476.4</v>
      </c>
      <c r="BU177" s="87">
        <f>SUMIFS($AU$3:AU178,$AA$3:AA178,"*",$AB$3:AB178,"*")</f>
        <v>3167.999999999824</v>
      </c>
      <c r="BV177" s="87">
        <f>SUMIFS($AU$3:AU178,$AA$3:AA178,"*",$AC$3:AC178,"*")</f>
        <v>7012.4000000000005</v>
      </c>
      <c r="BW177" s="87">
        <f>SUMIFS($AU$3:AU178,$AB$3:AB178,"*",$AC$3:AC178,"*")</f>
        <v>2319.9999999999986</v>
      </c>
      <c r="BX177" s="87">
        <f>SUMIFS($AV$3:AV178,$Q$3:Q178,"F")</f>
        <v>198.02786430960344</v>
      </c>
      <c r="BY177" s="87">
        <f>SUMIFS($AV$3:AV178,$Q$3:Q178,"S")</f>
        <v>412.93242787857804</v>
      </c>
      <c r="BZ177" s="87">
        <f>SUMIFS($AV$3:AV178,$Q$3:Q178,"O")</f>
        <v>137.93999999984158</v>
      </c>
    </row>
    <row r="178" spans="1:78" ht="18" customHeight="1">
      <c r="A178" s="45" t="s">
        <v>567</v>
      </c>
      <c r="B178" s="59">
        <v>45329</v>
      </c>
      <c r="C178" s="46" t="s">
        <v>727</v>
      </c>
      <c r="D178" s="46" t="s">
        <v>186</v>
      </c>
      <c r="E178" s="66"/>
      <c r="F178" s="47"/>
      <c r="G178" s="106" t="s">
        <v>111</v>
      </c>
      <c r="H178" s="49"/>
      <c r="I178" s="49"/>
      <c r="J178" s="49"/>
      <c r="K178" s="50"/>
      <c r="L178" s="49">
        <v>1</v>
      </c>
      <c r="M178" s="49"/>
      <c r="N178" s="49"/>
      <c r="O178" s="50" t="s">
        <v>100</v>
      </c>
      <c r="P178" s="50" t="s">
        <v>101</v>
      </c>
      <c r="Q178" s="50" t="s">
        <v>102</v>
      </c>
      <c r="R178" s="50">
        <v>25</v>
      </c>
      <c r="S178" s="50">
        <v>0</v>
      </c>
      <c r="T178" s="50">
        <v>21</v>
      </c>
      <c r="U178" s="50" t="s">
        <v>22</v>
      </c>
      <c r="V178" s="50"/>
      <c r="W178" s="50"/>
      <c r="X178" s="50"/>
      <c r="Y178" s="51">
        <f t="shared" si="48"/>
        <v>0.01</v>
      </c>
      <c r="Z178" s="52">
        <f>IF(ISBLANK(O178),"",IF(O178="IB",8.63*200,IF(O178="IR",16*100,IF(O178="YT",20*100,IF(O178="YT-XT",24*200,IF(O178="TED",80*100))))))</f>
        <v>1600</v>
      </c>
      <c r="AA178" s="52"/>
      <c r="AB178" s="52" t="s">
        <v>728</v>
      </c>
      <c r="AC178" s="52" t="s">
        <v>729</v>
      </c>
      <c r="AD178" s="231">
        <v>-0.15</v>
      </c>
      <c r="AE178" s="49"/>
      <c r="AF178" s="84"/>
      <c r="AG178" s="49"/>
      <c r="AH178" s="49"/>
      <c r="AI178" s="49"/>
      <c r="AJ178" s="226" t="s">
        <v>730</v>
      </c>
      <c r="AK178" s="49"/>
      <c r="AL178" s="113">
        <f t="shared" si="47"/>
        <v>-32</v>
      </c>
      <c r="AM178" s="113">
        <f t="shared" si="49"/>
        <v>-800</v>
      </c>
      <c r="AN178" s="218"/>
      <c r="AO178" s="49"/>
      <c r="AP178" s="49" t="s">
        <v>422</v>
      </c>
      <c r="AQ178" s="84" t="s">
        <v>142</v>
      </c>
      <c r="AR178" s="49" t="s">
        <v>731</v>
      </c>
      <c r="AS178" s="55">
        <v>-0.14000000000000001</v>
      </c>
      <c r="AT178" s="55">
        <f t="shared" si="50"/>
        <v>9.9999999999999811E-3</v>
      </c>
      <c r="AU178" s="54">
        <f t="shared" si="51"/>
        <v>399.99999999999926</v>
      </c>
      <c r="AV178" s="56">
        <f t="shared" si="52"/>
        <v>15.99999999999997</v>
      </c>
      <c r="AW178" s="57" t="s">
        <v>101</v>
      </c>
      <c r="AX178" s="96"/>
      <c r="AY178" s="96"/>
      <c r="AZ178" s="96"/>
      <c r="BA178" s="96"/>
      <c r="BB178" s="96"/>
      <c r="BC178" s="96"/>
      <c r="BD178" s="96"/>
      <c r="BE178" s="96"/>
      <c r="BF178" s="100"/>
      <c r="BG178" s="94">
        <f>SUM($AV$4:AV178)</f>
        <v>1156.900292188031</v>
      </c>
      <c r="BH178" s="95">
        <f>SUM($AU$4:AU178)</f>
        <v>16287.779999999653</v>
      </c>
      <c r="BI178" s="80">
        <f>SUMIFS($AU$3:AU179,$Q$3:Q179,"F")</f>
        <v>7652.4000000000015</v>
      </c>
      <c r="BJ178" s="80">
        <f>SUMIFS($AU$3:AU179,$Q$3:Q179,"S")</f>
        <v>7823.9999999999982</v>
      </c>
      <c r="BK178" s="87">
        <f>SUMIFS($AU$3:AU179,$P$3:P179,"W")</f>
        <v>12973.579999999936</v>
      </c>
      <c r="BL178" s="87">
        <f>SUMIFS($AU$3:AU179,$P$3:P179,"R")</f>
        <v>2974.0000000000005</v>
      </c>
      <c r="BM178" s="87">
        <f>SUMIFS($AU$3:AU179,$AQ$3:AQ179,"M")</f>
        <v>4440.3799999996263</v>
      </c>
      <c r="BN178" s="87">
        <f>SUMIFS($AU$3:AU179,$AQ$3:AQ179,"H")</f>
        <v>5743.9999999999964</v>
      </c>
      <c r="BO178" s="87">
        <f>SUMIFS($AU$3:AU179,$AQ$3:AQ179,"D")</f>
        <v>2590.0000000000009</v>
      </c>
      <c r="BP178" s="87">
        <f>SUMIFS($AU$3:AU181,$AQ$3:AQ181,"W")</f>
        <v>3846.4000000000005</v>
      </c>
      <c r="BQ178" s="87">
        <f>SUMIFS($AU$3:AU179,$Q$3:Q179,"O")</f>
        <v>384.37999999961744</v>
      </c>
      <c r="BR178" s="87">
        <f>SUMIFS($AU$3:AU179,$AA$3:AA179,"*")</f>
        <v>14101.599999999518</v>
      </c>
      <c r="BS178" s="87">
        <f>SUMIFS($AU$3:AU179,$AB$3:AB179,"*")</f>
        <v>5319.1799999999321</v>
      </c>
      <c r="BT178" s="87">
        <f>SUMIFS($AU$3:AU179,$AC$3:AC179,"*")</f>
        <v>7476.4</v>
      </c>
      <c r="BU178" s="87">
        <f>SUMIFS($AU$3:AU179,$AA$3:AA179,"*",$AB$3:AB179,"*")</f>
        <v>3167.999999999824</v>
      </c>
      <c r="BV178" s="87">
        <f>SUMIFS($AU$3:AU179,$AA$3:AA179,"*",$AC$3:AC179,"*")</f>
        <v>7012.4000000000005</v>
      </c>
      <c r="BW178" s="87">
        <f>SUMIFS($AU$3:AU179,$AB$3:AB179,"*",$AC$3:AC179,"*")</f>
        <v>2319.9999999999986</v>
      </c>
      <c r="BX178" s="87">
        <f>SUMIFS($AV$3:AV179,$Q$3:Q179,"F")</f>
        <v>198.02786430960344</v>
      </c>
      <c r="BY178" s="87">
        <f>SUMIFS($AV$3:AV179,$Q$3:Q179,"S")</f>
        <v>412.93242787857804</v>
      </c>
      <c r="BZ178" s="87">
        <f>SUMIFS($AV$3:AV179,$Q$3:Q179,"O")</f>
        <v>166.9399999998152</v>
      </c>
    </row>
    <row r="179" spans="1:78" ht="18" customHeight="1">
      <c r="A179" s="45" t="s">
        <v>567</v>
      </c>
      <c r="B179" s="59">
        <v>45329</v>
      </c>
      <c r="C179" s="46" t="s">
        <v>732</v>
      </c>
      <c r="D179" s="46" t="s">
        <v>186</v>
      </c>
      <c r="E179" s="66"/>
      <c r="F179" s="47"/>
      <c r="G179" s="48" t="s">
        <v>195</v>
      </c>
      <c r="H179" s="49"/>
      <c r="I179" s="49"/>
      <c r="J179" s="49"/>
      <c r="K179" s="50"/>
      <c r="L179" s="49">
        <v>2</v>
      </c>
      <c r="M179" s="49"/>
      <c r="N179" s="49"/>
      <c r="O179" s="50" t="s">
        <v>196</v>
      </c>
      <c r="P179" s="50" t="s">
        <v>197</v>
      </c>
      <c r="Q179" s="50" t="s">
        <v>198</v>
      </c>
      <c r="R179" s="50">
        <v>1</v>
      </c>
      <c r="S179" s="50">
        <v>0</v>
      </c>
      <c r="T179" s="50">
        <v>1</v>
      </c>
      <c r="U179" s="50" t="s">
        <v>22</v>
      </c>
      <c r="V179" s="50"/>
      <c r="W179" s="50"/>
      <c r="X179" s="50"/>
      <c r="Y179" s="51">
        <f t="shared" si="48"/>
        <v>0.01</v>
      </c>
      <c r="Z179" s="52">
        <f>IF(ISBLANK(O179),"",IF(O179="IB",8.63*200,IF(O179="IR",16*100,IF(O179="YT",20*100,IF(O179="YT-XT",24*200,IF(O179="TED",80*100,IF(O179="XT",29*200)))))))</f>
        <v>5800</v>
      </c>
      <c r="AA179" s="52" t="s">
        <v>733</v>
      </c>
      <c r="AB179" s="52"/>
      <c r="AC179" s="52"/>
      <c r="AD179" s="231">
        <v>95.86</v>
      </c>
      <c r="AE179" s="49"/>
      <c r="AF179" s="84"/>
      <c r="AG179" s="49"/>
      <c r="AH179" s="49"/>
      <c r="AI179" s="49"/>
      <c r="AJ179" s="226"/>
      <c r="AK179" s="49"/>
      <c r="AL179" s="113">
        <f>-0.04*Z179</f>
        <v>-232</v>
      </c>
      <c r="AM179" s="113">
        <f t="shared" si="49"/>
        <v>-232</v>
      </c>
      <c r="AN179" s="218"/>
      <c r="AO179" s="49"/>
      <c r="AP179" s="49" t="s">
        <v>532</v>
      </c>
      <c r="AQ179" s="84" t="s">
        <v>350</v>
      </c>
      <c r="AR179" s="49" t="s">
        <v>254</v>
      </c>
      <c r="AS179" s="55">
        <v>95.864999999999995</v>
      </c>
      <c r="AT179" s="55">
        <f t="shared" si="50"/>
        <v>4.9999999999954525E-3</v>
      </c>
      <c r="AU179" s="54">
        <f t="shared" si="51"/>
        <v>28.999999999973625</v>
      </c>
      <c r="AV179" s="56">
        <f t="shared" si="52"/>
        <v>28.999999999973625</v>
      </c>
      <c r="AW179" s="57" t="s">
        <v>101</v>
      </c>
      <c r="AX179" s="96"/>
      <c r="AY179" s="96"/>
      <c r="AZ179" s="96"/>
      <c r="BA179" s="96"/>
      <c r="BB179" s="96"/>
      <c r="BC179" s="96"/>
      <c r="BD179" s="96"/>
      <c r="BE179" s="96"/>
      <c r="BF179" s="100"/>
      <c r="BG179" s="94">
        <f>SUM($AV$4:AV179)</f>
        <v>1185.9002921880046</v>
      </c>
      <c r="BH179" s="95">
        <f>SUM($AU$4:AU179)</f>
        <v>16316.779999999628</v>
      </c>
      <c r="BI179" s="80">
        <f>SUMIFS($AU$3:AU180,$Q$3:Q180,"F")</f>
        <v>7652.4000000000015</v>
      </c>
      <c r="BJ179" s="80">
        <f>SUMIFS($AU$3:AU180,$Q$3:Q180,"S")</f>
        <v>7823.9999999999982</v>
      </c>
      <c r="BK179" s="87">
        <f>SUMIFS($AU$3:AU180,$P$3:P180,"W")</f>
        <v>12973.579999999936</v>
      </c>
      <c r="BL179" s="87">
        <f>SUMIFS($AU$3:AU180,$P$3:P180,"R")</f>
        <v>3054.0000000000005</v>
      </c>
      <c r="BM179" s="87">
        <f>SUMIFS($AU$3:AU180,$AQ$3:AQ180,"M")</f>
        <v>4440.3799999996263</v>
      </c>
      <c r="BN179" s="87">
        <f>SUMIFS($AU$3:AU180,$AQ$3:AQ180,"H")</f>
        <v>5743.9999999999964</v>
      </c>
      <c r="BO179" s="87">
        <f>SUMIFS($AU$3:AU180,$AQ$3:AQ180,"D")</f>
        <v>2670.0000000000009</v>
      </c>
      <c r="BP179" s="87">
        <f>SUMIFS($AU$3:AU182,$AQ$3:AQ182,"W")</f>
        <v>3846.4000000000005</v>
      </c>
      <c r="BQ179" s="87">
        <f>SUMIFS($AU$3:AU180,$Q$3:Q180,"O")</f>
        <v>384.37999999961744</v>
      </c>
      <c r="BR179" s="87">
        <f>SUMIFS($AU$3:AU180,$AA$3:AA180,"*")</f>
        <v>14181.599999999518</v>
      </c>
      <c r="BS179" s="87">
        <f>SUMIFS($AU$3:AU180,$AB$3:AB180,"*")</f>
        <v>5319.1799999999321</v>
      </c>
      <c r="BT179" s="87">
        <f>SUMIFS($AU$3:AU180,$AC$3:AC180,"*")</f>
        <v>7476.4</v>
      </c>
      <c r="BU179" s="87">
        <f>SUMIFS($AU$3:AU180,$AA$3:AA180,"*",$AB$3:AB180,"*")</f>
        <v>3167.999999999824</v>
      </c>
      <c r="BV179" s="87">
        <f>SUMIFS($AU$3:AU180,$AA$3:AA180,"*",$AC$3:AC180,"*")</f>
        <v>7012.4000000000005</v>
      </c>
      <c r="BW179" s="87">
        <f>SUMIFS($AU$3:AU180,$AB$3:AB180,"*",$AC$3:AC180,"*")</f>
        <v>2319.9999999999986</v>
      </c>
      <c r="BX179" s="87">
        <f>SUMIFS($AV$3:AV180,$Q$3:Q180,"F")</f>
        <v>198.02786430960344</v>
      </c>
      <c r="BY179" s="87">
        <f>SUMIFS($AV$3:AV180,$Q$3:Q180,"S")</f>
        <v>412.93242787857804</v>
      </c>
      <c r="BZ179" s="87">
        <f>SUMIFS($AV$3:AV180,$Q$3:Q180,"O")</f>
        <v>166.9399999998152</v>
      </c>
    </row>
    <row r="180" spans="1:78" ht="18" customHeight="1">
      <c r="A180" s="45" t="s">
        <v>567</v>
      </c>
      <c r="B180" s="59">
        <v>45330</v>
      </c>
      <c r="C180" s="46" t="s">
        <v>734</v>
      </c>
      <c r="D180" s="46" t="s">
        <v>107</v>
      </c>
      <c r="E180" s="66"/>
      <c r="F180" s="47"/>
      <c r="G180" s="106" t="s">
        <v>735</v>
      </c>
      <c r="H180" s="49"/>
      <c r="I180" s="49"/>
      <c r="J180" s="49"/>
      <c r="K180" s="50"/>
      <c r="L180" s="49">
        <v>1</v>
      </c>
      <c r="M180" s="49"/>
      <c r="N180" s="49"/>
      <c r="O180" s="50" t="s">
        <v>363</v>
      </c>
      <c r="P180" s="50" t="s">
        <v>126</v>
      </c>
      <c r="Q180" s="50"/>
      <c r="R180" s="50">
        <v>1</v>
      </c>
      <c r="S180" s="50">
        <v>0</v>
      </c>
      <c r="T180" s="50">
        <v>1</v>
      </c>
      <c r="U180" s="50" t="s">
        <v>22</v>
      </c>
      <c r="V180" s="50"/>
      <c r="W180" s="50"/>
      <c r="X180" s="50"/>
      <c r="Y180" s="51">
        <f t="shared" si="48"/>
        <v>0.01</v>
      </c>
      <c r="Z180" s="52">
        <f>IF(ISBLANK(O180),"",IF(O180="IB",8.63*200,IF(O180="IR",16*100,IF(O180="YT",20*100,IF(O180="YT-XT",24*200,IF(O180="TED",80*100))))))</f>
        <v>8000</v>
      </c>
      <c r="AA180" s="52" t="s">
        <v>177</v>
      </c>
      <c r="AB180" s="52"/>
      <c r="AC180" s="52"/>
      <c r="AD180" s="231">
        <v>-0.18</v>
      </c>
      <c r="AE180" s="49"/>
      <c r="AF180" s="84"/>
      <c r="AG180" s="49"/>
      <c r="AH180" s="49"/>
      <c r="AI180" s="49"/>
      <c r="AJ180" s="226"/>
      <c r="AK180" s="49"/>
      <c r="AL180" s="113">
        <f t="shared" si="47"/>
        <v>-160</v>
      </c>
      <c r="AM180" s="113">
        <f t="shared" si="49"/>
        <v>-160</v>
      </c>
      <c r="AN180" s="218"/>
      <c r="AO180" s="49"/>
      <c r="AP180" s="49" t="s">
        <v>297</v>
      </c>
      <c r="AQ180" s="84" t="s">
        <v>155</v>
      </c>
      <c r="AR180" s="49" t="s">
        <v>736</v>
      </c>
      <c r="AS180" s="55">
        <v>-0.17</v>
      </c>
      <c r="AT180" s="55">
        <f t="shared" si="50"/>
        <v>9.9999999999999811E-3</v>
      </c>
      <c r="AU180" s="54">
        <f t="shared" si="51"/>
        <v>79.999999999999844</v>
      </c>
      <c r="AV180" s="56">
        <f t="shared" si="52"/>
        <v>79.999999999999844</v>
      </c>
      <c r="AW180" s="57" t="s">
        <v>101</v>
      </c>
      <c r="AX180" s="96"/>
      <c r="AY180" s="96"/>
      <c r="AZ180" s="96"/>
      <c r="BA180" s="96"/>
      <c r="BB180" s="96"/>
      <c r="BC180" s="96"/>
      <c r="BD180" s="96"/>
      <c r="BE180" s="96"/>
      <c r="BF180" s="100"/>
      <c r="BG180" s="94">
        <f>SUM($AV$4:AV180)</f>
        <v>1265.9002921880044</v>
      </c>
      <c r="BH180" s="95">
        <f>SUM($AU$4:AU180)</f>
        <v>16396.779999999628</v>
      </c>
      <c r="BI180" s="80">
        <f>SUMIFS($AU$3:AU181,$Q$3:Q181,"F")</f>
        <v>7652.4000000000015</v>
      </c>
      <c r="BJ180" s="80">
        <f>SUMIFS($AU$3:AU181,$Q$3:Q181,"S")</f>
        <v>8111.9999999999973</v>
      </c>
      <c r="BK180" s="87">
        <f>SUMIFS($AU$3:AU181,$P$3:P181,"W")</f>
        <v>13261.579999999934</v>
      </c>
      <c r="BL180" s="87">
        <f>SUMIFS($AU$3:AU181,$P$3:P181,"R")</f>
        <v>3054.0000000000005</v>
      </c>
      <c r="BM180" s="87">
        <f>SUMIFS($AU$3:AU181,$AQ$3:AQ181,"M")</f>
        <v>4440.3799999996263</v>
      </c>
      <c r="BN180" s="87">
        <f>SUMIFS($AU$3:AU181,$AQ$3:AQ181,"H")</f>
        <v>6031.9999999999955</v>
      </c>
      <c r="BO180" s="87">
        <f>SUMIFS($AU$3:AU181,$AQ$3:AQ181,"D")</f>
        <v>2670.0000000000009</v>
      </c>
      <c r="BP180" s="87">
        <f>SUMIFS($AU$3:AU183,$AQ$3:AQ183,"W")</f>
        <v>3846.4000000000005</v>
      </c>
      <c r="BQ180" s="87">
        <f>SUMIFS($AU$3:AU181,$Q$3:Q181,"O")</f>
        <v>384.37999999961744</v>
      </c>
      <c r="BR180" s="87">
        <f>SUMIFS($AU$3:AU181,$AA$3:AA181,"*")</f>
        <v>14469.599999999517</v>
      </c>
      <c r="BS180" s="87">
        <f>SUMIFS($AU$3:AU181,$AB$3:AB181,"*")</f>
        <v>5607.1799999999312</v>
      </c>
      <c r="BT180" s="87">
        <f>SUMIFS($AU$3:AU181,$AC$3:AC181,"*")</f>
        <v>7476.4</v>
      </c>
      <c r="BU180" s="87">
        <f>SUMIFS($AU$3:AU181,$AA$3:AA181,"*",$AB$3:AB181,"*")</f>
        <v>3455.9999999998226</v>
      </c>
      <c r="BV180" s="87">
        <f>SUMIFS($AU$3:AU181,$AA$3:AA181,"*",$AC$3:AC181,"*")</f>
        <v>7012.4000000000005</v>
      </c>
      <c r="BW180" s="87">
        <f>SUMIFS($AU$3:AU181,$AB$3:AB181,"*",$AC$3:AC181,"*")</f>
        <v>2319.9999999999986</v>
      </c>
      <c r="BX180" s="87">
        <f>SUMIFS($AV$3:AV181,$Q$3:Q181,"F")</f>
        <v>198.02786430960344</v>
      </c>
      <c r="BY180" s="87">
        <f>SUMIFS($AV$3:AV181,$Q$3:Q181,"S")</f>
        <v>424.00935095550108</v>
      </c>
      <c r="BZ180" s="87">
        <f>SUMIFS($AV$3:AV181,$Q$3:Q181,"O")</f>
        <v>166.9399999998152</v>
      </c>
    </row>
    <row r="181" spans="1:78" ht="18" customHeight="1">
      <c r="A181" s="45" t="s">
        <v>567</v>
      </c>
      <c r="B181" s="59">
        <v>45330</v>
      </c>
      <c r="C181" s="46" t="s">
        <v>737</v>
      </c>
      <c r="D181" s="46" t="s">
        <v>107</v>
      </c>
      <c r="E181" s="66"/>
      <c r="F181" s="47"/>
      <c r="G181" s="106" t="s">
        <v>111</v>
      </c>
      <c r="H181" s="49"/>
      <c r="I181" s="49"/>
      <c r="J181" s="49"/>
      <c r="K181" s="50"/>
      <c r="L181" s="49">
        <v>1</v>
      </c>
      <c r="M181" s="49"/>
      <c r="N181" s="49"/>
      <c r="O181" s="50" t="s">
        <v>100</v>
      </c>
      <c r="P181" s="50" t="s">
        <v>101</v>
      </c>
      <c r="Q181" s="50" t="s">
        <v>102</v>
      </c>
      <c r="R181" s="50">
        <v>26</v>
      </c>
      <c r="S181" s="50">
        <v>0</v>
      </c>
      <c r="T181" s="50">
        <v>18</v>
      </c>
      <c r="U181" s="50" t="s">
        <v>22</v>
      </c>
      <c r="V181" s="50"/>
      <c r="W181" s="50"/>
      <c r="X181" s="50"/>
      <c r="Y181" s="51">
        <f t="shared" si="48"/>
        <v>0.01</v>
      </c>
      <c r="Z181" s="52">
        <f>IF(ISBLANK(O181),"",IF(O181="IB",8.63*200,IF(O181="IR",16*100,IF(O181="YT",20*100,IF(O181="YT-XT",24*200,IF(O181="TED",80*100))))))</f>
        <v>1600</v>
      </c>
      <c r="AA181" s="52" t="s">
        <v>177</v>
      </c>
      <c r="AB181" s="101" t="s">
        <v>728</v>
      </c>
      <c r="AC181" s="52"/>
      <c r="AD181" s="231">
        <f>((-0.15*18)+(-0.14*8))/26</f>
        <v>-0.14692307692307691</v>
      </c>
      <c r="AE181" s="49"/>
      <c r="AF181" s="84"/>
      <c r="AG181" s="49"/>
      <c r="AH181" s="49"/>
      <c r="AI181" s="49"/>
      <c r="AJ181" s="226"/>
      <c r="AK181" s="49"/>
      <c r="AL181" s="113">
        <f t="shared" si="47"/>
        <v>-32</v>
      </c>
      <c r="AM181" s="113">
        <f t="shared" si="49"/>
        <v>-832</v>
      </c>
      <c r="AN181" s="218"/>
      <c r="AO181" s="49"/>
      <c r="AP181" s="49" t="s">
        <v>136</v>
      </c>
      <c r="AQ181" s="84" t="s">
        <v>142</v>
      </c>
      <c r="AR181" s="49" t="s">
        <v>738</v>
      </c>
      <c r="AS181" s="55">
        <v>-0.14000000000000001</v>
      </c>
      <c r="AT181" s="55">
        <f t="shared" si="50"/>
        <v>6.9230769230768929E-3</v>
      </c>
      <c r="AU181" s="54">
        <f t="shared" si="51"/>
        <v>287.99999999999875</v>
      </c>
      <c r="AV181" s="56">
        <f t="shared" si="52"/>
        <v>11.076923076923029</v>
      </c>
      <c r="AW181" s="57" t="s">
        <v>101</v>
      </c>
      <c r="AX181" s="96"/>
      <c r="AY181" s="96"/>
      <c r="AZ181" s="96"/>
      <c r="BA181" s="96"/>
      <c r="BB181" s="96"/>
      <c r="BC181" s="96"/>
      <c r="BD181" s="96"/>
      <c r="BE181" s="96"/>
      <c r="BF181" s="100"/>
      <c r="BG181" s="94">
        <f>SUM($AV$4:AV181)</f>
        <v>1276.9772152649275</v>
      </c>
      <c r="BH181" s="95">
        <f>SUM($AU$4:AU181)</f>
        <v>16684.779999999628</v>
      </c>
      <c r="BI181" s="80">
        <f>SUMIFS($AU$3:AU182,$Q$3:Q182,"F")</f>
        <v>7652.4000000000015</v>
      </c>
      <c r="BJ181" s="80">
        <f>SUMIFS($AU$3:AU182,$Q$3:Q182,"S")</f>
        <v>8111.9999999999973</v>
      </c>
      <c r="BK181" s="87">
        <f>SUMIFS($AU$3:AU182,$P$3:P182,"W")</f>
        <v>13261.579999999934</v>
      </c>
      <c r="BL181" s="87">
        <f>SUMIFS($AU$3:AU182,$P$3:P182,"R")</f>
        <v>3054.0000000000005</v>
      </c>
      <c r="BM181" s="87">
        <f>SUMIFS($AU$3:AU182,$AQ$3:AQ182,"M")</f>
        <v>4440.3799999996263</v>
      </c>
      <c r="BN181" s="87">
        <f>SUMIFS($AU$3:AU182,$AQ$3:AQ182,"H")</f>
        <v>6031.9999999999955</v>
      </c>
      <c r="BO181" s="87">
        <f>SUMIFS($AU$3:AU182,$AQ$3:AQ182,"D")</f>
        <v>2670.0000000000009</v>
      </c>
      <c r="BP181" s="87">
        <f>SUMIFS($AU$3:AU184,$AQ$3:AQ184,"W")</f>
        <v>3846.4000000000005</v>
      </c>
      <c r="BQ181" s="87">
        <f>SUMIFS($AU$3:AU182,$Q$3:Q182,"O")</f>
        <v>384.37999999961744</v>
      </c>
      <c r="BR181" s="87">
        <f>SUMIFS($AU$3:AU182,$AA$3:AA182,"*")</f>
        <v>14469.599999999517</v>
      </c>
      <c r="BS181" s="87">
        <f>SUMIFS($AU$3:AU182,$AB$3:AB182,"*")</f>
        <v>5607.1799999999312</v>
      </c>
      <c r="BT181" s="87">
        <f>SUMIFS($AU$3:AU182,$AC$3:AC182,"*")</f>
        <v>7476.4</v>
      </c>
      <c r="BU181" s="87">
        <f>SUMIFS($AU$3:AU182,$AA$3:AA182,"*",$AB$3:AB182,"*")</f>
        <v>3455.9999999998226</v>
      </c>
      <c r="BV181" s="87">
        <f>SUMIFS($AU$3:AU182,$AA$3:AA182,"*",$AC$3:AC182,"*")</f>
        <v>7012.4000000000005</v>
      </c>
      <c r="BW181" s="87">
        <f>SUMIFS($AU$3:AU182,$AB$3:AB182,"*",$AC$3:AC182,"*")</f>
        <v>2319.9999999999986</v>
      </c>
      <c r="BX181" s="87">
        <f>SUMIFS($AV$3:AV182,$Q$3:Q182,"F")</f>
        <v>198.02786430960344</v>
      </c>
      <c r="BY181" s="87">
        <f>SUMIFS($AV$3:AV182,$Q$3:Q182,"S")</f>
        <v>424.00935095550108</v>
      </c>
      <c r="BZ181" s="87">
        <f>SUMIFS($AV$3:AV182,$Q$3:Q182,"O")</f>
        <v>166.9399999998152</v>
      </c>
    </row>
    <row r="182" spans="1:78" ht="18" customHeight="1">
      <c r="A182" s="45" t="s">
        <v>567</v>
      </c>
      <c r="B182" s="59">
        <v>45330</v>
      </c>
      <c r="C182" s="46" t="s">
        <v>737</v>
      </c>
      <c r="D182" s="46" t="s">
        <v>107</v>
      </c>
      <c r="E182" s="66"/>
      <c r="F182" s="47"/>
      <c r="G182" s="48" t="s">
        <v>111</v>
      </c>
      <c r="H182" s="49"/>
      <c r="I182" s="49"/>
      <c r="J182" s="49"/>
      <c r="K182" s="50"/>
      <c r="L182" s="49"/>
      <c r="M182" s="49"/>
      <c r="N182" s="49"/>
      <c r="O182" s="50"/>
      <c r="P182" s="50"/>
      <c r="Q182" s="50"/>
      <c r="R182" s="50"/>
      <c r="S182" s="50"/>
      <c r="T182" s="50"/>
      <c r="U182" s="50"/>
      <c r="V182" s="50"/>
      <c r="W182" s="50"/>
      <c r="X182" s="50"/>
      <c r="Y182" s="51"/>
      <c r="Z182" s="52"/>
      <c r="AA182" s="52"/>
      <c r="AB182" s="101"/>
      <c r="AC182" s="52"/>
      <c r="AD182" s="231"/>
      <c r="AE182" s="49"/>
      <c r="AF182" s="84"/>
      <c r="AG182" s="49"/>
      <c r="AH182" s="49"/>
      <c r="AI182" s="49"/>
      <c r="AJ182" s="226"/>
      <c r="AK182" s="49"/>
      <c r="AL182" s="113">
        <f t="shared" si="47"/>
        <v>0</v>
      </c>
      <c r="AM182" s="113">
        <f t="shared" si="49"/>
        <v>0</v>
      </c>
      <c r="AN182" s="218"/>
      <c r="AO182" s="49"/>
      <c r="AP182" s="49"/>
      <c r="AQ182" s="84" t="str">
        <f>UPPER(RIGHT(Journal_Live[[#This Row],[DURATION ]]))</f>
        <v/>
      </c>
      <c r="AR182" s="49"/>
      <c r="AS182" s="55"/>
      <c r="AT182" s="55"/>
      <c r="AU182" s="54"/>
      <c r="AV182" s="56"/>
      <c r="AW182" s="57"/>
      <c r="AX182" s="96"/>
      <c r="AY182" s="96"/>
      <c r="AZ182" s="96"/>
      <c r="BA182" s="96"/>
      <c r="BB182" s="96"/>
      <c r="BC182" s="96"/>
      <c r="BD182" s="96"/>
      <c r="BE182" s="96"/>
      <c r="BF182" s="100"/>
      <c r="BG182" s="94">
        <f>SUM($AV$4:AV182)</f>
        <v>1276.9772152649275</v>
      </c>
      <c r="BH182" s="95">
        <f>SUM($AU$4:AU182)</f>
        <v>16684.779999999628</v>
      </c>
      <c r="BI182" s="80">
        <f>SUMIFS($AU$3:AU183,$Q$3:Q183,"F")</f>
        <v>7652.4000000000015</v>
      </c>
      <c r="BJ182" s="80">
        <f>SUMIFS($AU$3:AU183,$Q$3:Q183,"S")</f>
        <v>8111.9999999999973</v>
      </c>
      <c r="BK182" s="87">
        <f>SUMIFS($AU$3:AU183,$P$3:P183,"W")</f>
        <v>13261.579999999934</v>
      </c>
      <c r="BL182" s="87">
        <f>SUMIFS($AU$3:AU183,$P$3:P183,"R")</f>
        <v>3054.0000000000005</v>
      </c>
      <c r="BM182" s="87">
        <f>SUMIFS($AU$3:AU183,$AQ$3:AQ183,"M")</f>
        <v>4440.3799999996263</v>
      </c>
      <c r="BN182" s="87">
        <f>SUMIFS($AU$3:AU183,$AQ$3:AQ183,"H")</f>
        <v>6031.9999999999955</v>
      </c>
      <c r="BO182" s="87">
        <f>SUMIFS($AU$3:AU183,$AQ$3:AQ183,"D")</f>
        <v>2670.0000000000009</v>
      </c>
      <c r="BP182" s="87">
        <f>SUMIFS($AU$3:AU185,$AQ$3:AQ185,"W")</f>
        <v>3846.4000000000005</v>
      </c>
      <c r="BQ182" s="87">
        <f>SUMIFS($AU$3:AU183,$Q$3:Q183,"O")</f>
        <v>384.37999999961744</v>
      </c>
      <c r="BR182" s="87">
        <f>SUMIFS($AU$3:AU183,$AA$3:AA183,"*")</f>
        <v>14469.599999999517</v>
      </c>
      <c r="BS182" s="87">
        <f>SUMIFS($AU$3:AU183,$AB$3:AB183,"*")</f>
        <v>5607.1799999999312</v>
      </c>
      <c r="BT182" s="87">
        <f>SUMIFS($AU$3:AU183,$AC$3:AC183,"*")</f>
        <v>7476.4</v>
      </c>
      <c r="BU182" s="87">
        <f>SUMIFS($AU$3:AU183,$AA$3:AA183,"*",$AB$3:AB183,"*")</f>
        <v>3455.9999999998226</v>
      </c>
      <c r="BV182" s="87">
        <f>SUMIFS($AU$3:AU183,$AA$3:AA183,"*",$AC$3:AC183,"*")</f>
        <v>7012.4000000000005</v>
      </c>
      <c r="BW182" s="87">
        <f>SUMIFS($AU$3:AU183,$AB$3:AB183,"*",$AC$3:AC183,"*")</f>
        <v>2319.9999999999986</v>
      </c>
      <c r="BX182" s="87">
        <f>SUMIFS($AV$3:AV183,$Q$3:Q183,"F")</f>
        <v>198.02786430960344</v>
      </c>
      <c r="BY182" s="87">
        <f>SUMIFS($AV$3:AV183,$Q$3:Q183,"S")</f>
        <v>424.00935095550108</v>
      </c>
      <c r="BZ182" s="87">
        <f>SUMIFS($AV$3:AV183,$Q$3:Q183,"O")</f>
        <v>166.9399999998152</v>
      </c>
    </row>
    <row r="183" spans="1:78" ht="18" customHeight="1">
      <c r="A183" s="45" t="s">
        <v>567</v>
      </c>
      <c r="B183" s="59">
        <v>45330</v>
      </c>
      <c r="C183" s="46" t="s">
        <v>739</v>
      </c>
      <c r="D183" s="46" t="s">
        <v>107</v>
      </c>
      <c r="E183" s="66"/>
      <c r="F183" s="47"/>
      <c r="G183" s="106" t="s">
        <v>377</v>
      </c>
      <c r="H183" s="49"/>
      <c r="I183" s="49"/>
      <c r="J183" s="49"/>
      <c r="K183" s="50"/>
      <c r="L183" s="49">
        <v>1</v>
      </c>
      <c r="M183" s="49"/>
      <c r="N183" s="49"/>
      <c r="O183" s="50" t="s">
        <v>740</v>
      </c>
      <c r="P183" s="50" t="s">
        <v>126</v>
      </c>
      <c r="Q183" s="50"/>
      <c r="R183" s="50">
        <v>1</v>
      </c>
      <c r="S183" s="50">
        <v>0</v>
      </c>
      <c r="T183" s="50">
        <v>1</v>
      </c>
      <c r="U183" s="50" t="s">
        <v>22</v>
      </c>
      <c r="V183" s="50"/>
      <c r="W183" s="50"/>
      <c r="X183" s="50"/>
      <c r="Y183" s="51">
        <f>IF(ISBLANK(O183),"",(IF(O183=UPPER("IB"),0.005,0.01)))</f>
        <v>0.01</v>
      </c>
      <c r="Z183" s="52">
        <f>IF(ISBLANK(O183),"",IF(O183="IB",8.63*200,IF(O183="IR",16*100,IF(O183="YT",20*100,IF(O183="YT-XT",24*200,IF(O183="TED",80*100,IF(O183="IR|YT",300*100)))))))</f>
        <v>30000</v>
      </c>
      <c r="AA183" s="52" t="s">
        <v>741</v>
      </c>
      <c r="AB183" s="52"/>
      <c r="AC183" s="52"/>
      <c r="AD183" s="231">
        <v>-0.08</v>
      </c>
      <c r="AE183" s="49"/>
      <c r="AF183" s="84"/>
      <c r="AG183" s="49"/>
      <c r="AH183" s="49"/>
      <c r="AI183" s="49"/>
      <c r="AJ183" s="226"/>
      <c r="AK183" s="49"/>
      <c r="AL183" s="113">
        <f t="shared" si="47"/>
        <v>-600</v>
      </c>
      <c r="AM183" s="113">
        <f t="shared" si="49"/>
        <v>-600</v>
      </c>
      <c r="AN183" s="218"/>
      <c r="AO183" s="49"/>
      <c r="AP183" s="49" t="s">
        <v>297</v>
      </c>
      <c r="AQ183" s="84" t="s">
        <v>155</v>
      </c>
      <c r="AR183" s="74">
        <v>45331</v>
      </c>
      <c r="AS183" s="55">
        <v>-0.08</v>
      </c>
      <c r="AT183" s="55">
        <f>IF(ISBLANK(AS183),,IF(U183="S",AD183-AS183,AS183-AD183))</f>
        <v>0</v>
      </c>
      <c r="AU183" s="54">
        <f>AV183*R183</f>
        <v>0</v>
      </c>
      <c r="AV183" s="56">
        <f>IF(ISBLANK(AS183),,(AT183*Z183))</f>
        <v>0</v>
      </c>
      <c r="AW183" s="57" t="s">
        <v>155</v>
      </c>
      <c r="AX183" s="96"/>
      <c r="AY183" s="96"/>
      <c r="AZ183" s="96"/>
      <c r="BA183" s="96"/>
      <c r="BB183" s="96"/>
      <c r="BC183" s="96"/>
      <c r="BD183" s="96"/>
      <c r="BE183" s="96"/>
      <c r="BF183" s="100"/>
      <c r="BG183" s="94">
        <f>SUM($AV$4:AV183)</f>
        <v>1276.9772152649275</v>
      </c>
      <c r="BH183" s="95">
        <f>SUM($AU$4:AU183)</f>
        <v>16684.779999999628</v>
      </c>
      <c r="BI183" s="80">
        <f>SUMIFS($AU$3:AU184,$Q$3:Q184,"F")</f>
        <v>7652.4000000000015</v>
      </c>
      <c r="BJ183" s="80">
        <f>SUMIFS($AU$3:AU184,$Q$3:Q184,"S")</f>
        <v>8111.9999999999973</v>
      </c>
      <c r="BK183" s="87">
        <f>SUMIFS($AU$3:AU184,$P$3:P184,"W")</f>
        <v>13261.579999999934</v>
      </c>
      <c r="BL183" s="87">
        <f>SUMIFS($AU$3:AU184,$P$3:P184,"R")</f>
        <v>3054.0000000000005</v>
      </c>
      <c r="BM183" s="87">
        <f>SUMIFS($AU$3:AU184,$AQ$3:AQ184,"M")</f>
        <v>4440.3799999996263</v>
      </c>
      <c r="BN183" s="87">
        <f>SUMIFS($AU$3:AU184,$AQ$3:AQ184,"H")</f>
        <v>6031.9999999999955</v>
      </c>
      <c r="BO183" s="87">
        <f>SUMIFS($AU$3:AU184,$AQ$3:AQ184,"D")</f>
        <v>2670.0000000000009</v>
      </c>
      <c r="BP183" s="87">
        <f>SUMIFS($AU$3:AU186,$AQ$3:AQ186,"W")</f>
        <v>4998.4000000000005</v>
      </c>
      <c r="BQ183" s="87">
        <f>SUMIFS($AU$3:AU184,$Q$3:Q184,"O")</f>
        <v>384.37999999961744</v>
      </c>
      <c r="BR183" s="87">
        <f>SUMIFS($AU$3:AU184,$AA$3:AA184,"*")</f>
        <v>14469.599999999517</v>
      </c>
      <c r="BS183" s="87">
        <f>SUMIFS($AU$3:AU184,$AB$3:AB184,"*")</f>
        <v>5607.1799999999312</v>
      </c>
      <c r="BT183" s="87">
        <f>SUMIFS($AU$3:AU184,$AC$3:AC184,"*")</f>
        <v>7476.4</v>
      </c>
      <c r="BU183" s="87">
        <f>SUMIFS($AU$3:AU184,$AA$3:AA184,"*",$AB$3:AB184,"*")</f>
        <v>3455.9999999998226</v>
      </c>
      <c r="BV183" s="87">
        <f>SUMIFS($AU$3:AU184,$AA$3:AA184,"*",$AC$3:AC184,"*")</f>
        <v>7012.4000000000005</v>
      </c>
      <c r="BW183" s="87">
        <f>SUMIFS($AU$3:AU184,$AB$3:AB184,"*",$AC$3:AC184,"*")</f>
        <v>2319.9999999999986</v>
      </c>
      <c r="BX183" s="87">
        <f>SUMIFS($AV$3:AV184,$Q$3:Q184,"F")</f>
        <v>198.02786430960344</v>
      </c>
      <c r="BY183" s="87">
        <f>SUMIFS($AV$3:AV184,$Q$3:Q184,"S")</f>
        <v>424.00935095550108</v>
      </c>
      <c r="BZ183" s="87">
        <f>SUMIFS($AV$3:AV184,$Q$3:Q184,"O")</f>
        <v>166.9399999998152</v>
      </c>
    </row>
    <row r="184" spans="1:78" ht="18" customHeight="1">
      <c r="A184" s="45" t="s">
        <v>567</v>
      </c>
      <c r="B184" s="59">
        <v>45330</v>
      </c>
      <c r="C184" s="46" t="s">
        <v>742</v>
      </c>
      <c r="D184" s="46" t="s">
        <v>107</v>
      </c>
      <c r="E184" s="66"/>
      <c r="F184" s="47"/>
      <c r="G184" s="106" t="s">
        <v>99</v>
      </c>
      <c r="H184" s="49"/>
      <c r="I184" s="49"/>
      <c r="J184" s="49"/>
      <c r="K184" s="50"/>
      <c r="L184" s="49">
        <v>1</v>
      </c>
      <c r="M184" s="49"/>
      <c r="N184" s="49"/>
      <c r="O184" s="50" t="s">
        <v>100</v>
      </c>
      <c r="P184" s="50" t="s">
        <v>101</v>
      </c>
      <c r="Q184" s="50" t="s">
        <v>102</v>
      </c>
      <c r="R184" s="50">
        <v>10</v>
      </c>
      <c r="S184" s="50">
        <v>0</v>
      </c>
      <c r="T184" s="50">
        <v>10</v>
      </c>
      <c r="U184" s="50" t="s">
        <v>102</v>
      </c>
      <c r="V184" s="50"/>
      <c r="W184" s="50"/>
      <c r="X184" s="50"/>
      <c r="Y184" s="51">
        <f>IF(ISBLANK(O184),"",(IF(O184=UPPER("IB"),0.005,0.01)))</f>
        <v>0.01</v>
      </c>
      <c r="Z184" s="52">
        <f>IF(ISBLANK(O184),"",IF(O184="IB",8.63*200,IF(O184="IR",16*100,IF(O184="YT",20*100,IF(O184="YT-XT",24*200,IF(O184="TED",80*100))))))</f>
        <v>1600</v>
      </c>
      <c r="AA184" s="52" t="s">
        <v>177</v>
      </c>
      <c r="AB184" s="52"/>
      <c r="AC184" s="52"/>
      <c r="AD184" s="231">
        <v>-0.06</v>
      </c>
      <c r="AE184" s="49"/>
      <c r="AF184" s="84"/>
      <c r="AG184" s="49"/>
      <c r="AH184" s="49"/>
      <c r="AI184" s="49"/>
      <c r="AJ184" s="226"/>
      <c r="AK184" s="49"/>
      <c r="AL184" s="113">
        <f t="shared" si="47"/>
        <v>-32</v>
      </c>
      <c r="AM184" s="113">
        <f t="shared" si="49"/>
        <v>-320</v>
      </c>
      <c r="AN184" s="218"/>
      <c r="AO184" s="49"/>
      <c r="AP184" s="49" t="s">
        <v>743</v>
      </c>
      <c r="AQ184" s="84" t="s">
        <v>142</v>
      </c>
      <c r="AR184" s="49" t="s">
        <v>744</v>
      </c>
      <c r="AS184" s="55">
        <v>-0.06</v>
      </c>
      <c r="AT184" s="55">
        <f>IF(ISBLANK(AS184),,IF(U184="S",AD184-AS184,AS184-AD184))</f>
        <v>0</v>
      </c>
      <c r="AU184" s="54">
        <f>AV184*R184</f>
        <v>0</v>
      </c>
      <c r="AV184" s="56">
        <f>IF(ISBLANK(AS184),,(AT184*Z184))</f>
        <v>0</v>
      </c>
      <c r="AW184" s="57" t="s">
        <v>155</v>
      </c>
      <c r="AX184" s="96"/>
      <c r="AY184" s="96"/>
      <c r="AZ184" s="96"/>
      <c r="BA184" s="96"/>
      <c r="BB184" s="96"/>
      <c r="BC184" s="96"/>
      <c r="BD184" s="96"/>
      <c r="BE184" s="96"/>
      <c r="BF184" s="100"/>
      <c r="BG184" s="94">
        <f>SUM($AV$4:AV184)</f>
        <v>1276.9772152649275</v>
      </c>
      <c r="BH184" s="95">
        <f>SUM($AU$4:AU184)</f>
        <v>16684.779999999628</v>
      </c>
      <c r="BI184" s="80">
        <f>SUMIFS($AU$3:AU185,$Q$3:Q185,"F")</f>
        <v>7652.4000000000015</v>
      </c>
      <c r="BJ184" s="80">
        <f>SUMIFS($AU$3:AU185,$Q$3:Q185,"S")</f>
        <v>8111.9999999999973</v>
      </c>
      <c r="BK184" s="87">
        <f>SUMIFS($AU$3:AU185,$P$3:P185,"W")</f>
        <v>13261.579999999934</v>
      </c>
      <c r="BL184" s="87">
        <f>SUMIFS($AU$3:AU185,$P$3:P185,"R")</f>
        <v>3054.0000000000005</v>
      </c>
      <c r="BM184" s="87">
        <f>SUMIFS($AU$3:AU185,$AQ$3:AQ185,"M")</f>
        <v>4440.3799999996263</v>
      </c>
      <c r="BN184" s="87">
        <f>SUMIFS($AU$3:AU185,$AQ$3:AQ185,"H")</f>
        <v>6031.9999999999955</v>
      </c>
      <c r="BO184" s="87">
        <f>SUMIFS($AU$3:AU185,$AQ$3:AQ185,"D")</f>
        <v>2670.0000000000009</v>
      </c>
      <c r="BP184" s="87">
        <f>SUMIFS($AU$3:AU187,$AQ$3:AQ187,"W")</f>
        <v>4998.4000000000005</v>
      </c>
      <c r="BQ184" s="87">
        <f>SUMIFS($AU$3:AU185,$Q$3:Q185,"O")</f>
        <v>384.37999999961744</v>
      </c>
      <c r="BR184" s="87">
        <f>SUMIFS($AU$3:AU185,$AA$3:AA185,"*")</f>
        <v>14469.599999999517</v>
      </c>
      <c r="BS184" s="87">
        <f>SUMIFS($AU$3:AU185,$AB$3:AB185,"*")</f>
        <v>5607.1799999999312</v>
      </c>
      <c r="BT184" s="87">
        <f>SUMIFS($AU$3:AU185,$AC$3:AC185,"*")</f>
        <v>7476.4</v>
      </c>
      <c r="BU184" s="87">
        <f>SUMIFS($AU$3:AU185,$AA$3:AA185,"*",$AB$3:AB185,"*")</f>
        <v>3455.9999999998226</v>
      </c>
      <c r="BV184" s="87">
        <f>SUMIFS($AU$3:AU185,$AA$3:AA185,"*",$AC$3:AC185,"*")</f>
        <v>7012.4000000000005</v>
      </c>
      <c r="BW184" s="87">
        <f>SUMIFS($AU$3:AU185,$AB$3:AB185,"*",$AC$3:AC185,"*")</f>
        <v>2319.9999999999986</v>
      </c>
      <c r="BX184" s="87">
        <f>SUMIFS($AV$3:AV185,$Q$3:Q185,"F")</f>
        <v>198.02786430960344</v>
      </c>
      <c r="BY184" s="87">
        <f>SUMIFS($AV$3:AV185,$Q$3:Q185,"S")</f>
        <v>424.00935095550108</v>
      </c>
      <c r="BZ184" s="87">
        <f>SUMIFS($AV$3:AV185,$Q$3:Q185,"O")</f>
        <v>166.9399999998152</v>
      </c>
    </row>
    <row r="185" spans="1:78" ht="18" customHeight="1">
      <c r="A185" s="45" t="s">
        <v>567</v>
      </c>
      <c r="B185" s="59">
        <v>45331</v>
      </c>
      <c r="C185" s="46" t="s">
        <v>745</v>
      </c>
      <c r="D185" s="46" t="s">
        <v>115</v>
      </c>
      <c r="E185" s="66"/>
      <c r="F185" s="47"/>
      <c r="G185" s="106" t="s">
        <v>688</v>
      </c>
      <c r="H185" s="49"/>
      <c r="I185" s="49"/>
      <c r="J185" s="49"/>
      <c r="K185" s="50"/>
      <c r="L185" s="49">
        <v>1</v>
      </c>
      <c r="M185" s="49"/>
      <c r="N185" s="49"/>
      <c r="O185" s="50" t="s">
        <v>100</v>
      </c>
      <c r="P185" s="50" t="s">
        <v>101</v>
      </c>
      <c r="Q185" s="50" t="s">
        <v>102</v>
      </c>
      <c r="R185" s="50">
        <v>35</v>
      </c>
      <c r="S185" s="50">
        <v>0</v>
      </c>
      <c r="T185" s="50">
        <v>35</v>
      </c>
      <c r="U185" s="50" t="s">
        <v>102</v>
      </c>
      <c r="V185" s="50"/>
      <c r="W185" s="50"/>
      <c r="X185" s="50"/>
      <c r="Y185" s="51">
        <f>IF(ISBLANK(O185),"",(IF(O185=UPPER("IB"),0.005,0.01)))</f>
        <v>0.01</v>
      </c>
      <c r="Z185" s="52">
        <f>IF(ISBLANK(O185),"",IF(O185="IB",8.63*200,IF(O185="IR",16*100,IF(O185="YT",20*100,IF(O185="YT-XT",24*200,IF(O185="TED",80*100))))))</f>
        <v>1600</v>
      </c>
      <c r="AA185" s="52" t="s">
        <v>177</v>
      </c>
      <c r="AB185" s="52"/>
      <c r="AC185" s="52"/>
      <c r="AD185" s="231">
        <v>-0.15</v>
      </c>
      <c r="AE185" s="49"/>
      <c r="AF185" s="84"/>
      <c r="AG185" s="49"/>
      <c r="AH185" s="49"/>
      <c r="AI185" s="49"/>
      <c r="AJ185" s="226"/>
      <c r="AK185" s="49"/>
      <c r="AL185" s="113">
        <f t="shared" ref="AL185:AL252" si="53">-0.02*Z185</f>
        <v>-32</v>
      </c>
      <c r="AM185" s="113">
        <f t="shared" si="49"/>
        <v>-1120</v>
      </c>
      <c r="AN185" s="218"/>
      <c r="AO185" s="49"/>
      <c r="AP185" s="49" t="s">
        <v>746</v>
      </c>
      <c r="AQ185" s="84" t="s">
        <v>350</v>
      </c>
      <c r="AR185" s="49" t="s">
        <v>747</v>
      </c>
      <c r="AS185" s="55">
        <v>-0.15</v>
      </c>
      <c r="AT185" s="55">
        <f>IF(ISBLANK(AS185),,IF(U185="S",AD185-AS185,AS185-AD185))</f>
        <v>0</v>
      </c>
      <c r="AU185" s="54">
        <f>AV185*R185</f>
        <v>0</v>
      </c>
      <c r="AV185" s="56">
        <f>IF(ISBLANK(AS185),,(AT185*Z185))</f>
        <v>0</v>
      </c>
      <c r="AW185" s="57" t="s">
        <v>155</v>
      </c>
      <c r="AX185" s="96" t="s">
        <v>748</v>
      </c>
      <c r="AY185" s="96"/>
      <c r="AZ185" s="96"/>
      <c r="BA185" s="96"/>
      <c r="BB185" s="96"/>
      <c r="BC185" s="96"/>
      <c r="BD185" s="96"/>
      <c r="BE185" s="96"/>
      <c r="BF185" s="100"/>
      <c r="BG185" s="94">
        <f>SUM($AV$4:AV185)</f>
        <v>1276.9772152649275</v>
      </c>
      <c r="BH185" s="95">
        <f>SUM($AU$4:AU185)</f>
        <v>16684.779999999628</v>
      </c>
      <c r="BI185" s="80">
        <f>SUMIFS($AU$3:AU186,$Q$3:Q186,"F")</f>
        <v>8804.4000000000015</v>
      </c>
      <c r="BJ185" s="80">
        <f>SUMIFS($AU$3:AU186,$Q$3:Q186,"S")</f>
        <v>8111.9999999999973</v>
      </c>
      <c r="BK185" s="87">
        <f>SUMIFS($AU$3:AU186,$P$3:P186,"W")</f>
        <v>13261.579999999934</v>
      </c>
      <c r="BL185" s="87">
        <f>SUMIFS($AU$3:AU186,$P$3:P186,"R")</f>
        <v>4206</v>
      </c>
      <c r="BM185" s="87">
        <f>SUMIFS($AU$3:AU186,$AQ$3:AQ186,"M")</f>
        <v>4440.3799999996263</v>
      </c>
      <c r="BN185" s="87">
        <f>SUMIFS($AU$3:AU186,$AQ$3:AQ186,"H")</f>
        <v>6031.9999999999955</v>
      </c>
      <c r="BO185" s="87">
        <f>SUMIFS($AU$3:AU186,$AQ$3:AQ186,"D")</f>
        <v>2670.0000000000009</v>
      </c>
      <c r="BP185" s="87">
        <f>SUMIFS($AU$3:AU188,$AQ$3:AQ188,"W")</f>
        <v>4998.4000000000005</v>
      </c>
      <c r="BQ185" s="87">
        <f>SUMIFS($AU$3:AU186,$Q$3:Q186,"O")</f>
        <v>384.37999999961744</v>
      </c>
      <c r="BR185" s="87">
        <f>SUMIFS($AU$3:AU186,$AA$3:AA186,"*")</f>
        <v>15621.599999999517</v>
      </c>
      <c r="BS185" s="87">
        <f>SUMIFS($AU$3:AU186,$AB$3:AB186,"*")</f>
        <v>5607.1799999999312</v>
      </c>
      <c r="BT185" s="87">
        <f>SUMIFS($AU$3:AU186,$AC$3:AC186,"*")</f>
        <v>8628.4</v>
      </c>
      <c r="BU185" s="87">
        <f>SUMIFS($AU$3:AU186,$AA$3:AA186,"*",$AB$3:AB186,"*")</f>
        <v>3455.9999999998226</v>
      </c>
      <c r="BV185" s="87">
        <f>SUMIFS($AU$3:AU186,$AA$3:AA186,"*",$AC$3:AC186,"*")</f>
        <v>8164.4000000000005</v>
      </c>
      <c r="BW185" s="87">
        <f>SUMIFS($AU$3:AU186,$AB$3:AB186,"*",$AC$3:AC186,"*")</f>
        <v>2319.9999999999986</v>
      </c>
      <c r="BX185" s="87">
        <f>SUMIFS($AV$3:AV186,$Q$3:Q186,"F")</f>
        <v>214.02786430960344</v>
      </c>
      <c r="BY185" s="87">
        <f>SUMIFS($AV$3:AV186,$Q$3:Q186,"S")</f>
        <v>424.00935095550108</v>
      </c>
      <c r="BZ185" s="87">
        <f>SUMIFS($AV$3:AV186,$Q$3:Q186,"O")</f>
        <v>166.9399999998152</v>
      </c>
    </row>
    <row r="186" spans="1:78" ht="18" customHeight="1">
      <c r="A186" s="45" t="s">
        <v>567</v>
      </c>
      <c r="B186" s="59">
        <v>45331</v>
      </c>
      <c r="C186" s="46" t="s">
        <v>749</v>
      </c>
      <c r="D186" s="46" t="s">
        <v>115</v>
      </c>
      <c r="E186" s="66"/>
      <c r="F186" s="47"/>
      <c r="G186" s="106" t="s">
        <v>750</v>
      </c>
      <c r="H186" s="49"/>
      <c r="I186" s="49"/>
      <c r="J186" s="49"/>
      <c r="K186" s="50"/>
      <c r="L186" s="49">
        <v>1</v>
      </c>
      <c r="M186" s="49"/>
      <c r="N186" s="49"/>
      <c r="O186" s="50" t="s">
        <v>100</v>
      </c>
      <c r="P186" s="50" t="s">
        <v>126</v>
      </c>
      <c r="Q186" s="50" t="s">
        <v>127</v>
      </c>
      <c r="R186" s="50">
        <v>72</v>
      </c>
      <c r="S186" s="50">
        <v>0</v>
      </c>
      <c r="T186" s="50">
        <v>72</v>
      </c>
      <c r="U186" s="50" t="s">
        <v>22</v>
      </c>
      <c r="V186" s="50"/>
      <c r="W186" s="50"/>
      <c r="X186" s="50"/>
      <c r="Y186" s="51">
        <f>IF(ISBLANK(O186),"",(IF(O186=UPPER("IB"),0.005,0.01)))</f>
        <v>0.01</v>
      </c>
      <c r="Z186" s="52">
        <f>IF(ISBLANK(O186),"",IF(O186="IB",8.63*200,IF(O186="IR",16*100,IF(O186="YT",20*100,IF(O186="YT-XT",24*200,IF(O186="TED",80*100))))))</f>
        <v>1600</v>
      </c>
      <c r="AA186" s="52" t="s">
        <v>751</v>
      </c>
      <c r="AB186" s="52"/>
      <c r="AC186" s="52" t="s">
        <v>752</v>
      </c>
      <c r="AD186" s="231">
        <v>-0.02</v>
      </c>
      <c r="AE186" s="49"/>
      <c r="AF186" s="84"/>
      <c r="AG186" s="49"/>
      <c r="AH186" s="49"/>
      <c r="AI186" s="49"/>
      <c r="AJ186" s="226"/>
      <c r="AK186" s="49"/>
      <c r="AL186" s="113">
        <f t="shared" si="53"/>
        <v>-32</v>
      </c>
      <c r="AM186" s="113">
        <f t="shared" si="49"/>
        <v>-2304</v>
      </c>
      <c r="AN186" s="218"/>
      <c r="AO186" s="49"/>
      <c r="AP186" s="49" t="s">
        <v>670</v>
      </c>
      <c r="AQ186" s="84" t="s">
        <v>101</v>
      </c>
      <c r="AR186" s="74">
        <v>45338</v>
      </c>
      <c r="AS186" s="55">
        <v>-0.01</v>
      </c>
      <c r="AT186" s="55">
        <f>IF(ISBLANK(AS186),,IF(U186="S",AD186-AS186,AS186-AD186))</f>
        <v>0.01</v>
      </c>
      <c r="AU186" s="54">
        <f>AV186*R186</f>
        <v>1152</v>
      </c>
      <c r="AV186" s="56">
        <f>IF(ISBLANK(AS186),,(AT186*Z186))</f>
        <v>16</v>
      </c>
      <c r="AW186" s="57" t="s">
        <v>101</v>
      </c>
      <c r="AX186" s="96"/>
      <c r="AY186" s="96"/>
      <c r="AZ186" s="96"/>
      <c r="BA186" s="96"/>
      <c r="BB186" s="96"/>
      <c r="BC186" s="96"/>
      <c r="BD186" s="96"/>
      <c r="BE186" s="96"/>
      <c r="BF186" s="100"/>
      <c r="BG186" s="94">
        <f>SUM($AV$4:AV186)</f>
        <v>1292.9772152649275</v>
      </c>
      <c r="BH186" s="95">
        <f>SUM($AU$4:AU186)</f>
        <v>17836.779999999628</v>
      </c>
      <c r="BI186" s="80">
        <f>SUMIFS($AU$3:AU187,$Q$3:Q187,"F")</f>
        <v>8804.4000000000015</v>
      </c>
      <c r="BJ186" s="80">
        <f>SUMIFS($AU$3:AU187,$Q$3:Q187,"S")</f>
        <v>8111.9999999999973</v>
      </c>
      <c r="BK186" s="87">
        <f>SUMIFS($AU$3:AU187,$P$3:P187,"W")</f>
        <v>13261.579999999934</v>
      </c>
      <c r="BL186" s="87">
        <f>SUMIFS($AU$3:AU187,$P$3:P187,"R")</f>
        <v>4206</v>
      </c>
      <c r="BM186" s="87">
        <f>SUMIFS($AU$3:AU187,$AQ$3:AQ187,"M")</f>
        <v>4440.3799999996263</v>
      </c>
      <c r="BN186" s="87">
        <f>SUMIFS($AU$3:AU187,$AQ$3:AQ187,"H")</f>
        <v>6031.9999999999955</v>
      </c>
      <c r="BO186" s="87">
        <f>SUMIFS($AU$3:AU187,$AQ$3:AQ187,"D")</f>
        <v>2670.0000000000009</v>
      </c>
      <c r="BP186" s="87">
        <f>SUMIFS($AU$3:AU189,$AQ$3:AQ189,"W")</f>
        <v>4998.4000000000005</v>
      </c>
      <c r="BQ186" s="87">
        <f>SUMIFS($AU$3:AU187,$Q$3:Q187,"O")</f>
        <v>384.37999999961744</v>
      </c>
      <c r="BR186" s="87">
        <f>SUMIFS($AU$3:AU187,$AA$3:AA187,"*")</f>
        <v>15621.599999999517</v>
      </c>
      <c r="BS186" s="87">
        <f>SUMIFS($AU$3:AU187,$AB$3:AB187,"*")</f>
        <v>5607.1799999999312</v>
      </c>
      <c r="BT186" s="87">
        <f>SUMIFS($AU$3:AU187,$AC$3:AC187,"*")</f>
        <v>8628.4</v>
      </c>
      <c r="BU186" s="87">
        <f>SUMIFS($AU$3:AU187,$AA$3:AA187,"*",$AB$3:AB187,"*")</f>
        <v>3455.9999999998226</v>
      </c>
      <c r="BV186" s="87">
        <f>SUMIFS($AU$3:AU187,$AA$3:AA187,"*",$AC$3:AC187,"*")</f>
        <v>8164.4000000000005</v>
      </c>
      <c r="BW186" s="87">
        <f>SUMIFS($AU$3:AU187,$AB$3:AB187,"*",$AC$3:AC187,"*")</f>
        <v>2319.9999999999986</v>
      </c>
      <c r="BX186" s="87">
        <f>SUMIFS($AV$3:AV187,$Q$3:Q187,"F")</f>
        <v>214.02786430960344</v>
      </c>
      <c r="BY186" s="87">
        <f>SUMIFS($AV$3:AV187,$Q$3:Q187,"S")</f>
        <v>424.00935095550108</v>
      </c>
      <c r="BZ186" s="87">
        <f>SUMIFS($AV$3:AV187,$Q$3:Q187,"O")</f>
        <v>166.9399999998152</v>
      </c>
    </row>
    <row r="187" spans="1:78" ht="18" customHeight="1">
      <c r="A187" s="45" t="s">
        <v>567</v>
      </c>
      <c r="B187" s="59">
        <v>45331</v>
      </c>
      <c r="C187" s="46" t="s">
        <v>749</v>
      </c>
      <c r="D187" s="46" t="s">
        <v>115</v>
      </c>
      <c r="E187" s="66"/>
      <c r="F187" s="47"/>
      <c r="G187" s="48" t="s">
        <v>295</v>
      </c>
      <c r="H187" s="49"/>
      <c r="I187" s="49"/>
      <c r="J187" s="49"/>
      <c r="K187" s="50"/>
      <c r="L187" s="49"/>
      <c r="M187" s="49"/>
      <c r="N187" s="49"/>
      <c r="O187" s="50"/>
      <c r="P187" s="50"/>
      <c r="Q187" s="50"/>
      <c r="R187" s="50"/>
      <c r="S187" s="50"/>
      <c r="T187" s="50"/>
      <c r="U187" s="50"/>
      <c r="V187" s="50"/>
      <c r="W187" s="50"/>
      <c r="X187" s="50"/>
      <c r="Y187" s="51"/>
      <c r="Z187" s="52"/>
      <c r="AA187" s="52"/>
      <c r="AB187" s="52"/>
      <c r="AC187" s="52"/>
      <c r="AD187" s="231"/>
      <c r="AE187" s="49"/>
      <c r="AF187" s="84"/>
      <c r="AG187" s="49"/>
      <c r="AH187" s="49"/>
      <c r="AI187" s="49"/>
      <c r="AJ187" s="226"/>
      <c r="AK187" s="49"/>
      <c r="AL187" s="113">
        <f>-0.03*Z187</f>
        <v>0</v>
      </c>
      <c r="AM187" s="113">
        <f t="shared" si="49"/>
        <v>0</v>
      </c>
      <c r="AN187" s="218"/>
      <c r="AO187" s="49"/>
      <c r="AP187" s="49"/>
      <c r="AQ187" s="84" t="str">
        <f>UPPER(RIGHT(Journal_Live[[#This Row],[DURATION ]]))</f>
        <v/>
      </c>
      <c r="AR187" s="49"/>
      <c r="AS187" s="55"/>
      <c r="AT187" s="55"/>
      <c r="AU187" s="54"/>
      <c r="AV187" s="56"/>
      <c r="AW187" s="57"/>
      <c r="AX187" s="96"/>
      <c r="AY187" s="96"/>
      <c r="AZ187" s="96"/>
      <c r="BA187" s="96"/>
      <c r="BB187" s="96"/>
      <c r="BC187" s="96"/>
      <c r="BD187" s="96"/>
      <c r="BE187" s="96"/>
      <c r="BF187" s="100"/>
      <c r="BG187" s="94">
        <f>SUM($AV$4:AV187)</f>
        <v>1292.9772152649275</v>
      </c>
      <c r="BH187" s="95">
        <f>SUM($AU$4:AU187)</f>
        <v>17836.779999999628</v>
      </c>
      <c r="BI187" s="80">
        <f>SUMIFS($AU$3:AU252,$Q$3:Q252,"F")</f>
        <v>9348.4000000000015</v>
      </c>
      <c r="BJ187" s="80">
        <f>SUMIFS($AU$3:AU252,$Q$3:Q252,"S")</f>
        <v>3279.9999999999918</v>
      </c>
      <c r="BK187" s="87">
        <f>SUMIFS($AU$3:AU252,$P$3:P252,"W")</f>
        <v>8717.579999999929</v>
      </c>
      <c r="BL187" s="87">
        <f>SUMIFS($AU$3:AU252,$P$3:P252,"R")</f>
        <v>4181.9999999999991</v>
      </c>
      <c r="BM187" s="87">
        <f>SUMIFS($AU$3:AU252,$AQ$3:AQ252,"M")</f>
        <v>5219.3799999995472</v>
      </c>
      <c r="BN187" s="87">
        <f>SUMIFS($AU$3:AU252,$AQ$3:AQ252,"H")</f>
        <v>2931.2000000002599</v>
      </c>
      <c r="BO187" s="87">
        <f>SUMIFS($AU$3:AU252,$AQ$3:AQ252,"D")</f>
        <v>1266.0000000000005</v>
      </c>
      <c r="BP187" s="87">
        <f>SUMIFS($AU$3:AU190,$AQ$3:AQ190,"W")</f>
        <v>4998.4000000000005</v>
      </c>
      <c r="BQ187" s="87">
        <f>SUMIFS($AU$3:AU252,$Q$3:Q252,"O")</f>
        <v>1770.5799999998073</v>
      </c>
      <c r="BR187" s="87">
        <f>SUMIFS($AU$3:AU252,$AA$3:AA252,"*")</f>
        <v>12439.799999999701</v>
      </c>
      <c r="BS187" s="87">
        <f>SUMIFS($AU$3:AU252,$AB$3:AB252,"*")</f>
        <v>4007.1799999999307</v>
      </c>
      <c r="BT187" s="87">
        <f>SUMIFS($AU$3:AU252,$AC$3:AC252,"*")</f>
        <v>7028.4</v>
      </c>
      <c r="BU187" s="87">
        <f>SUMIFS($AU$3:AU252,$AA$3:AA252,"*",$AB$3:AB252,"*")</f>
        <v>1855.9999999998222</v>
      </c>
      <c r="BV187" s="87">
        <f>SUMIFS($AU$3:AU252,$AA$3:AA252,"*",$AC$3:AC252,"*")</f>
        <v>6564.4</v>
      </c>
      <c r="BW187" s="87">
        <f>SUMIFS($AU$3:AU252,$AB$3:AB252,"*",$AC$3:AC252,"*")</f>
        <v>719.99999999999818</v>
      </c>
      <c r="BX187" s="87">
        <f>SUMIFS($AV$3:AV188,$Q$3:Q188,"F")</f>
        <v>214.02786430960344</v>
      </c>
      <c r="BY187" s="87">
        <f>SUMIFS($AV$3:AV188,$Q$3:Q188,"S")</f>
        <v>424.00935095550108</v>
      </c>
      <c r="BZ187" s="87">
        <f>SUMIFS($AV$3:AV188,$Q$3:Q188,"O")</f>
        <v>166.9399999998152</v>
      </c>
    </row>
    <row r="188" spans="1:78" ht="18" customHeight="1">
      <c r="A188" s="45" t="s">
        <v>567</v>
      </c>
      <c r="B188" s="59">
        <v>45335</v>
      </c>
      <c r="C188" s="46" t="s">
        <v>194</v>
      </c>
      <c r="D188" s="46" t="s">
        <v>98</v>
      </c>
      <c r="E188" s="66"/>
      <c r="F188" s="47"/>
      <c r="G188" s="48" t="s">
        <v>99</v>
      </c>
      <c r="H188" s="49"/>
      <c r="I188" s="49"/>
      <c r="J188" s="49"/>
      <c r="K188" s="50"/>
      <c r="L188" s="49"/>
      <c r="M188" s="49"/>
      <c r="N188" s="49"/>
      <c r="O188" s="50"/>
      <c r="P188" s="50"/>
      <c r="Q188" s="50"/>
      <c r="R188" s="50"/>
      <c r="S188" s="50"/>
      <c r="T188" s="50"/>
      <c r="U188" s="50"/>
      <c r="V188" s="50"/>
      <c r="W188" s="50"/>
      <c r="X188" s="50"/>
      <c r="Y188" s="51"/>
      <c r="Z188" s="52"/>
      <c r="AA188" s="52"/>
      <c r="AB188" s="52"/>
      <c r="AC188" s="52"/>
      <c r="AD188" s="231"/>
      <c r="AE188" s="49"/>
      <c r="AF188" s="84"/>
      <c r="AG188" s="49"/>
      <c r="AH188" s="49"/>
      <c r="AI188" s="49"/>
      <c r="AJ188" s="226"/>
      <c r="AK188" s="49"/>
      <c r="AL188" s="113">
        <f t="shared" ref="AL188:AL195" si="54">-0.02*Z188</f>
        <v>0</v>
      </c>
      <c r="AM188" s="113">
        <f t="shared" si="49"/>
        <v>0</v>
      </c>
      <c r="AN188" s="218"/>
      <c r="AO188" s="49"/>
      <c r="AP188" s="49"/>
      <c r="AQ188" s="84" t="str">
        <f>UPPER(RIGHT(Journal_Live[[#This Row],[DURATION ]]))</f>
        <v/>
      </c>
      <c r="AR188" s="49"/>
      <c r="AS188" s="55"/>
      <c r="AT188" s="55"/>
      <c r="AU188" s="54"/>
      <c r="AV188" s="56"/>
      <c r="AW188" s="57"/>
      <c r="AX188" s="96" t="s">
        <v>753</v>
      </c>
      <c r="AY188" s="96" t="s">
        <v>754</v>
      </c>
      <c r="AZ188" s="96" t="s">
        <v>755</v>
      </c>
      <c r="BA188" s="96" t="s">
        <v>756</v>
      </c>
      <c r="BB188" s="96" t="s">
        <v>757</v>
      </c>
      <c r="BC188" s="96" t="s">
        <v>758</v>
      </c>
      <c r="BD188" s="96" t="s">
        <v>759</v>
      </c>
      <c r="BE188" s="96"/>
      <c r="BF188" s="100"/>
      <c r="BG188" s="94">
        <f>SUM($AV$4:AV188)</f>
        <v>1292.9772152649275</v>
      </c>
      <c r="BH188" s="95">
        <f>SUM($AU$4:AU188)</f>
        <v>17836.779999999628</v>
      </c>
      <c r="BI188" s="80">
        <f>SUMIFS($AU$3:AU189,$Q$3:Q189,"F")</f>
        <v>8804.4000000000015</v>
      </c>
      <c r="BJ188" s="80">
        <f>SUMIFS($AU$3:AU189,$Q$3:Q189,"S")</f>
        <v>8111.9999999999973</v>
      </c>
      <c r="BK188" s="87">
        <f>SUMIFS($AU$3:AU189,$P$3:P189,"W")</f>
        <v>13261.579999999934</v>
      </c>
      <c r="BL188" s="87">
        <f>SUMIFS($AU$3:AU189,$P$3:P189,"R")</f>
        <v>4206</v>
      </c>
      <c r="BM188" s="87">
        <f>SUMIFS($AU$3:AU189,$AQ$3:AQ189,"M")</f>
        <v>4440.3799999996263</v>
      </c>
      <c r="BN188" s="87">
        <f>SUMIFS($AU$3:AU189,$AQ$3:AQ189,"H")</f>
        <v>6031.9999999999955</v>
      </c>
      <c r="BO188" s="87">
        <f>SUMIFS($AU$3:AU189,$AQ$3:AQ189,"D")</f>
        <v>2670.0000000000009</v>
      </c>
      <c r="BP188" s="87">
        <f>SUMIFS($AU$3:AU191,$AQ$3:AQ191,"W")</f>
        <v>4998.4000000000005</v>
      </c>
      <c r="BQ188" s="87">
        <f>SUMIFS($AU$3:AU189,$Q$3:Q189,"O")</f>
        <v>384.37999999961744</v>
      </c>
      <c r="BR188" s="87">
        <f>SUMIFS($AU$3:AU189,$AA$3:AA189,"*")</f>
        <v>15621.599999999517</v>
      </c>
      <c r="BS188" s="87">
        <f>SUMIFS($AU$3:AU189,$AB$3:AB189,"*")</f>
        <v>5607.1799999999312</v>
      </c>
      <c r="BT188" s="87">
        <f>SUMIFS($AU$3:AU189,$AC$3:AC189,"*")</f>
        <v>8628.4</v>
      </c>
      <c r="BU188" s="87">
        <f>SUMIFS($AU$3:AU189,$AA$3:AA189,"*",$AB$3:AB189,"*")</f>
        <v>3455.9999999998226</v>
      </c>
      <c r="BV188" s="87">
        <f>SUMIFS($AU$3:AU189,$AA$3:AA189,"*",$AC$3:AC189,"*")</f>
        <v>8164.4000000000005</v>
      </c>
      <c r="BW188" s="87">
        <f>SUMIFS($AU$3:AU189,$AB$3:AB189,"*",$AC$3:AC189,"*")</f>
        <v>2319.9999999999986</v>
      </c>
      <c r="BX188" s="87">
        <f>SUMIFS($AV$3:AV189,$Q$3:Q189,"F")</f>
        <v>214.02786430960344</v>
      </c>
      <c r="BY188" s="87">
        <f>SUMIFS($AV$3:AV189,$Q$3:Q189,"S")</f>
        <v>424.00935095550108</v>
      </c>
      <c r="BZ188" s="87">
        <f>SUMIFS($AV$3:AV189,$Q$3:Q189,"O")</f>
        <v>166.9399999998152</v>
      </c>
    </row>
    <row r="189" spans="1:78" ht="18" customHeight="1">
      <c r="A189" s="45" t="s">
        <v>567</v>
      </c>
      <c r="B189" s="59"/>
      <c r="C189" s="46"/>
      <c r="D189" s="46"/>
      <c r="E189" s="66"/>
      <c r="F189" s="47"/>
      <c r="G189" s="48"/>
      <c r="H189" s="49"/>
      <c r="I189" s="49"/>
      <c r="J189" s="49"/>
      <c r="K189" s="50"/>
      <c r="L189" s="49"/>
      <c r="M189" s="49"/>
      <c r="N189" s="49"/>
      <c r="O189" s="50"/>
      <c r="P189" s="50"/>
      <c r="Q189" s="50"/>
      <c r="R189" s="50"/>
      <c r="S189" s="50"/>
      <c r="T189" s="50"/>
      <c r="U189" s="50"/>
      <c r="V189" s="50"/>
      <c r="W189" s="50"/>
      <c r="X189" s="50"/>
      <c r="Y189" s="51"/>
      <c r="Z189" s="52"/>
      <c r="AA189" s="52"/>
      <c r="AB189" s="52"/>
      <c r="AC189" s="52"/>
      <c r="AD189" s="231"/>
      <c r="AE189" s="49"/>
      <c r="AF189" s="84"/>
      <c r="AG189" s="49"/>
      <c r="AH189" s="49"/>
      <c r="AI189" s="49"/>
      <c r="AJ189" s="226"/>
      <c r="AK189" s="49"/>
      <c r="AL189" s="113">
        <f t="shared" si="54"/>
        <v>0</v>
      </c>
      <c r="AM189" s="113">
        <f t="shared" si="49"/>
        <v>0</v>
      </c>
      <c r="AN189" s="218"/>
      <c r="AO189" s="49"/>
      <c r="AP189" s="49"/>
      <c r="AQ189" s="84" t="str">
        <f>UPPER(RIGHT(Journal_Live[[#This Row],[DURATION ]]))</f>
        <v/>
      </c>
      <c r="AR189" s="49"/>
      <c r="AS189" s="55"/>
      <c r="AT189" s="55"/>
      <c r="AU189" s="54"/>
      <c r="AV189" s="56"/>
      <c r="AW189" s="57"/>
      <c r="AX189" s="96" t="s">
        <v>760</v>
      </c>
      <c r="AY189" s="96" t="s">
        <v>761</v>
      </c>
      <c r="AZ189" s="96"/>
      <c r="BA189" s="96"/>
      <c r="BB189" s="96"/>
      <c r="BC189" s="96"/>
      <c r="BD189" s="96"/>
      <c r="BE189" s="96"/>
      <c r="BF189" s="100"/>
      <c r="BG189" s="94">
        <f>SUM($AV$4:AV189)</f>
        <v>1292.9772152649275</v>
      </c>
      <c r="BH189" s="95">
        <f>SUM($AU$4:AU189)</f>
        <v>17836.779999999628</v>
      </c>
      <c r="BI189" s="80">
        <f>SUMIFS($AU$3:AU190,$Q$3:Q190,"F")</f>
        <v>8804.4000000000015</v>
      </c>
      <c r="BJ189" s="80">
        <f>SUMIFS($AU$3:AU190,$Q$3:Q190,"S")</f>
        <v>8111.9999999999973</v>
      </c>
      <c r="BK189" s="87">
        <f>SUMIFS($AU$3:AU190,$P$3:P190,"W")</f>
        <v>13261.579999999934</v>
      </c>
      <c r="BL189" s="87">
        <f>SUMIFS($AU$3:AU190,$P$3:P190,"R")</f>
        <v>4206</v>
      </c>
      <c r="BM189" s="87">
        <f>SUMIFS($AU$3:AU190,$AQ$3:AQ190,"M")</f>
        <v>4440.3799999996263</v>
      </c>
      <c r="BN189" s="87">
        <f>SUMIFS($AU$3:AU190,$AQ$3:AQ190,"H")</f>
        <v>6031.9999999999955</v>
      </c>
      <c r="BO189" s="87">
        <f>SUMIFS($AU$3:AU190,$AQ$3:AQ190,"D")</f>
        <v>2670.0000000000009</v>
      </c>
      <c r="BP189" s="87">
        <f>SUMIFS($AU$3:AU192,$AQ$3:AQ192,"W")</f>
        <v>4998.4000000000005</v>
      </c>
      <c r="BQ189" s="87">
        <f>SUMIFS($AU$3:AU190,$Q$3:Q190,"O")</f>
        <v>384.37999999961744</v>
      </c>
      <c r="BR189" s="87">
        <f>SUMIFS($AU$3:AU190,$AA$3:AA190,"*")</f>
        <v>15621.599999999517</v>
      </c>
      <c r="BS189" s="87">
        <f>SUMIFS($AU$3:AU190,$AB$3:AB190,"*")</f>
        <v>5607.1799999999312</v>
      </c>
      <c r="BT189" s="87">
        <f>SUMIFS($AU$3:AU190,$AC$3:AC190,"*")</f>
        <v>8628.4</v>
      </c>
      <c r="BU189" s="87">
        <f>SUMIFS($AU$3:AU190,$AA$3:AA190,"*",$AB$3:AB190,"*")</f>
        <v>3455.9999999998226</v>
      </c>
      <c r="BV189" s="87">
        <f>SUMIFS($AU$3:AU190,$AA$3:AA190,"*",$AC$3:AC190,"*")</f>
        <v>8164.4000000000005</v>
      </c>
      <c r="BW189" s="87">
        <f>SUMIFS($AU$3:AU190,$AB$3:AB190,"*",$AC$3:AC190,"*")</f>
        <v>2319.9999999999986</v>
      </c>
      <c r="BX189" s="87">
        <f>SUMIFS($AV$3:AV190,$Q$3:Q190,"F")</f>
        <v>214.02786430960344</v>
      </c>
      <c r="BY189" s="87">
        <f>SUMIFS($AV$3:AV190,$Q$3:Q190,"S")</f>
        <v>424.00935095550108</v>
      </c>
      <c r="BZ189" s="87">
        <f>SUMIFS($AV$3:AV190,$Q$3:Q190,"O")</f>
        <v>166.9399999998152</v>
      </c>
    </row>
    <row r="190" spans="1:78" ht="18" customHeight="1">
      <c r="A190" s="45" t="s">
        <v>567</v>
      </c>
      <c r="B190" s="59">
        <v>45335</v>
      </c>
      <c r="C190" s="46" t="s">
        <v>139</v>
      </c>
      <c r="D190" s="46" t="s">
        <v>98</v>
      </c>
      <c r="E190" s="66" t="s">
        <v>762</v>
      </c>
      <c r="F190" s="47" t="s">
        <v>763</v>
      </c>
      <c r="G190" s="48"/>
      <c r="H190" s="49">
        <v>1</v>
      </c>
      <c r="I190" s="49"/>
      <c r="J190" s="49"/>
      <c r="K190" s="50" t="s">
        <v>142</v>
      </c>
      <c r="L190" s="49"/>
      <c r="M190" s="49"/>
      <c r="N190" s="49"/>
      <c r="O190" s="50"/>
      <c r="P190" s="50"/>
      <c r="Q190" s="50"/>
      <c r="R190" s="50"/>
      <c r="S190" s="50"/>
      <c r="T190" s="50"/>
      <c r="U190" s="50"/>
      <c r="V190" s="50"/>
      <c r="W190" s="50"/>
      <c r="X190" s="50"/>
      <c r="Y190" s="51"/>
      <c r="Z190" s="52"/>
      <c r="AA190" s="52"/>
      <c r="AB190" s="52"/>
      <c r="AC190" s="52"/>
      <c r="AD190" s="231"/>
      <c r="AE190" s="49"/>
      <c r="AF190" s="84"/>
      <c r="AG190" s="49"/>
      <c r="AH190" s="49"/>
      <c r="AI190" s="49"/>
      <c r="AJ190" s="226"/>
      <c r="AK190" s="49"/>
      <c r="AL190" s="113">
        <f t="shared" si="54"/>
        <v>0</v>
      </c>
      <c r="AM190" s="113">
        <f t="shared" si="49"/>
        <v>0</v>
      </c>
      <c r="AN190" s="218"/>
      <c r="AO190" s="49"/>
      <c r="AP190" s="49"/>
      <c r="AQ190" s="84" t="str">
        <f>UPPER(RIGHT(Journal_Live[[#This Row],[DURATION ]]))</f>
        <v/>
      </c>
      <c r="AR190" s="49"/>
      <c r="AS190" s="55"/>
      <c r="AT190" s="55"/>
      <c r="AU190" s="54"/>
      <c r="AV190" s="56"/>
      <c r="AW190" s="57"/>
      <c r="AX190" s="96" t="s">
        <v>764</v>
      </c>
      <c r="AY190" s="96" t="s">
        <v>765</v>
      </c>
      <c r="AZ190" s="96"/>
      <c r="BA190" s="96"/>
      <c r="BB190" s="96"/>
      <c r="BC190" s="96"/>
      <c r="BD190" s="96"/>
      <c r="BE190" s="96"/>
      <c r="BF190" s="100"/>
      <c r="BG190" s="94">
        <f>SUM($AV$4:AV190)</f>
        <v>1292.9772152649275</v>
      </c>
      <c r="BH190" s="95">
        <f>SUM($AU$4:AU190)</f>
        <v>17836.779999999628</v>
      </c>
      <c r="BI190" s="80">
        <f>SUMIFS($AU$3:AU191,$Q$3:Q191,"F")</f>
        <v>8804.4000000000015</v>
      </c>
      <c r="BJ190" s="80">
        <f>SUMIFS($AU$3:AU191,$Q$3:Q191,"S")</f>
        <v>8111.9999999999973</v>
      </c>
      <c r="BK190" s="87">
        <f>SUMIFS($AU$3:AU191,$P$3:P191,"W")</f>
        <v>13261.579999999934</v>
      </c>
      <c r="BL190" s="87">
        <f>SUMIFS($AU$3:AU191,$P$3:P191,"R")</f>
        <v>4206</v>
      </c>
      <c r="BM190" s="87">
        <f>SUMIFS($AU$3:AU191,$AQ$3:AQ191,"M")</f>
        <v>4440.3799999996263</v>
      </c>
      <c r="BN190" s="87">
        <f>SUMIFS($AU$3:AU191,$AQ$3:AQ191,"H")</f>
        <v>6031.9999999999955</v>
      </c>
      <c r="BO190" s="87">
        <f>SUMIFS($AU$3:AU191,$AQ$3:AQ191,"D")</f>
        <v>2670.0000000000009</v>
      </c>
      <c r="BP190" s="87">
        <f>SUMIFS($AU$3:AU193,$AQ$3:AQ193,"W")</f>
        <v>4998.4000000000005</v>
      </c>
      <c r="BQ190" s="87">
        <f>SUMIFS($AU$3:AU191,$Q$3:Q191,"O")</f>
        <v>384.37999999961744</v>
      </c>
      <c r="BR190" s="87">
        <f>SUMIFS($AU$3:AU191,$AA$3:AA191,"*")</f>
        <v>15621.599999999517</v>
      </c>
      <c r="BS190" s="87">
        <f>SUMIFS($AU$3:AU191,$AB$3:AB191,"*")</f>
        <v>5607.1799999999312</v>
      </c>
      <c r="BT190" s="87">
        <f>SUMIFS($AU$3:AU191,$AC$3:AC191,"*")</f>
        <v>8628.4</v>
      </c>
      <c r="BU190" s="87">
        <f>SUMIFS($AU$3:AU191,$AA$3:AA191,"*",$AB$3:AB191,"*")</f>
        <v>3455.9999999998226</v>
      </c>
      <c r="BV190" s="87">
        <f>SUMIFS($AU$3:AU191,$AA$3:AA191,"*",$AC$3:AC191,"*")</f>
        <v>8164.4000000000005</v>
      </c>
      <c r="BW190" s="87">
        <f>SUMIFS($AU$3:AU191,$AB$3:AB191,"*",$AC$3:AC191,"*")</f>
        <v>2319.9999999999986</v>
      </c>
      <c r="BX190" s="87">
        <f>SUMIFS($AV$3:AV191,$Q$3:Q191,"F")</f>
        <v>214.02786430960344</v>
      </c>
      <c r="BY190" s="87">
        <f>SUMIFS($AV$3:AV191,$Q$3:Q191,"S")</f>
        <v>424.00935095550108</v>
      </c>
      <c r="BZ190" s="87">
        <f>SUMIFS($AV$3:AV191,$Q$3:Q191,"O")</f>
        <v>166.9399999998152</v>
      </c>
    </row>
    <row r="191" spans="1:78" ht="18" customHeight="1">
      <c r="A191" s="45" t="s">
        <v>567</v>
      </c>
      <c r="B191" s="59"/>
      <c r="C191" s="46"/>
      <c r="D191" s="46"/>
      <c r="E191" s="66" t="s">
        <v>766</v>
      </c>
      <c r="F191" s="47"/>
      <c r="G191" s="48"/>
      <c r="H191" s="49">
        <v>1</v>
      </c>
      <c r="I191" s="49"/>
      <c r="J191" s="49"/>
      <c r="K191" s="50" t="s">
        <v>142</v>
      </c>
      <c r="L191" s="49"/>
      <c r="M191" s="49"/>
      <c r="N191" s="49"/>
      <c r="O191" s="50"/>
      <c r="P191" s="50"/>
      <c r="Q191" s="50"/>
      <c r="R191" s="50"/>
      <c r="S191" s="50"/>
      <c r="T191" s="50"/>
      <c r="U191" s="50"/>
      <c r="V191" s="50"/>
      <c r="W191" s="50"/>
      <c r="X191" s="50"/>
      <c r="Y191" s="51"/>
      <c r="Z191" s="52"/>
      <c r="AA191" s="52"/>
      <c r="AB191" s="52"/>
      <c r="AC191" s="52"/>
      <c r="AD191" s="231"/>
      <c r="AE191" s="49"/>
      <c r="AF191" s="84"/>
      <c r="AG191" s="49"/>
      <c r="AH191" s="49"/>
      <c r="AI191" s="49"/>
      <c r="AJ191" s="226"/>
      <c r="AK191" s="49"/>
      <c r="AL191" s="113">
        <f t="shared" si="54"/>
        <v>0</v>
      </c>
      <c r="AM191" s="113">
        <f t="shared" si="49"/>
        <v>0</v>
      </c>
      <c r="AN191" s="218"/>
      <c r="AO191" s="49"/>
      <c r="AP191" s="49"/>
      <c r="AQ191" s="84" t="str">
        <f>UPPER(RIGHT(Journal_Live[[#This Row],[DURATION ]]))</f>
        <v/>
      </c>
      <c r="AR191" s="49"/>
      <c r="AS191" s="55"/>
      <c r="AT191" s="55"/>
      <c r="AU191" s="54"/>
      <c r="AV191" s="56"/>
      <c r="AW191" s="57"/>
      <c r="AX191" s="96" t="s">
        <v>764</v>
      </c>
      <c r="AY191" s="96"/>
      <c r="AZ191" s="96"/>
      <c r="BA191" s="96"/>
      <c r="BB191" s="96"/>
      <c r="BC191" s="96"/>
      <c r="BD191" s="96"/>
      <c r="BE191" s="96"/>
      <c r="BF191" s="100"/>
      <c r="BG191" s="94">
        <f>SUM($AV$4:AV191)</f>
        <v>1292.9772152649275</v>
      </c>
      <c r="BH191" s="95">
        <f>SUM($AU$4:AU191)</f>
        <v>17836.779999999628</v>
      </c>
      <c r="BI191" s="80">
        <f>SUMIFS($AU$3:AU192,$Q$3:Q192,"F")</f>
        <v>8804.4000000000015</v>
      </c>
      <c r="BJ191" s="80">
        <f>SUMIFS($AU$3:AU192,$Q$3:Q192,"S")</f>
        <v>8111.9999999999973</v>
      </c>
      <c r="BK191" s="87">
        <f>SUMIFS($AU$3:AU192,$P$3:P192,"W")</f>
        <v>13261.579999999934</v>
      </c>
      <c r="BL191" s="87">
        <f>SUMIFS($AU$3:AU192,$P$3:P192,"R")</f>
        <v>4206</v>
      </c>
      <c r="BM191" s="87">
        <f>SUMIFS($AU$3:AU192,$AQ$3:AQ192,"M")</f>
        <v>4440.3799999996263</v>
      </c>
      <c r="BN191" s="87">
        <f>SUMIFS($AU$3:AU192,$AQ$3:AQ192,"H")</f>
        <v>6031.9999999999955</v>
      </c>
      <c r="BO191" s="87">
        <f>SUMIFS($AU$3:AU192,$AQ$3:AQ192,"D")</f>
        <v>2670.0000000000009</v>
      </c>
      <c r="BP191" s="87">
        <f>SUMIFS($AU$3:AU194,$AQ$3:AQ194,"W")</f>
        <v>4998.4000000000005</v>
      </c>
      <c r="BQ191" s="87">
        <f>SUMIFS($AU$3:AU192,$Q$3:Q192,"O")</f>
        <v>384.37999999961744</v>
      </c>
      <c r="BR191" s="87">
        <f>SUMIFS($AU$3:AU192,$AA$3:AA192,"*")</f>
        <v>15621.599999999517</v>
      </c>
      <c r="BS191" s="87">
        <f>SUMIFS($AU$3:AU192,$AB$3:AB192,"*")</f>
        <v>5607.1799999999312</v>
      </c>
      <c r="BT191" s="87">
        <f>SUMIFS($AU$3:AU192,$AC$3:AC192,"*")</f>
        <v>8628.4</v>
      </c>
      <c r="BU191" s="87">
        <f>SUMIFS($AU$3:AU192,$AA$3:AA192,"*",$AB$3:AB192,"*")</f>
        <v>3455.9999999998226</v>
      </c>
      <c r="BV191" s="87">
        <f>SUMIFS($AU$3:AU192,$AA$3:AA192,"*",$AC$3:AC192,"*")</f>
        <v>8164.4000000000005</v>
      </c>
      <c r="BW191" s="87">
        <f>SUMIFS($AU$3:AU192,$AB$3:AB192,"*",$AC$3:AC192,"*")</f>
        <v>2319.9999999999986</v>
      </c>
      <c r="BX191" s="87">
        <f>SUMIFS($AV$3:AV192,$Q$3:Q192,"F")</f>
        <v>214.02786430960344</v>
      </c>
      <c r="BY191" s="87">
        <f>SUMIFS($AV$3:AV192,$Q$3:Q192,"S")</f>
        <v>424.00935095550108</v>
      </c>
      <c r="BZ191" s="87">
        <f>SUMIFS($AV$3:AV192,$Q$3:Q192,"O")</f>
        <v>166.9399999998152</v>
      </c>
    </row>
    <row r="192" spans="1:78" ht="18" customHeight="1">
      <c r="A192" s="45" t="s">
        <v>567</v>
      </c>
      <c r="B192" s="59"/>
      <c r="C192" s="46"/>
      <c r="D192" s="46"/>
      <c r="E192" s="66" t="s">
        <v>767</v>
      </c>
      <c r="F192" s="47"/>
      <c r="G192" s="48"/>
      <c r="H192" s="49">
        <v>1</v>
      </c>
      <c r="I192" s="49"/>
      <c r="J192" s="49"/>
      <c r="K192" s="50" t="s">
        <v>142</v>
      </c>
      <c r="L192" s="49"/>
      <c r="M192" s="49"/>
      <c r="N192" s="49"/>
      <c r="O192" s="50"/>
      <c r="P192" s="50"/>
      <c r="Q192" s="50"/>
      <c r="R192" s="50"/>
      <c r="S192" s="50"/>
      <c r="T192" s="50"/>
      <c r="U192" s="50"/>
      <c r="V192" s="50"/>
      <c r="W192" s="50"/>
      <c r="X192" s="50"/>
      <c r="Y192" s="51"/>
      <c r="Z192" s="52"/>
      <c r="AA192" s="52"/>
      <c r="AB192" s="52"/>
      <c r="AC192" s="52"/>
      <c r="AD192" s="231"/>
      <c r="AE192" s="49"/>
      <c r="AF192" s="84"/>
      <c r="AG192" s="49"/>
      <c r="AH192" s="49"/>
      <c r="AI192" s="49"/>
      <c r="AJ192" s="226"/>
      <c r="AK192" s="49"/>
      <c r="AL192" s="113">
        <f t="shared" si="54"/>
        <v>0</v>
      </c>
      <c r="AM192" s="113">
        <f t="shared" si="49"/>
        <v>0</v>
      </c>
      <c r="AN192" s="218"/>
      <c r="AO192" s="49"/>
      <c r="AP192" s="49"/>
      <c r="AQ192" s="84" t="str">
        <f>UPPER(RIGHT(Journal_Live[[#This Row],[DURATION ]]))</f>
        <v/>
      </c>
      <c r="AR192" s="49"/>
      <c r="AS192" s="55"/>
      <c r="AT192" s="55"/>
      <c r="AU192" s="54"/>
      <c r="AV192" s="56"/>
      <c r="AW192" s="57"/>
      <c r="AX192" s="96" t="s">
        <v>764</v>
      </c>
      <c r="AY192" s="96"/>
      <c r="AZ192" s="96"/>
      <c r="BA192" s="96"/>
      <c r="BB192" s="96"/>
      <c r="BC192" s="96"/>
      <c r="BD192" s="96"/>
      <c r="BE192" s="96"/>
      <c r="BF192" s="100"/>
      <c r="BG192" s="94">
        <f>SUM($AV$4:AV192)</f>
        <v>1292.9772152649275</v>
      </c>
      <c r="BH192" s="95">
        <f>SUM($AU$4:AU192)</f>
        <v>17836.779999999628</v>
      </c>
      <c r="BI192" s="80">
        <f>SUMIFS($AU$3:AU193,$Q$3:Q193,"F")</f>
        <v>8804.4000000000015</v>
      </c>
      <c r="BJ192" s="80">
        <f>SUMIFS($AU$3:AU193,$Q$3:Q193,"S")</f>
        <v>8111.9999999999973</v>
      </c>
      <c r="BK192" s="87">
        <f>SUMIFS($AU$3:AU193,$P$3:P193,"W")</f>
        <v>13261.579999999934</v>
      </c>
      <c r="BL192" s="87">
        <f>SUMIFS($AU$3:AU193,$P$3:P193,"R")</f>
        <v>4206</v>
      </c>
      <c r="BM192" s="87">
        <f>SUMIFS($AU$3:AU193,$AQ$3:AQ193,"M")</f>
        <v>4440.3799999996263</v>
      </c>
      <c r="BN192" s="87">
        <f>SUMIFS($AU$3:AU193,$AQ$3:AQ193,"H")</f>
        <v>7331.2000000002645</v>
      </c>
      <c r="BO192" s="87">
        <f>SUMIFS($AU$3:AU193,$AQ$3:AQ193,"D")</f>
        <v>2670.0000000000009</v>
      </c>
      <c r="BP192" s="87">
        <f>SUMIFS($AU$3:AU195,$AQ$3:AQ195,"W")</f>
        <v>4998.4000000000005</v>
      </c>
      <c r="BQ192" s="87">
        <f>SUMIFS($AU$3:AU193,$Q$3:Q193,"O")</f>
        <v>1683.5799999998865</v>
      </c>
      <c r="BR192" s="87">
        <f>SUMIFS($AU$3:AU193,$AA$3:AA193,"*")</f>
        <v>16920.799999999785</v>
      </c>
      <c r="BS192" s="87">
        <f>SUMIFS($AU$3:AU193,$AB$3:AB193,"*")</f>
        <v>5607.1799999999312</v>
      </c>
      <c r="BT192" s="87">
        <f>SUMIFS($AU$3:AU193,$AC$3:AC193,"*")</f>
        <v>8628.4</v>
      </c>
      <c r="BU192" s="87">
        <f>SUMIFS($AU$3:AU193,$AA$3:AA193,"*",$AB$3:AB193,"*")</f>
        <v>3455.9999999998226</v>
      </c>
      <c r="BV192" s="87">
        <f>SUMIFS($AU$3:AU193,$AA$3:AA193,"*",$AC$3:AC193,"*")</f>
        <v>8164.4000000000005</v>
      </c>
      <c r="BW192" s="87">
        <f>SUMIFS($AU$3:AU193,$AB$3:AB193,"*",$AC$3:AC193,"*")</f>
        <v>2319.9999999999986</v>
      </c>
      <c r="BX192" s="87">
        <f>SUMIFS($AV$3:AV193,$Q$3:Q193,"F")</f>
        <v>214.02786430960344</v>
      </c>
      <c r="BY192" s="87">
        <f>SUMIFS($AV$3:AV193,$Q$3:Q193,"S")</f>
        <v>424.00935095550108</v>
      </c>
      <c r="BZ192" s="87">
        <f>SUMIFS($AV$3:AV193,$Q$3:Q193,"O")</f>
        <v>491.73999999988246</v>
      </c>
    </row>
    <row r="193" spans="1:78" ht="18" customHeight="1">
      <c r="A193" s="45" t="s">
        <v>567</v>
      </c>
      <c r="B193" s="59">
        <v>45335</v>
      </c>
      <c r="C193" s="46" t="s">
        <v>147</v>
      </c>
      <c r="D193" s="46" t="s">
        <v>98</v>
      </c>
      <c r="E193" s="66"/>
      <c r="F193" s="47"/>
      <c r="G193" s="106" t="s">
        <v>195</v>
      </c>
      <c r="H193" s="49"/>
      <c r="I193" s="49"/>
      <c r="J193" s="49"/>
      <c r="K193" s="50"/>
      <c r="L193" s="49">
        <v>2</v>
      </c>
      <c r="M193" s="49"/>
      <c r="N193" s="49"/>
      <c r="O193" s="50" t="s">
        <v>196</v>
      </c>
      <c r="P193" s="50" t="s">
        <v>197</v>
      </c>
      <c r="Q193" s="50" t="s">
        <v>198</v>
      </c>
      <c r="R193" s="50">
        <v>4</v>
      </c>
      <c r="S193" s="50">
        <v>0</v>
      </c>
      <c r="T193" s="50">
        <v>2</v>
      </c>
      <c r="U193" s="50" t="s">
        <v>102</v>
      </c>
      <c r="V193" s="50"/>
      <c r="W193" s="50"/>
      <c r="X193" s="50"/>
      <c r="Y193" s="51">
        <f>IF(ISBLANK(O193),"",(IF(O193=UPPER("IB"),0.005,0.01)))</f>
        <v>0.01</v>
      </c>
      <c r="Z193" s="52">
        <f>IF(ISBLANK(O193),"",IF(O193="IB",8.63*200,IF(O193="IR",16*100,IF(O193="YT",20*100,IF(O193="YT-XT",24*200,IF(O193="TED",80*100,IF(O193="XT",29*200)))))))</f>
        <v>5800</v>
      </c>
      <c r="AA193" s="52" t="s">
        <v>630</v>
      </c>
      <c r="AB193" s="52"/>
      <c r="AC193" s="52"/>
      <c r="AD193" s="231">
        <v>95.778000000000006</v>
      </c>
      <c r="AE193" s="49"/>
      <c r="AF193" s="84"/>
      <c r="AG193" s="49"/>
      <c r="AH193" s="49"/>
      <c r="AI193" s="49"/>
      <c r="AJ193" s="226"/>
      <c r="AK193" s="49"/>
      <c r="AL193" s="113">
        <f>-0.04*Z193</f>
        <v>-232</v>
      </c>
      <c r="AM193" s="113">
        <f t="shared" si="49"/>
        <v>-928</v>
      </c>
      <c r="AN193" s="218"/>
      <c r="AO193" s="49"/>
      <c r="AP193" s="49"/>
      <c r="AQ193" s="84" t="s">
        <v>142</v>
      </c>
      <c r="AR193" s="49"/>
      <c r="AS193" s="55">
        <v>95.721999999999994</v>
      </c>
      <c r="AT193" s="55">
        <f>IF(ISBLANK(AS193),,IF(U193="S",AD193-AS193,AS193-AD193))</f>
        <v>5.6000000000011596E-2</v>
      </c>
      <c r="AU193" s="54">
        <f>AV193*R193</f>
        <v>1299.200000000269</v>
      </c>
      <c r="AV193" s="56">
        <f t="shared" ref="AV193:AV214" si="55">IF(ISBLANK(AS193),,(AT193*Z193))</f>
        <v>324.80000000006726</v>
      </c>
      <c r="AW193" s="57" t="s">
        <v>101</v>
      </c>
      <c r="AX193" s="96" t="s">
        <v>489</v>
      </c>
      <c r="AY193" s="96" t="s">
        <v>443</v>
      </c>
      <c r="AZ193" s="96"/>
      <c r="BA193" s="96"/>
      <c r="BB193" s="96"/>
      <c r="BC193" s="96"/>
      <c r="BD193" s="96"/>
      <c r="BE193" s="96"/>
      <c r="BF193" s="100"/>
      <c r="BG193" s="94">
        <f>SUM($AV$4:AV193)</f>
        <v>1617.7772152649948</v>
      </c>
      <c r="BH193" s="95">
        <f>SUM($AU$4:AU193)</f>
        <v>19135.979999999898</v>
      </c>
      <c r="BI193" s="80">
        <f>SUMIFS($AU$3:AU194,$Q$3:Q194,"F")</f>
        <v>8804.4000000000015</v>
      </c>
      <c r="BJ193" s="80">
        <f>SUMIFS($AU$3:AU194,$Q$3:Q194,"S")</f>
        <v>6319.9999999999964</v>
      </c>
      <c r="BK193" s="87">
        <f>SUMIFS($AU$3:AU194,$P$3:P194,"W")</f>
        <v>11469.579999999934</v>
      </c>
      <c r="BL193" s="87">
        <f>SUMIFS($AU$3:AU194,$P$3:P194,"R")</f>
        <v>4206</v>
      </c>
      <c r="BM193" s="87">
        <f>SUMIFS($AU$3:AU194,$AQ$3:AQ194,"M")</f>
        <v>4440.3799999996263</v>
      </c>
      <c r="BN193" s="87">
        <f>SUMIFS($AU$3:AU194,$AQ$3:AQ194,"H")</f>
        <v>5539.2000000002645</v>
      </c>
      <c r="BO193" s="87">
        <f>SUMIFS($AU$3:AU194,$AQ$3:AQ194,"D")</f>
        <v>2670.0000000000009</v>
      </c>
      <c r="BP193" s="87">
        <f>SUMIFS($AU$3:AU196,$AQ$3:AQ196,"W")</f>
        <v>4998.4000000000005</v>
      </c>
      <c r="BQ193" s="87">
        <f>SUMIFS($AU$3:AU194,$Q$3:Q194,"O")</f>
        <v>1683.5799999998865</v>
      </c>
      <c r="BR193" s="87">
        <f>SUMIFS($AU$3:AU194,$AA$3:AA194,"*")</f>
        <v>15128.799999999785</v>
      </c>
      <c r="BS193" s="87">
        <f>SUMIFS($AU$3:AU194,$AB$3:AB194,"*")</f>
        <v>5607.1799999999312</v>
      </c>
      <c r="BT193" s="87">
        <f>SUMIFS($AU$3:AU194,$AC$3:AC194,"*")</f>
        <v>8628.4</v>
      </c>
      <c r="BU193" s="87">
        <f>SUMIFS($AU$3:AU194,$AA$3:AA194,"*",$AB$3:AB194,"*")</f>
        <v>3455.9999999998226</v>
      </c>
      <c r="BV193" s="87">
        <f>SUMIFS($AU$3:AU194,$AA$3:AA194,"*",$AC$3:AC194,"*")</f>
        <v>8164.4000000000005</v>
      </c>
      <c r="BW193" s="87">
        <f>SUMIFS($AU$3:AU194,$AB$3:AB194,"*",$AC$3:AC194,"*")</f>
        <v>2319.9999999999986</v>
      </c>
      <c r="BX193" s="87">
        <f>SUMIFS($AV$3:AV194,$Q$3:Q194,"F")</f>
        <v>214.02786430960344</v>
      </c>
      <c r="BY193" s="87">
        <f>SUMIFS($AV$3:AV194,$Q$3:Q194,"S")</f>
        <v>392.00935095550108</v>
      </c>
      <c r="BZ193" s="87">
        <f>SUMIFS($AV$3:AV194,$Q$3:Q194,"O")</f>
        <v>491.73999999988246</v>
      </c>
    </row>
    <row r="194" spans="1:78" ht="18" customHeight="1">
      <c r="A194" s="45" t="s">
        <v>567</v>
      </c>
      <c r="B194" s="59">
        <v>45335</v>
      </c>
      <c r="C194" s="46" t="s">
        <v>147</v>
      </c>
      <c r="D194" s="46" t="s">
        <v>98</v>
      </c>
      <c r="E194" s="66"/>
      <c r="F194" s="47"/>
      <c r="G194" s="106" t="s">
        <v>227</v>
      </c>
      <c r="H194" s="49"/>
      <c r="I194" s="49"/>
      <c r="J194" s="49"/>
      <c r="K194" s="50"/>
      <c r="L194" s="49"/>
      <c r="M194" s="49">
        <v>2</v>
      </c>
      <c r="N194" s="49"/>
      <c r="O194" s="50" t="s">
        <v>100</v>
      </c>
      <c r="P194" s="50" t="s">
        <v>101</v>
      </c>
      <c r="Q194" s="50" t="s">
        <v>102</v>
      </c>
      <c r="R194" s="50">
        <v>56</v>
      </c>
      <c r="S194" s="50">
        <v>0</v>
      </c>
      <c r="T194" s="50">
        <v>56</v>
      </c>
      <c r="U194" s="50" t="s">
        <v>102</v>
      </c>
      <c r="V194" s="50"/>
      <c r="W194" s="50"/>
      <c r="X194" s="50"/>
      <c r="Y194" s="51">
        <f>IF(ISBLANK(O194),"",(IF(O194=UPPER("IB"),0.005,0.01)))</f>
        <v>0.01</v>
      </c>
      <c r="Z194" s="52">
        <f>IF(ISBLANK(O194),"",IF(O194="IB",8.63*200,IF(O194="IR",16*100,IF(O194="YT",20*100,IF(O194="YT-XT",24*200,IF(O194="TED",80*100))))))</f>
        <v>1600</v>
      </c>
      <c r="AA194" s="52" t="s">
        <v>768</v>
      </c>
      <c r="AB194" s="52"/>
      <c r="AC194" s="52"/>
      <c r="AD194" s="231">
        <v>-0.1</v>
      </c>
      <c r="AE194" s="49"/>
      <c r="AF194" s="84"/>
      <c r="AG194" s="49"/>
      <c r="AH194" s="49"/>
      <c r="AI194" s="49"/>
      <c r="AJ194" s="226"/>
      <c r="AK194" s="49"/>
      <c r="AL194" s="113">
        <f t="shared" si="54"/>
        <v>-32</v>
      </c>
      <c r="AM194" s="113">
        <f t="shared" si="49"/>
        <v>-1792</v>
      </c>
      <c r="AN194" s="218"/>
      <c r="AO194" s="49"/>
      <c r="AP194" s="49"/>
      <c r="AQ194" s="84" t="s">
        <v>142</v>
      </c>
      <c r="AR194" s="49"/>
      <c r="AS194" s="55">
        <v>-0.08</v>
      </c>
      <c r="AT194" s="55">
        <f>IF(ISBLANK(AS194),,IF(U194="S",AD194-AS194,AS194-AD194))</f>
        <v>-2.0000000000000004E-2</v>
      </c>
      <c r="AU194" s="54">
        <f>AV194*R194</f>
        <v>-1792.0000000000005</v>
      </c>
      <c r="AV194" s="56">
        <f t="shared" si="55"/>
        <v>-32.000000000000007</v>
      </c>
      <c r="AW194" s="57" t="s">
        <v>121</v>
      </c>
      <c r="AX194" s="96" t="s">
        <v>769</v>
      </c>
      <c r="AY194" s="96" t="s">
        <v>770</v>
      </c>
      <c r="AZ194" s="96"/>
      <c r="BA194" s="96"/>
      <c r="BB194" s="96"/>
      <c r="BC194" s="96"/>
      <c r="BD194" s="96"/>
      <c r="BE194" s="96"/>
      <c r="BF194" s="100"/>
      <c r="BG194" s="94">
        <f>SUM($AV$4:AV194)</f>
        <v>1585.7772152649948</v>
      </c>
      <c r="BH194" s="95">
        <f>SUM($AU$4:AU194)</f>
        <v>17343.979999999898</v>
      </c>
      <c r="BI194" s="80">
        <f>SUMIFS($AU$3:AU195,$Q$3:Q195,"F")</f>
        <v>8804.4000000000015</v>
      </c>
      <c r="BJ194" s="80">
        <f>SUMIFS($AU$3:AU195,$Q$3:Q195,"S")</f>
        <v>6415.9999999999927</v>
      </c>
      <c r="BK194" s="87">
        <f>SUMIFS($AU$3:AU195,$P$3:P195,"W")</f>
        <v>11565.579999999931</v>
      </c>
      <c r="BL194" s="87">
        <f>SUMIFS($AU$3:AU195,$P$3:P195,"R")</f>
        <v>4206</v>
      </c>
      <c r="BM194" s="87">
        <f>SUMIFS($AU$3:AU195,$AQ$3:AQ195,"M")</f>
        <v>4440.3799999996263</v>
      </c>
      <c r="BN194" s="87">
        <f>SUMIFS($AU$3:AU195,$AQ$3:AQ195,"H")</f>
        <v>5635.2000000002608</v>
      </c>
      <c r="BO194" s="87">
        <f>SUMIFS($AU$3:AU195,$AQ$3:AQ195,"D")</f>
        <v>2670.0000000000009</v>
      </c>
      <c r="BP194" s="87">
        <f>SUMIFS($AU$3:AU197,$AQ$3:AQ197,"W")</f>
        <v>4998.4000000000005</v>
      </c>
      <c r="BQ194" s="87">
        <f>SUMIFS($AU$3:AU195,$Q$3:Q195,"O")</f>
        <v>1683.5799999998865</v>
      </c>
      <c r="BR194" s="87">
        <f>SUMIFS($AU$3:AU195,$AA$3:AA195,"*")</f>
        <v>15224.799999999781</v>
      </c>
      <c r="BS194" s="87">
        <f>SUMIFS($AU$3:AU195,$AB$3:AB195,"*")</f>
        <v>5607.1799999999312</v>
      </c>
      <c r="BT194" s="87">
        <f>SUMIFS($AU$3:AU195,$AC$3:AC195,"*")</f>
        <v>8628.4</v>
      </c>
      <c r="BU194" s="87">
        <f>SUMIFS($AU$3:AU195,$AA$3:AA195,"*",$AB$3:AB195,"*")</f>
        <v>3455.9999999998226</v>
      </c>
      <c r="BV194" s="87">
        <f>SUMIFS($AU$3:AU195,$AA$3:AA195,"*",$AC$3:AC195,"*")</f>
        <v>8164.4000000000005</v>
      </c>
      <c r="BW194" s="87">
        <f>SUMIFS($AU$3:AU195,$AB$3:AB195,"*",$AC$3:AC195,"*")</f>
        <v>2319.9999999999986</v>
      </c>
      <c r="BX194" s="87">
        <f>SUMIFS($AV$3:AV195,$Q$3:Q195,"F")</f>
        <v>214.02786430960344</v>
      </c>
      <c r="BY194" s="87">
        <f>SUMIFS($AV$3:AV195,$Q$3:Q195,"S")</f>
        <v>392.74781249396261</v>
      </c>
      <c r="BZ194" s="87">
        <f>SUMIFS($AV$3:AV195,$Q$3:Q195,"O")</f>
        <v>491.73999999988246</v>
      </c>
    </row>
    <row r="195" spans="1:78" ht="18" customHeight="1">
      <c r="A195" s="45" t="s">
        <v>567</v>
      </c>
      <c r="B195" s="59">
        <v>45335</v>
      </c>
      <c r="C195" s="46" t="s">
        <v>147</v>
      </c>
      <c r="D195" s="46" t="s">
        <v>98</v>
      </c>
      <c r="E195" s="66"/>
      <c r="F195" s="47"/>
      <c r="G195" s="106" t="s">
        <v>111</v>
      </c>
      <c r="H195" s="49"/>
      <c r="I195" s="49"/>
      <c r="J195" s="49"/>
      <c r="K195" s="50"/>
      <c r="L195" s="49"/>
      <c r="M195" s="49">
        <v>2</v>
      </c>
      <c r="N195" s="49"/>
      <c r="O195" s="50" t="s">
        <v>100</v>
      </c>
      <c r="P195" s="50" t="s">
        <v>101</v>
      </c>
      <c r="Q195" s="50" t="s">
        <v>102</v>
      </c>
      <c r="R195" s="50">
        <v>130</v>
      </c>
      <c r="S195" s="50">
        <v>74</v>
      </c>
      <c r="T195" s="50">
        <v>68</v>
      </c>
      <c r="U195" s="50" t="s">
        <v>102</v>
      </c>
      <c r="V195" s="50"/>
      <c r="W195" s="50"/>
      <c r="X195" s="50"/>
      <c r="Y195" s="51">
        <f>IF(ISBLANK(O195),"",(IF(O195=UPPER("IB"),0.005,0.01)))</f>
        <v>0.01</v>
      </c>
      <c r="Z195" s="52">
        <f>IF(ISBLANK(O195),"",IF(O195="IB",8.63*200,IF(O195="IR",16*100,IF(O195="YT",20*100,IF(O195="YT-XT",24*200,IF(O195="TED",80*100))))))</f>
        <v>1600</v>
      </c>
      <c r="AA195" s="52" t="s">
        <v>771</v>
      </c>
      <c r="AB195" s="52"/>
      <c r="AC195" s="52"/>
      <c r="AD195" s="231">
        <f>((-0.07*62)+(-0.05*68))/130</f>
        <v>-5.9538461538461547E-2</v>
      </c>
      <c r="AE195" s="49"/>
      <c r="AF195" s="84"/>
      <c r="AG195" s="49"/>
      <c r="AH195" s="49"/>
      <c r="AI195" s="49"/>
      <c r="AJ195" s="226"/>
      <c r="AK195" s="49"/>
      <c r="AL195" s="113">
        <f t="shared" si="54"/>
        <v>-32</v>
      </c>
      <c r="AM195" s="113">
        <f t="shared" si="49"/>
        <v>-1792</v>
      </c>
      <c r="AN195" s="218"/>
      <c r="AO195" s="49"/>
      <c r="AP195" s="49"/>
      <c r="AQ195" s="84" t="s">
        <v>142</v>
      </c>
      <c r="AR195" s="49" t="s">
        <v>772</v>
      </c>
      <c r="AS195" s="55">
        <f>((-0.06*74)+(-0.06*56))/130</f>
        <v>-5.9999999999999991E-2</v>
      </c>
      <c r="AT195" s="55">
        <f>IF(ISBLANK(AS195),,IF(U195="S",AD195-AS195,AS195-AD195))</f>
        <v>4.615384615384438E-4</v>
      </c>
      <c r="AU195" s="54">
        <f>AV195*R195</f>
        <v>95.999999999996305</v>
      </c>
      <c r="AV195" s="56">
        <f t="shared" si="55"/>
        <v>0.73846153846151008</v>
      </c>
      <c r="AW195" s="57" t="s">
        <v>101</v>
      </c>
      <c r="AX195" s="96" t="s">
        <v>773</v>
      </c>
      <c r="AY195" s="96" t="s">
        <v>774</v>
      </c>
      <c r="AZ195" s="96" t="s">
        <v>775</v>
      </c>
      <c r="BA195" s="96" t="s">
        <v>776</v>
      </c>
      <c r="BB195" s="96" t="s">
        <v>777</v>
      </c>
      <c r="BC195" s="96" t="s">
        <v>778</v>
      </c>
      <c r="BD195" s="96"/>
      <c r="BE195" s="96"/>
      <c r="BF195" s="100"/>
      <c r="BG195" s="94">
        <f>SUM($AV$4:AV195)</f>
        <v>1586.5156768034562</v>
      </c>
      <c r="BH195" s="95">
        <f>SUM($AU$4:AU195)</f>
        <v>17439.979999999894</v>
      </c>
      <c r="BI195" s="80">
        <f>SUMIFS($AU$3:AU196,$Q$3:Q196,"F")</f>
        <v>8804.4000000000015</v>
      </c>
      <c r="BJ195" s="80">
        <f>SUMIFS($AU$3:AU196,$Q$3:Q196,"S")</f>
        <v>6415.9999999999927</v>
      </c>
      <c r="BK195" s="87">
        <f>SUMIFS($AU$3:AU196,$P$3:P196,"W")</f>
        <v>11565.579999999931</v>
      </c>
      <c r="BL195" s="87">
        <f>SUMIFS($AU$3:AU196,$P$3:P196,"R")</f>
        <v>4206</v>
      </c>
      <c r="BM195" s="87">
        <f>SUMIFS($AU$3:AU196,$AQ$3:AQ196,"M")</f>
        <v>4440.3799999996263</v>
      </c>
      <c r="BN195" s="87">
        <f>SUMIFS($AU$3:AU196,$AQ$3:AQ196,"H")</f>
        <v>5635.2000000002608</v>
      </c>
      <c r="BO195" s="87">
        <f>SUMIFS($AU$3:AU196,$AQ$3:AQ196,"D")</f>
        <v>2670.0000000000009</v>
      </c>
      <c r="BP195" s="87">
        <f>SUMIFS($AU$3:AU198,$AQ$3:AQ198,"W")</f>
        <v>4998.4000000000005</v>
      </c>
      <c r="BQ195" s="87">
        <f>SUMIFS($AU$3:AU196,$Q$3:Q196,"O")</f>
        <v>1683.5799999998865</v>
      </c>
      <c r="BR195" s="87">
        <f>SUMIFS($AU$3:AU196,$AA$3:AA196,"*")</f>
        <v>15224.799999999781</v>
      </c>
      <c r="BS195" s="87">
        <f>SUMIFS($AU$3:AU196,$AB$3:AB196,"*")</f>
        <v>5607.1799999999312</v>
      </c>
      <c r="BT195" s="87">
        <f>SUMIFS($AU$3:AU196,$AC$3:AC196,"*")</f>
        <v>8628.4</v>
      </c>
      <c r="BU195" s="87">
        <f>SUMIFS($AU$3:AU196,$AA$3:AA196,"*",$AB$3:AB196,"*")</f>
        <v>3455.9999999998226</v>
      </c>
      <c r="BV195" s="87">
        <f>SUMIFS($AU$3:AU196,$AA$3:AA196,"*",$AC$3:AC196,"*")</f>
        <v>8164.4000000000005</v>
      </c>
      <c r="BW195" s="87">
        <f>SUMIFS($AU$3:AU196,$AB$3:AB196,"*",$AC$3:AC196,"*")</f>
        <v>2319.9999999999986</v>
      </c>
      <c r="BX195" s="87">
        <f>SUMIFS($AV$3:AV196,$Q$3:Q196,"F")</f>
        <v>214.02786430960344</v>
      </c>
      <c r="BY195" s="87">
        <f>SUMIFS($AV$3:AV196,$Q$3:Q196,"S")</f>
        <v>392.74781249396261</v>
      </c>
      <c r="BZ195" s="87">
        <f>SUMIFS($AV$3:AV196,$Q$3:Q196,"O")</f>
        <v>491.73999999988246</v>
      </c>
    </row>
    <row r="196" spans="1:78" ht="18" customHeight="1">
      <c r="A196" s="45" t="s">
        <v>567</v>
      </c>
      <c r="B196" s="59"/>
      <c r="C196" s="46"/>
      <c r="D196" s="46"/>
      <c r="E196" s="66"/>
      <c r="F196" s="47"/>
      <c r="G196" s="48"/>
      <c r="H196" s="49"/>
      <c r="I196" s="49"/>
      <c r="J196" s="49"/>
      <c r="K196" s="50"/>
      <c r="L196" s="49"/>
      <c r="M196" s="49"/>
      <c r="N196" s="49"/>
      <c r="O196" s="50"/>
      <c r="P196" s="50"/>
      <c r="Q196" s="50"/>
      <c r="R196" s="50"/>
      <c r="S196" s="50"/>
      <c r="T196" s="50"/>
      <c r="U196" s="50"/>
      <c r="V196" s="50"/>
      <c r="W196" s="50"/>
      <c r="X196" s="50"/>
      <c r="Y196" s="51"/>
      <c r="Z196" s="52"/>
      <c r="AA196" s="52"/>
      <c r="AB196" s="52"/>
      <c r="AC196" s="52"/>
      <c r="AD196" s="231"/>
      <c r="AE196" s="49"/>
      <c r="AF196" s="84"/>
      <c r="AG196" s="49"/>
      <c r="AH196" s="49"/>
      <c r="AI196" s="49"/>
      <c r="AJ196" s="226"/>
      <c r="AK196" s="49"/>
      <c r="AL196" s="113">
        <f t="shared" ref="AL196:AL215" si="56">-0.02*Z196</f>
        <v>0</v>
      </c>
      <c r="AM196" s="113">
        <f t="shared" si="49"/>
        <v>0</v>
      </c>
      <c r="AN196" s="218"/>
      <c r="AO196" s="49"/>
      <c r="AP196" s="49"/>
      <c r="AQ196" s="84" t="str">
        <f>UPPER(RIGHT(Journal_Live[[#This Row],[DURATION ]]))</f>
        <v/>
      </c>
      <c r="AR196" s="49"/>
      <c r="AS196" s="55"/>
      <c r="AT196" s="55"/>
      <c r="AU196" s="54"/>
      <c r="AV196" s="56"/>
      <c r="AW196" s="57"/>
      <c r="AX196" s="96" t="s">
        <v>779</v>
      </c>
      <c r="AY196" s="96" t="s">
        <v>780</v>
      </c>
      <c r="AZ196" s="96" t="s">
        <v>781</v>
      </c>
      <c r="BA196" s="97" t="s">
        <v>782</v>
      </c>
      <c r="BB196" s="96" t="s">
        <v>783</v>
      </c>
      <c r="BC196" s="96" t="s">
        <v>784</v>
      </c>
      <c r="BD196" s="96" t="s">
        <v>785</v>
      </c>
      <c r="BE196" s="96"/>
      <c r="BF196" s="100"/>
      <c r="BG196" s="94">
        <f>SUM($AV$4:AV196)</f>
        <v>1586.5156768034562</v>
      </c>
      <c r="BH196" s="95">
        <f>SUM($AU$4:AU196)</f>
        <v>17439.979999999894</v>
      </c>
      <c r="BI196" s="80">
        <f>SUMIFS($AU$3:AU197,$Q$3:Q197,"F")</f>
        <v>8804.4000000000015</v>
      </c>
      <c r="BJ196" s="80">
        <f>SUMIFS($AU$3:AU197,$Q$3:Q197,"S")</f>
        <v>6415.9999999999927</v>
      </c>
      <c r="BK196" s="87">
        <f>SUMIFS($AU$3:AU197,$P$3:P197,"W")</f>
        <v>11565.579999999931</v>
      </c>
      <c r="BL196" s="87">
        <f>SUMIFS($AU$3:AU197,$P$3:P197,"R")</f>
        <v>4206</v>
      </c>
      <c r="BM196" s="87">
        <f>SUMIFS($AU$3:AU197,$AQ$3:AQ197,"M")</f>
        <v>4440.3799999996263</v>
      </c>
      <c r="BN196" s="87">
        <f>SUMIFS($AU$3:AU197,$AQ$3:AQ197,"H")</f>
        <v>5635.2000000002608</v>
      </c>
      <c r="BO196" s="87">
        <f>SUMIFS($AU$3:AU197,$AQ$3:AQ197,"D")</f>
        <v>2670.0000000000009</v>
      </c>
      <c r="BP196" s="87">
        <f>SUMIFS($AU$3:AU199,$AQ$3:AQ199,"W")</f>
        <v>4998.4000000000005</v>
      </c>
      <c r="BQ196" s="87">
        <f>SUMIFS($AU$3:AU197,$Q$3:Q197,"O")</f>
        <v>1683.5799999998865</v>
      </c>
      <c r="BR196" s="87">
        <f>SUMIFS($AU$3:AU197,$AA$3:AA197,"*")</f>
        <v>15224.799999999781</v>
      </c>
      <c r="BS196" s="87">
        <f>SUMIFS($AU$3:AU197,$AB$3:AB197,"*")</f>
        <v>5607.1799999999312</v>
      </c>
      <c r="BT196" s="87">
        <f>SUMIFS($AU$3:AU197,$AC$3:AC197,"*")</f>
        <v>8628.4</v>
      </c>
      <c r="BU196" s="87">
        <f>SUMIFS($AU$3:AU197,$AA$3:AA197,"*",$AB$3:AB197,"*")</f>
        <v>3455.9999999998226</v>
      </c>
      <c r="BV196" s="87">
        <f>SUMIFS($AU$3:AU197,$AA$3:AA197,"*",$AC$3:AC197,"*")</f>
        <v>8164.4000000000005</v>
      </c>
      <c r="BW196" s="87">
        <f>SUMIFS($AU$3:AU197,$AB$3:AB197,"*",$AC$3:AC197,"*")</f>
        <v>2319.9999999999986</v>
      </c>
      <c r="BX196" s="87">
        <f>SUMIFS($AV$3:AV197,$Q$3:Q197,"F")</f>
        <v>214.02786430960344</v>
      </c>
      <c r="BY196" s="87">
        <f>SUMIFS($AV$3:AV197,$Q$3:Q197,"S")</f>
        <v>392.74781249396261</v>
      </c>
      <c r="BZ196" s="87">
        <f>SUMIFS($AV$3:AV197,$Q$3:Q197,"O")</f>
        <v>491.73999999988246</v>
      </c>
    </row>
    <row r="197" spans="1:78" ht="18" customHeight="1">
      <c r="A197" s="45" t="s">
        <v>567</v>
      </c>
      <c r="B197" s="59"/>
      <c r="C197" s="46"/>
      <c r="D197" s="46"/>
      <c r="E197" s="66"/>
      <c r="F197" s="47"/>
      <c r="G197" s="48"/>
      <c r="H197" s="49"/>
      <c r="I197" s="49"/>
      <c r="J197" s="49"/>
      <c r="K197" s="50"/>
      <c r="L197" s="49"/>
      <c r="M197" s="49"/>
      <c r="N197" s="49"/>
      <c r="O197" s="50"/>
      <c r="P197" s="50"/>
      <c r="Q197" s="50"/>
      <c r="R197" s="50"/>
      <c r="S197" s="50"/>
      <c r="T197" s="50"/>
      <c r="U197" s="50"/>
      <c r="V197" s="50"/>
      <c r="W197" s="50"/>
      <c r="X197" s="50"/>
      <c r="Y197" s="51"/>
      <c r="Z197" s="52"/>
      <c r="AA197" s="52"/>
      <c r="AB197" s="52"/>
      <c r="AC197" s="52"/>
      <c r="AD197" s="231"/>
      <c r="AE197" s="49"/>
      <c r="AF197" s="84"/>
      <c r="AG197" s="49"/>
      <c r="AH197" s="49"/>
      <c r="AI197" s="49"/>
      <c r="AJ197" s="226"/>
      <c r="AK197" s="49"/>
      <c r="AL197" s="113">
        <f t="shared" si="56"/>
        <v>0</v>
      </c>
      <c r="AM197" s="113">
        <f t="shared" si="49"/>
        <v>0</v>
      </c>
      <c r="AN197" s="218"/>
      <c r="AO197" s="49"/>
      <c r="AP197" s="49"/>
      <c r="AQ197" s="84" t="str">
        <f>UPPER(RIGHT(Journal_Live[[#This Row],[DURATION ]]))</f>
        <v/>
      </c>
      <c r="AR197" s="49"/>
      <c r="AS197" s="55"/>
      <c r="AT197" s="55"/>
      <c r="AU197" s="54"/>
      <c r="AV197" s="56"/>
      <c r="AW197" s="57"/>
      <c r="AX197" s="140" t="s">
        <v>786</v>
      </c>
      <c r="AY197" s="142" t="s">
        <v>787</v>
      </c>
      <c r="AZ197" s="143">
        <v>52</v>
      </c>
      <c r="BA197" s="97" t="s">
        <v>788</v>
      </c>
      <c r="BB197" s="97" t="s">
        <v>789</v>
      </c>
      <c r="BC197" s="96" t="s">
        <v>790</v>
      </c>
      <c r="BD197" s="97" t="s">
        <v>791</v>
      </c>
      <c r="BE197" s="96"/>
      <c r="BF197" s="100"/>
      <c r="BG197" s="94">
        <f>SUM($AV$4:AV197)</f>
        <v>1586.5156768034562</v>
      </c>
      <c r="BH197" s="95">
        <f>SUM($AU$4:AU197)</f>
        <v>17439.979999999894</v>
      </c>
      <c r="BI197" s="80">
        <f>SUMIFS($AU$3:AU198,$Q$3:Q198,"F")</f>
        <v>8804.4000000000015</v>
      </c>
      <c r="BJ197" s="80">
        <f>SUMIFS($AU$3:AU198,$Q$3:Q198,"S")</f>
        <v>6415.9999999999927</v>
      </c>
      <c r="BK197" s="87">
        <f>SUMIFS($AU$3:AU198,$P$3:P198,"W")</f>
        <v>11565.579999999931</v>
      </c>
      <c r="BL197" s="87">
        <f>SUMIFS($AU$3:AU198,$P$3:P198,"R")</f>
        <v>4206</v>
      </c>
      <c r="BM197" s="87">
        <f>SUMIFS($AU$3:AU198,$AQ$3:AQ198,"M")</f>
        <v>4440.3799999996263</v>
      </c>
      <c r="BN197" s="87">
        <f>SUMIFS($AU$3:AU198,$AQ$3:AQ198,"H")</f>
        <v>5635.2000000002608</v>
      </c>
      <c r="BO197" s="87">
        <f>SUMIFS($AU$3:AU198,$AQ$3:AQ198,"D")</f>
        <v>2670.0000000000009</v>
      </c>
      <c r="BP197" s="87">
        <f>SUMIFS($AU$3:AU200,$AQ$3:AQ200,"W")</f>
        <v>4998.4000000000005</v>
      </c>
      <c r="BQ197" s="87">
        <f>SUMIFS($AU$3:AU198,$Q$3:Q198,"O")</f>
        <v>1683.5799999998865</v>
      </c>
      <c r="BR197" s="87">
        <f>SUMIFS($AU$3:AU198,$AA$3:AA198,"*")</f>
        <v>15224.799999999781</v>
      </c>
      <c r="BS197" s="87">
        <f>SUMIFS($AU$3:AU198,$AB$3:AB198,"*")</f>
        <v>5607.1799999999312</v>
      </c>
      <c r="BT197" s="87">
        <f>SUMIFS($AU$3:AU198,$AC$3:AC198,"*")</f>
        <v>8628.4</v>
      </c>
      <c r="BU197" s="87">
        <f>SUMIFS($AU$3:AU198,$AA$3:AA198,"*",$AB$3:AB198,"*")</f>
        <v>3455.9999999998226</v>
      </c>
      <c r="BV197" s="87">
        <f>SUMIFS($AU$3:AU198,$AA$3:AA198,"*",$AC$3:AC198,"*")</f>
        <v>8164.4000000000005</v>
      </c>
      <c r="BW197" s="87">
        <f>SUMIFS($AU$3:AU198,$AB$3:AB198,"*",$AC$3:AC198,"*")</f>
        <v>2319.9999999999986</v>
      </c>
      <c r="BX197" s="87">
        <f>SUMIFS($AV$3:AV198,$Q$3:Q198,"F")</f>
        <v>214.02786430960344</v>
      </c>
      <c r="BY197" s="87">
        <f>SUMIFS($AV$3:AV198,$Q$3:Q198,"S")</f>
        <v>392.74781249396261</v>
      </c>
      <c r="BZ197" s="87">
        <f>SUMIFS($AV$3:AV198,$Q$3:Q198,"O")</f>
        <v>491.73999999988246</v>
      </c>
    </row>
    <row r="198" spans="1:78" ht="18" customHeight="1">
      <c r="A198" s="45" t="s">
        <v>567</v>
      </c>
      <c r="B198" s="59"/>
      <c r="C198" s="46"/>
      <c r="D198" s="46"/>
      <c r="E198" s="66"/>
      <c r="F198" s="47"/>
      <c r="G198" s="48"/>
      <c r="H198" s="49"/>
      <c r="I198" s="49"/>
      <c r="J198" s="49"/>
      <c r="K198" s="50"/>
      <c r="L198" s="49"/>
      <c r="M198" s="49"/>
      <c r="N198" s="49"/>
      <c r="O198" s="50"/>
      <c r="P198" s="50"/>
      <c r="Q198" s="50"/>
      <c r="R198" s="50"/>
      <c r="S198" s="50"/>
      <c r="T198" s="50"/>
      <c r="U198" s="50"/>
      <c r="V198" s="50"/>
      <c r="W198" s="50"/>
      <c r="X198" s="50"/>
      <c r="Y198" s="51"/>
      <c r="Z198" s="52"/>
      <c r="AA198" s="52"/>
      <c r="AB198" s="52"/>
      <c r="AC198" s="52"/>
      <c r="AD198" s="231"/>
      <c r="AE198" s="49"/>
      <c r="AF198" s="84"/>
      <c r="AG198" s="49"/>
      <c r="AH198" s="49"/>
      <c r="AI198" s="49"/>
      <c r="AJ198" s="226"/>
      <c r="AK198" s="49"/>
      <c r="AL198" s="113">
        <f t="shared" si="56"/>
        <v>0</v>
      </c>
      <c r="AM198" s="113">
        <f t="shared" si="49"/>
        <v>0</v>
      </c>
      <c r="AN198" s="218"/>
      <c r="AO198" s="49"/>
      <c r="AP198" s="49"/>
      <c r="AQ198" s="84" t="str">
        <f>UPPER(RIGHT(Journal_Live[[#This Row],[DURATION ]]))</f>
        <v/>
      </c>
      <c r="AR198" s="49"/>
      <c r="AS198" s="55"/>
      <c r="AT198" s="55"/>
      <c r="AU198" s="54"/>
      <c r="AV198" s="56"/>
      <c r="AW198" s="57"/>
      <c r="AX198" s="144" t="s">
        <v>792</v>
      </c>
      <c r="AY198" s="144" t="s">
        <v>793</v>
      </c>
      <c r="AZ198" s="145">
        <v>103</v>
      </c>
      <c r="BA198" s="97" t="s">
        <v>794</v>
      </c>
      <c r="BB198" s="96"/>
      <c r="BC198" s="96"/>
      <c r="BD198" s="96"/>
      <c r="BE198" s="96"/>
      <c r="BF198" s="100"/>
      <c r="BG198" s="94">
        <f>SUM($AV$4:AV198)</f>
        <v>1586.5156768034562</v>
      </c>
      <c r="BH198" s="95">
        <f>SUM($AU$4:AU198)</f>
        <v>17439.979999999894</v>
      </c>
      <c r="BI198" s="80">
        <f>SUMIFS($AU$3:AU200,$Q$3:Q200,"F")</f>
        <v>8804.4000000000015</v>
      </c>
      <c r="BJ198" s="80">
        <f>SUMIFS($AU$3:AU200,$Q$3:Q200,"S")</f>
        <v>6415.9999999999927</v>
      </c>
      <c r="BK198" s="87">
        <f>SUMIFS($AU$3:AU200,$P$3:P200,"W")</f>
        <v>11565.579999999931</v>
      </c>
      <c r="BL198" s="87">
        <f>SUMIFS($AU$3:AU200,$P$3:P200,"R")</f>
        <v>4206</v>
      </c>
      <c r="BM198" s="87">
        <f>SUMIFS($AU$3:AU200,$AQ$3:AQ200,"M")</f>
        <v>4440.3799999996263</v>
      </c>
      <c r="BN198" s="87">
        <f>SUMIFS($AU$3:AU200,$AQ$3:AQ200,"H")</f>
        <v>5635.2000000002608</v>
      </c>
      <c r="BO198" s="87">
        <f>SUMIFS($AU$3:AU200,$AQ$3:AQ200,"D")</f>
        <v>2670.0000000000009</v>
      </c>
      <c r="BP198" s="87">
        <f>SUMIFS($AU$3:AU201,$AQ$3:AQ201,"W")</f>
        <v>4998.4000000000005</v>
      </c>
      <c r="BQ198" s="87">
        <f>SUMIFS($AU$3:AU200,$Q$3:Q200,"O")</f>
        <v>1683.5799999998865</v>
      </c>
      <c r="BR198" s="87">
        <f>SUMIFS($AU$3:AU200,$AA$3:AA200,"*")</f>
        <v>15224.799999999781</v>
      </c>
      <c r="BS198" s="87">
        <f>SUMIFS($AU$3:AU200,$AB$3:AB200,"*")</f>
        <v>5607.1799999999312</v>
      </c>
      <c r="BT198" s="87">
        <f>SUMIFS($AU$3:AU200,$AC$3:AC200,"*")</f>
        <v>8628.4</v>
      </c>
      <c r="BU198" s="87">
        <f>SUMIFS($AU$3:AU200,$AA$3:AA200,"*",$AB$3:AB200,"*")</f>
        <v>3455.9999999998226</v>
      </c>
      <c r="BV198" s="87">
        <f>SUMIFS($AU$3:AU200,$AA$3:AA200,"*",$AC$3:AC200,"*")</f>
        <v>8164.4000000000005</v>
      </c>
      <c r="BW198" s="87">
        <f>SUMIFS($AU$3:AU200,$AB$3:AB200,"*",$AC$3:AC200,"*")</f>
        <v>2319.9999999999986</v>
      </c>
      <c r="BX198" s="87">
        <f>SUMIFS($AV$3:AV199,$Q$3:Q199,"F")</f>
        <v>214.02786430960344</v>
      </c>
      <c r="BY198" s="87">
        <f>SUMIFS($AV$3:AV199,$Q$3:Q199,"S")</f>
        <v>392.74781249396261</v>
      </c>
      <c r="BZ198" s="87">
        <f>SUMIFS($AV$3:AV199,$Q$3:Q199,"O")</f>
        <v>491.73999999988246</v>
      </c>
    </row>
    <row r="199" spans="1:78" ht="18" customHeight="1">
      <c r="A199" s="45" t="s">
        <v>567</v>
      </c>
      <c r="B199" s="59"/>
      <c r="C199" s="46"/>
      <c r="D199" s="46"/>
      <c r="E199" s="66"/>
      <c r="F199" s="47"/>
      <c r="G199" s="48"/>
      <c r="H199" s="49"/>
      <c r="I199" s="49"/>
      <c r="J199" s="49"/>
      <c r="K199" s="50"/>
      <c r="L199" s="49"/>
      <c r="M199" s="49"/>
      <c r="N199" s="49"/>
      <c r="O199" s="50"/>
      <c r="P199" s="50"/>
      <c r="Q199" s="50"/>
      <c r="R199" s="50"/>
      <c r="S199" s="50"/>
      <c r="T199" s="50"/>
      <c r="U199" s="50"/>
      <c r="V199" s="50"/>
      <c r="W199" s="50"/>
      <c r="X199" s="50"/>
      <c r="Y199" s="69"/>
      <c r="Z199" s="50"/>
      <c r="AA199" s="52"/>
      <c r="AB199" s="52"/>
      <c r="AC199" s="52"/>
      <c r="AD199" s="231"/>
      <c r="AE199" s="49"/>
      <c r="AF199" s="84"/>
      <c r="AG199" s="49"/>
      <c r="AH199" s="49"/>
      <c r="AI199" s="49"/>
      <c r="AJ199" s="226"/>
      <c r="AK199" s="49"/>
      <c r="AL199" s="113"/>
      <c r="AM199" s="113"/>
      <c r="AN199" s="218"/>
      <c r="AO199" s="49"/>
      <c r="AP199" s="49"/>
      <c r="AQ199" s="84" t="str">
        <f>UPPER(RIGHT(Journal_Live[[#This Row],[DURATION ]]))</f>
        <v/>
      </c>
      <c r="AR199" s="49"/>
      <c r="AS199" s="55"/>
      <c r="AT199" s="55"/>
      <c r="AU199" s="54"/>
      <c r="AV199" s="56"/>
      <c r="AW199" s="57"/>
      <c r="AX199" s="144" t="s">
        <v>795</v>
      </c>
      <c r="AY199" s="144" t="s">
        <v>22</v>
      </c>
      <c r="AZ199" s="147">
        <v>53</v>
      </c>
      <c r="BA199" s="146"/>
      <c r="BB199" s="96"/>
      <c r="BC199" s="148"/>
      <c r="BD199" s="96"/>
      <c r="BE199" s="96"/>
      <c r="BF199" s="100"/>
      <c r="BG199" s="94">
        <f>SUM($AV$4:AV199)</f>
        <v>1586.5156768034562</v>
      </c>
      <c r="BH199" s="95">
        <f>SUM($AU$4:AU199)</f>
        <v>17439.979999999894</v>
      </c>
      <c r="BI199" s="80">
        <f>SUMIFS($AU$3:AU201,$Q$3:Q201,"F")</f>
        <v>8804.4000000000015</v>
      </c>
      <c r="BJ199" s="80">
        <f>SUMIFS($AU$3:AU201,$Q$3:Q201,"S")</f>
        <v>6415.9999999999927</v>
      </c>
      <c r="BK199" s="87">
        <f>SUMIFS($AU$3:AU201,$P$3:P201,"W")</f>
        <v>11565.579999999931</v>
      </c>
      <c r="BL199" s="87">
        <f>SUMIFS($AU$3:AU201,$P$3:P201,"R")</f>
        <v>4206</v>
      </c>
      <c r="BM199" s="87">
        <f>SUMIFS($AU$3:AU201,$AQ$3:AQ201,"M")</f>
        <v>4440.3799999996263</v>
      </c>
      <c r="BN199" s="87">
        <f>SUMIFS($AU$3:AU201,$AQ$3:AQ201,"H")</f>
        <v>5635.2000000002608</v>
      </c>
      <c r="BO199" s="87">
        <f>SUMIFS($AU$3:AU201,$AQ$3:AQ201,"D")</f>
        <v>2670.0000000000009</v>
      </c>
      <c r="BP199" s="87">
        <f>SUMIFS($AU$3:AU202,$AQ$3:AQ202,"W")</f>
        <v>4998.4000000000005</v>
      </c>
      <c r="BQ199" s="87">
        <f>SUMIFS($AU$3:AU201,$Q$3:Q201,"O")</f>
        <v>1683.5799999998865</v>
      </c>
      <c r="BR199" s="87">
        <f>SUMIFS($AU$3:AU201,$AA$3:AA201,"*")</f>
        <v>15224.799999999781</v>
      </c>
      <c r="BS199" s="87">
        <f>SUMIFS($AU$3:AU201,$AB$3:AB201,"*")</f>
        <v>5607.1799999999312</v>
      </c>
      <c r="BT199" s="87">
        <f>SUMIFS($AU$3:AU201,$AC$3:AC201,"*")</f>
        <v>8628.4</v>
      </c>
      <c r="BU199" s="87">
        <f>SUMIFS($AU$3:AU201,$AA$3:AA201,"*",$AB$3:AB201,"*")</f>
        <v>3455.9999999998226</v>
      </c>
      <c r="BV199" s="87">
        <f>SUMIFS($AU$3:AU201,$AA$3:AA201,"*",$AC$3:AC201,"*")</f>
        <v>8164.4000000000005</v>
      </c>
      <c r="BW199" s="87">
        <f>SUMIFS($AU$3:AU201,$AB$3:AB201,"*",$AC$3:AC201,"*")</f>
        <v>2319.9999999999986</v>
      </c>
      <c r="BX199" s="87">
        <f>SUMIFS($AV$3:AV200,$Q$3:Q200,"F")</f>
        <v>214.02786430960344</v>
      </c>
      <c r="BY199" s="87">
        <f>SUMIFS($AV$3:AV200,$Q$3:Q200,"S")</f>
        <v>392.74781249396261</v>
      </c>
      <c r="BZ199" s="87">
        <f>SUMIFS($AV$3:AV200,$Q$3:Q200,"O")</f>
        <v>491.73999999988246</v>
      </c>
    </row>
    <row r="200" spans="1:78" ht="18" customHeight="1">
      <c r="A200" s="45" t="s">
        <v>567</v>
      </c>
      <c r="B200" s="59">
        <v>45336</v>
      </c>
      <c r="C200" s="46" t="s">
        <v>796</v>
      </c>
      <c r="D200" s="46" t="s">
        <v>186</v>
      </c>
      <c r="E200" s="66" t="s">
        <v>797</v>
      </c>
      <c r="F200" s="47"/>
      <c r="G200" s="48"/>
      <c r="H200" s="49"/>
      <c r="I200" s="49"/>
      <c r="J200" s="49">
        <v>1</v>
      </c>
      <c r="K200" s="50" t="s">
        <v>155</v>
      </c>
      <c r="L200" s="49"/>
      <c r="M200" s="49"/>
      <c r="N200" s="49"/>
      <c r="O200" s="50"/>
      <c r="P200" s="50"/>
      <c r="Q200" s="50"/>
      <c r="R200" s="50"/>
      <c r="S200" s="50"/>
      <c r="T200" s="50"/>
      <c r="U200" s="50"/>
      <c r="V200" s="50"/>
      <c r="W200" s="50"/>
      <c r="X200" s="50"/>
      <c r="Y200" s="51"/>
      <c r="Z200" s="52"/>
      <c r="AA200" s="52"/>
      <c r="AB200" s="52"/>
      <c r="AC200" s="52"/>
      <c r="AD200" s="231"/>
      <c r="AE200" s="49"/>
      <c r="AF200" s="84"/>
      <c r="AG200" s="49"/>
      <c r="AH200" s="49"/>
      <c r="AI200" s="49"/>
      <c r="AJ200" s="226"/>
      <c r="AK200" s="49"/>
      <c r="AL200" s="113">
        <f t="shared" si="56"/>
        <v>0</v>
      </c>
      <c r="AM200" s="113">
        <f t="shared" ref="AM200:AM231" si="57">AL200*(R200-S200)</f>
        <v>0</v>
      </c>
      <c r="AN200" s="218"/>
      <c r="AO200" s="49"/>
      <c r="AP200" s="49"/>
      <c r="AQ200" s="84" t="str">
        <f>UPPER(RIGHT(Journal_Live[[#This Row],[DURATION ]]))</f>
        <v/>
      </c>
      <c r="AR200" s="49"/>
      <c r="AS200" s="55"/>
      <c r="AT200" s="55"/>
      <c r="AU200" s="54"/>
      <c r="AV200" s="56"/>
      <c r="AW200" s="57"/>
      <c r="AX200" s="96" t="s">
        <v>798</v>
      </c>
      <c r="AY200" s="97" t="s">
        <v>799</v>
      </c>
      <c r="AZ200" s="96" t="s">
        <v>800</v>
      </c>
      <c r="BA200" s="99" t="s">
        <v>801</v>
      </c>
      <c r="BB200" s="96" t="s">
        <v>802</v>
      </c>
      <c r="BC200" s="96"/>
      <c r="BD200" s="96"/>
      <c r="BE200" s="96"/>
      <c r="BF200" s="100"/>
      <c r="BG200" s="94">
        <f>SUM($AV$4:AV200)</f>
        <v>1586.5156768034562</v>
      </c>
      <c r="BH200" s="95">
        <f>SUM($AU$4:AU200)</f>
        <v>17439.979999999894</v>
      </c>
      <c r="BI200" s="80">
        <f>SUMIFS($AU$3:AU215,$Q$3:Q215,"F")</f>
        <v>9348.4000000000015</v>
      </c>
      <c r="BJ200" s="80">
        <f>SUMIFS($AU$3:AU215,$Q$3:Q215,"S")</f>
        <v>3503.9999999999918</v>
      </c>
      <c r="BK200" s="87">
        <f>SUMIFS($AU$3:AU215,$P$3:P215,"W")</f>
        <v>9197.579999999929</v>
      </c>
      <c r="BL200" s="87">
        <f>SUMIFS($AU$3:AU215,$P$3:P215,"R")</f>
        <v>5106</v>
      </c>
      <c r="BM200" s="87">
        <f>SUMIFS($AU$3:AU215,$AQ$3:AQ215,"M")</f>
        <v>5139.3799999995472</v>
      </c>
      <c r="BN200" s="87">
        <f>SUMIFS($AU$3:AU215,$AQ$3:AQ215,"H")</f>
        <v>3011.2000000002595</v>
      </c>
      <c r="BO200" s="87">
        <f>SUMIFS($AU$3:AU215,$AQ$3:AQ215,"D")</f>
        <v>2670.0000000000009</v>
      </c>
      <c r="BP200" s="87">
        <f>SUMIFS($AU$3:AU203,$AQ$3:AQ203,"W")</f>
        <v>4998.4000000000005</v>
      </c>
      <c r="BQ200" s="87">
        <f>SUMIFS($AU$3:AU215,$Q$3:Q215,"O")</f>
        <v>1770.5799999998073</v>
      </c>
      <c r="BR200" s="87">
        <f>SUMIFS($AU$3:AU215,$AA$3:AA215,"*")</f>
        <v>13843.799999999701</v>
      </c>
      <c r="BS200" s="87">
        <f>SUMIFS($AU$3:AU215,$AB$3:AB215,"*")</f>
        <v>4007.1799999999307</v>
      </c>
      <c r="BT200" s="87">
        <f>SUMIFS($AU$3:AU215,$AC$3:AC215,"*")</f>
        <v>7028.4</v>
      </c>
      <c r="BU200" s="87">
        <f>SUMIFS($AU$3:AU215,$AA$3:AA215,"*",$AB$3:AB215,"*")</f>
        <v>1855.9999999998222</v>
      </c>
      <c r="BV200" s="87">
        <f>SUMIFS($AU$3:AU215,$AA$3:AA215,"*",$AC$3:AC215,"*")</f>
        <v>6564.4</v>
      </c>
      <c r="BW200" s="87">
        <f>SUMIFS($AU$3:AU215,$AB$3:AB215,"*",$AC$3:AC215,"*")</f>
        <v>719.99999999999818</v>
      </c>
      <c r="BX200" s="87">
        <f>SUMIFS($AV$3:AV201,$Q$3:Q201,"F")</f>
        <v>214.02786430960344</v>
      </c>
      <c r="BY200" s="87">
        <f>SUMIFS($AV$3:AV201,$Q$3:Q201,"S")</f>
        <v>392.74781249396261</v>
      </c>
      <c r="BZ200" s="87">
        <f>SUMIFS($AV$3:AV201,$Q$3:Q201,"O")</f>
        <v>491.73999999988246</v>
      </c>
    </row>
    <row r="201" spans="1:78" ht="18" customHeight="1">
      <c r="A201" s="45" t="s">
        <v>567</v>
      </c>
      <c r="B201" s="59">
        <v>45336</v>
      </c>
      <c r="C201" s="46" t="s">
        <v>803</v>
      </c>
      <c r="D201" s="46" t="s">
        <v>186</v>
      </c>
      <c r="E201" s="66"/>
      <c r="F201" s="47"/>
      <c r="G201" s="48" t="s">
        <v>804</v>
      </c>
      <c r="H201" s="49"/>
      <c r="I201" s="49"/>
      <c r="J201" s="49"/>
      <c r="K201" s="50"/>
      <c r="L201" s="49"/>
      <c r="M201" s="49"/>
      <c r="N201" s="49"/>
      <c r="O201" s="50"/>
      <c r="P201" s="50"/>
      <c r="Q201" s="50"/>
      <c r="R201" s="50"/>
      <c r="S201" s="50"/>
      <c r="T201" s="50"/>
      <c r="U201" s="50"/>
      <c r="V201" s="50"/>
      <c r="W201" s="50"/>
      <c r="X201" s="50"/>
      <c r="Y201" s="51"/>
      <c r="Z201" s="52"/>
      <c r="AA201" s="52"/>
      <c r="AB201" s="52"/>
      <c r="AC201" s="52"/>
      <c r="AD201" s="231"/>
      <c r="AE201" s="49"/>
      <c r="AF201" s="84"/>
      <c r="AG201" s="49"/>
      <c r="AH201" s="49"/>
      <c r="AI201" s="49"/>
      <c r="AJ201" s="226"/>
      <c r="AK201" s="49"/>
      <c r="AL201" s="113">
        <f t="shared" ref="AL201:AL214" si="58">-0.02*Z201</f>
        <v>0</v>
      </c>
      <c r="AM201" s="113">
        <f t="shared" si="57"/>
        <v>0</v>
      </c>
      <c r="AN201" s="218"/>
      <c r="AO201" s="49"/>
      <c r="AP201" s="49"/>
      <c r="AQ201" s="84" t="str">
        <f>UPPER(RIGHT(Journal_Live[[#This Row],[DURATION ]]))</f>
        <v/>
      </c>
      <c r="AR201" s="49"/>
      <c r="AS201" s="55"/>
      <c r="AT201" s="55"/>
      <c r="AU201" s="54"/>
      <c r="AV201" s="56"/>
      <c r="AW201" s="57"/>
      <c r="AX201" s="96" t="s">
        <v>805</v>
      </c>
      <c r="AY201" s="96"/>
      <c r="AZ201" s="96"/>
      <c r="BA201" s="96"/>
      <c r="BB201" s="96"/>
      <c r="BC201" s="96"/>
      <c r="BD201" s="96"/>
      <c r="BE201" s="96"/>
      <c r="BF201" s="100"/>
      <c r="BG201" s="94">
        <f>SUM($AV$4:AV201)</f>
        <v>1586.5156768034562</v>
      </c>
      <c r="BH201" s="95">
        <f>SUM($AU$4:AU201)</f>
        <v>17439.979999999894</v>
      </c>
      <c r="BI201" s="80">
        <f>SUMIFS($AU$3:AU202,$Q$3:Q202,"F")</f>
        <v>8804.4000000000015</v>
      </c>
      <c r="BJ201" s="80">
        <f>SUMIFS($AU$3:AU202,$Q$3:Q202,"S")</f>
        <v>6415.9999999999927</v>
      </c>
      <c r="BK201" s="87">
        <f>SUMIFS($AU$3:AU202,$P$3:P202,"W")</f>
        <v>11565.579999999931</v>
      </c>
      <c r="BL201" s="87">
        <f>SUMIFS($AU$3:AU202,$P$3:P202,"R")</f>
        <v>4206</v>
      </c>
      <c r="BM201" s="87">
        <f>SUMIFS($AU$3:AU202,$AQ$3:AQ202,"M")</f>
        <v>4440.3799999996263</v>
      </c>
      <c r="BN201" s="87">
        <f>SUMIFS($AU$3:AU202,$AQ$3:AQ202,"H")</f>
        <v>5635.2000000002608</v>
      </c>
      <c r="BO201" s="87">
        <f>SUMIFS($AU$3:AU202,$AQ$3:AQ202,"D")</f>
        <v>2670.0000000000009</v>
      </c>
      <c r="BP201" s="87">
        <f>SUMIFS($AU$3:AU204,$AQ$3:AQ204,"W")</f>
        <v>4998.4000000000005</v>
      </c>
      <c r="BQ201" s="87">
        <f>SUMIFS($AU$3:AU202,$Q$3:Q202,"O")</f>
        <v>1683.5799999998865</v>
      </c>
      <c r="BR201" s="87">
        <f>SUMIFS($AU$3:AU202,$AA$3:AA202,"*")</f>
        <v>15224.799999999781</v>
      </c>
      <c r="BS201" s="87">
        <f>SUMIFS($AU$3:AU202,$AB$3:AB202,"*")</f>
        <v>5607.1799999999312</v>
      </c>
      <c r="BT201" s="87">
        <f>SUMIFS($AU$3:AU202,$AC$3:AC202,"*")</f>
        <v>8628.4</v>
      </c>
      <c r="BU201" s="87">
        <f>SUMIFS($AU$3:AU202,$AA$3:AA202,"*",$AB$3:AB202,"*")</f>
        <v>3455.9999999998226</v>
      </c>
      <c r="BV201" s="87">
        <f>SUMIFS($AU$3:AU202,$AA$3:AA202,"*",$AC$3:AC202,"*")</f>
        <v>8164.4000000000005</v>
      </c>
      <c r="BW201" s="87">
        <f>SUMIFS($AU$3:AU202,$AB$3:AB202,"*",$AC$3:AC202,"*")</f>
        <v>2319.9999999999986</v>
      </c>
      <c r="BX201" s="87">
        <f>SUMIFS($AV$3:AV202,$Q$3:Q202,"F")</f>
        <v>214.02786430960344</v>
      </c>
      <c r="BY201" s="87">
        <f>SUMIFS($AV$3:AV202,$Q$3:Q202,"S")</f>
        <v>392.74781249396261</v>
      </c>
      <c r="BZ201" s="87">
        <f>SUMIFS($AV$3:AV202,$Q$3:Q202,"O")</f>
        <v>491.73999999988246</v>
      </c>
    </row>
    <row r="202" spans="1:78" ht="18" customHeight="1">
      <c r="A202" s="45" t="s">
        <v>567</v>
      </c>
      <c r="B202" s="59">
        <v>45336</v>
      </c>
      <c r="C202" s="46" t="s">
        <v>803</v>
      </c>
      <c r="D202" s="46" t="s">
        <v>186</v>
      </c>
      <c r="E202" s="66"/>
      <c r="F202" s="47"/>
      <c r="G202" s="48" t="s">
        <v>181</v>
      </c>
      <c r="H202" s="49"/>
      <c r="I202" s="49"/>
      <c r="J202" s="49"/>
      <c r="K202" s="50"/>
      <c r="L202" s="49"/>
      <c r="M202" s="49"/>
      <c r="N202" s="49"/>
      <c r="O202" s="50"/>
      <c r="P202" s="50"/>
      <c r="Q202" s="50"/>
      <c r="R202" s="50"/>
      <c r="S202" s="50"/>
      <c r="T202" s="50"/>
      <c r="U202" s="50"/>
      <c r="V202" s="50"/>
      <c r="W202" s="50"/>
      <c r="X202" s="50"/>
      <c r="Y202" s="51"/>
      <c r="Z202" s="52"/>
      <c r="AA202" s="52"/>
      <c r="AB202" s="52"/>
      <c r="AC202" s="52"/>
      <c r="AD202" s="231"/>
      <c r="AE202" s="49"/>
      <c r="AF202" s="84"/>
      <c r="AG202" s="49"/>
      <c r="AH202" s="49"/>
      <c r="AI202" s="49"/>
      <c r="AJ202" s="226"/>
      <c r="AK202" s="49"/>
      <c r="AL202" s="113">
        <f t="shared" si="58"/>
        <v>0</v>
      </c>
      <c r="AM202" s="113">
        <f t="shared" si="57"/>
        <v>0</v>
      </c>
      <c r="AN202" s="218"/>
      <c r="AO202" s="49"/>
      <c r="AP202" s="49"/>
      <c r="AQ202" s="84" t="str">
        <f>UPPER(RIGHT(Journal_Live[[#This Row],[DURATION ]]))</f>
        <v/>
      </c>
      <c r="AR202" s="49"/>
      <c r="AS202" s="55"/>
      <c r="AT202" s="55"/>
      <c r="AU202" s="54"/>
      <c r="AV202" s="56"/>
      <c r="AW202" s="57"/>
      <c r="AX202" s="97" t="s">
        <v>806</v>
      </c>
      <c r="AY202" s="96"/>
      <c r="AZ202" s="96"/>
      <c r="BA202" s="96"/>
      <c r="BB202" s="96"/>
      <c r="BC202" s="96"/>
      <c r="BD202" s="96"/>
      <c r="BE202" s="96"/>
      <c r="BF202" s="100"/>
      <c r="BG202" s="94">
        <f>SUM($AV$4:AV202)</f>
        <v>1586.5156768034562</v>
      </c>
      <c r="BH202" s="95">
        <f>SUM($AU$4:AU202)</f>
        <v>17439.979999999894</v>
      </c>
      <c r="BI202" s="80">
        <f>SUMIFS($AU$3:AU203,$Q$3:Q203,"F")</f>
        <v>8804.4000000000015</v>
      </c>
      <c r="BJ202" s="80">
        <f>SUMIFS($AU$3:AU203,$Q$3:Q203,"S")</f>
        <v>6415.9999999999927</v>
      </c>
      <c r="BK202" s="87">
        <f>SUMIFS($AU$3:AU203,$P$3:P203,"W")</f>
        <v>11565.579999999931</v>
      </c>
      <c r="BL202" s="87">
        <f>SUMIFS($AU$3:AU203,$P$3:P203,"R")</f>
        <v>4206</v>
      </c>
      <c r="BM202" s="87">
        <f>SUMIFS($AU$3:AU203,$AQ$3:AQ203,"M")</f>
        <v>4440.3799999996263</v>
      </c>
      <c r="BN202" s="87">
        <f>SUMIFS($AU$3:AU203,$AQ$3:AQ203,"H")</f>
        <v>5635.2000000002608</v>
      </c>
      <c r="BO202" s="87">
        <f>SUMIFS($AU$3:AU203,$AQ$3:AQ203,"D")</f>
        <v>2670.0000000000009</v>
      </c>
      <c r="BP202" s="87">
        <f>SUMIFS($AU$3:AU205,$AQ$3:AQ205,"W")</f>
        <v>4998.4000000000005</v>
      </c>
      <c r="BQ202" s="87">
        <f>SUMIFS($AU$3:AU203,$Q$3:Q203,"O")</f>
        <v>1683.5799999998865</v>
      </c>
      <c r="BR202" s="87">
        <f>SUMIFS($AU$3:AU203,$AA$3:AA203,"*")</f>
        <v>15224.799999999781</v>
      </c>
      <c r="BS202" s="87">
        <f>SUMIFS($AU$3:AU203,$AB$3:AB203,"*")</f>
        <v>5607.1799999999312</v>
      </c>
      <c r="BT202" s="87">
        <f>SUMIFS($AU$3:AU203,$AC$3:AC203,"*")</f>
        <v>8628.4</v>
      </c>
      <c r="BU202" s="87">
        <f>SUMIFS($AU$3:AU203,$AA$3:AA203,"*",$AB$3:AB203,"*")</f>
        <v>3455.9999999998226</v>
      </c>
      <c r="BV202" s="87">
        <f>SUMIFS($AU$3:AU203,$AA$3:AA203,"*",$AC$3:AC203,"*")</f>
        <v>8164.4000000000005</v>
      </c>
      <c r="BW202" s="87">
        <f>SUMIFS($AU$3:AU203,$AB$3:AB203,"*",$AC$3:AC203,"*")</f>
        <v>2319.9999999999986</v>
      </c>
      <c r="BX202" s="87">
        <f>SUMIFS($AV$3:AV203,$Q$3:Q203,"F")</f>
        <v>214.02786430960344</v>
      </c>
      <c r="BY202" s="87">
        <f>SUMIFS($AV$3:AV203,$Q$3:Q203,"S")</f>
        <v>392.74781249396261</v>
      </c>
      <c r="BZ202" s="87">
        <f>SUMIFS($AV$3:AV203,$Q$3:Q203,"O")</f>
        <v>491.73999999988246</v>
      </c>
    </row>
    <row r="203" spans="1:78" ht="18" customHeight="1">
      <c r="A203" s="45" t="s">
        <v>567</v>
      </c>
      <c r="B203" s="59">
        <v>45336</v>
      </c>
      <c r="C203" s="46" t="s">
        <v>807</v>
      </c>
      <c r="D203" s="46" t="s">
        <v>186</v>
      </c>
      <c r="E203" s="66"/>
      <c r="F203" s="47"/>
      <c r="G203" s="48" t="s">
        <v>181</v>
      </c>
      <c r="H203" s="49"/>
      <c r="I203" s="49"/>
      <c r="J203" s="49"/>
      <c r="K203" s="50"/>
      <c r="L203" s="49"/>
      <c r="M203" s="49"/>
      <c r="N203" s="49"/>
      <c r="O203" s="50"/>
      <c r="P203" s="50"/>
      <c r="Q203" s="50"/>
      <c r="R203" s="50"/>
      <c r="S203" s="50"/>
      <c r="T203" s="50"/>
      <c r="U203" s="50"/>
      <c r="V203" s="50"/>
      <c r="W203" s="50"/>
      <c r="X203" s="50"/>
      <c r="Y203" s="51"/>
      <c r="Z203" s="52"/>
      <c r="AA203" s="52"/>
      <c r="AB203" s="52"/>
      <c r="AC203" s="52"/>
      <c r="AD203" s="231"/>
      <c r="AE203" s="49"/>
      <c r="AF203" s="84"/>
      <c r="AG203" s="49"/>
      <c r="AH203" s="49"/>
      <c r="AI203" s="49"/>
      <c r="AJ203" s="226"/>
      <c r="AK203" s="49"/>
      <c r="AL203" s="113">
        <f t="shared" si="58"/>
        <v>0</v>
      </c>
      <c r="AM203" s="113">
        <f t="shared" si="57"/>
        <v>0</v>
      </c>
      <c r="AN203" s="218"/>
      <c r="AO203" s="49"/>
      <c r="AP203" s="49"/>
      <c r="AQ203" s="84" t="str">
        <f>UPPER(RIGHT(Journal_Live[[#This Row],[DURATION ]]))</f>
        <v/>
      </c>
      <c r="AR203" s="49"/>
      <c r="AS203" s="55"/>
      <c r="AT203" s="55"/>
      <c r="AU203" s="54"/>
      <c r="AV203" s="56"/>
      <c r="AW203" s="57"/>
      <c r="AX203" s="96"/>
      <c r="AY203" s="96"/>
      <c r="AZ203" s="96"/>
      <c r="BA203" s="96"/>
      <c r="BB203" s="96"/>
      <c r="BC203" s="96"/>
      <c r="BD203" s="96"/>
      <c r="BE203" s="96"/>
      <c r="BF203" s="100"/>
      <c r="BG203" s="94">
        <f>SUM($AV$4:AV203)</f>
        <v>1586.5156768034562</v>
      </c>
      <c r="BH203" s="95">
        <f>SUM($AU$4:AU203)</f>
        <v>17439.979999999894</v>
      </c>
      <c r="BI203" s="80">
        <f>SUMIFS($AU$3:AU204,$Q$3:Q204,"F")</f>
        <v>8804.4000000000015</v>
      </c>
      <c r="BJ203" s="80">
        <f>SUMIFS($AU$3:AU204,$Q$3:Q204,"S")</f>
        <v>4815.9999999999927</v>
      </c>
      <c r="BK203" s="87">
        <f>SUMIFS($AU$3:AU204,$P$3:P204,"W")</f>
        <v>9965.5799999999308</v>
      </c>
      <c r="BL203" s="87">
        <f>SUMIFS($AU$3:AU204,$P$3:P204,"R")</f>
        <v>4206</v>
      </c>
      <c r="BM203" s="87">
        <f>SUMIFS($AU$3:AU204,$AQ$3:AQ204,"M")</f>
        <v>4440.3799999996263</v>
      </c>
      <c r="BN203" s="87">
        <f>SUMIFS($AU$3:AU204,$AQ$3:AQ204,"H")</f>
        <v>4035.2000000002604</v>
      </c>
      <c r="BO203" s="87">
        <f>SUMIFS($AU$3:AU204,$AQ$3:AQ204,"D")</f>
        <v>2670.0000000000009</v>
      </c>
      <c r="BP203" s="87">
        <f>SUMIFS($AU$3:AU206,$AQ$3:AQ206,"W")</f>
        <v>4998.4000000000005</v>
      </c>
      <c r="BQ203" s="87">
        <f>SUMIFS($AU$3:AU204,$Q$3:Q204,"O")</f>
        <v>1683.5799999998865</v>
      </c>
      <c r="BR203" s="87">
        <f>SUMIFS($AU$3:AU204,$AA$3:AA204,"*")</f>
        <v>13624.799999999781</v>
      </c>
      <c r="BS203" s="87">
        <f>SUMIFS($AU$3:AU204,$AB$3:AB204,"*")</f>
        <v>4007.1799999999307</v>
      </c>
      <c r="BT203" s="87">
        <f>SUMIFS($AU$3:AU204,$AC$3:AC204,"*")</f>
        <v>7028.4</v>
      </c>
      <c r="BU203" s="87">
        <f>SUMIFS($AU$3:AU204,$AA$3:AA204,"*",$AB$3:AB204,"*")</f>
        <v>1855.9999999998222</v>
      </c>
      <c r="BV203" s="87">
        <f>SUMIFS($AU$3:AU204,$AA$3:AA204,"*",$AC$3:AC204,"*")</f>
        <v>6564.4</v>
      </c>
      <c r="BW203" s="87">
        <f>SUMIFS($AU$3:AU204,$AB$3:AB204,"*",$AC$3:AC204,"*")</f>
        <v>719.99999999999818</v>
      </c>
      <c r="BX203" s="87">
        <f>SUMIFS($AV$3:AV204,$Q$3:Q204,"F")</f>
        <v>214.02786430960344</v>
      </c>
      <c r="BY203" s="87">
        <f>SUMIFS($AV$3:AV204,$Q$3:Q204,"S")</f>
        <v>328.74781249396261</v>
      </c>
      <c r="BZ203" s="87">
        <f>SUMIFS($AV$3:AV204,$Q$3:Q204,"O")</f>
        <v>491.73999999988246</v>
      </c>
    </row>
    <row r="204" spans="1:78" ht="18" customHeight="1">
      <c r="A204" s="45" t="s">
        <v>567</v>
      </c>
      <c r="B204" s="59">
        <v>45336</v>
      </c>
      <c r="C204" s="46" t="s">
        <v>808</v>
      </c>
      <c r="D204" s="46" t="s">
        <v>186</v>
      </c>
      <c r="E204" s="66"/>
      <c r="F204" s="47"/>
      <c r="G204" s="106" t="s">
        <v>111</v>
      </c>
      <c r="H204" s="49"/>
      <c r="I204" s="49"/>
      <c r="J204" s="49"/>
      <c r="K204" s="50"/>
      <c r="L204" s="49">
        <v>1</v>
      </c>
      <c r="M204" s="49"/>
      <c r="N204" s="49"/>
      <c r="O204" s="50" t="s">
        <v>100</v>
      </c>
      <c r="P204" s="50" t="s">
        <v>101</v>
      </c>
      <c r="Q204" s="50" t="s">
        <v>102</v>
      </c>
      <c r="R204" s="50">
        <v>25</v>
      </c>
      <c r="S204" s="50">
        <v>0</v>
      </c>
      <c r="T204" s="50">
        <v>25</v>
      </c>
      <c r="U204" s="50" t="s">
        <v>22</v>
      </c>
      <c r="V204" s="50"/>
      <c r="W204" s="50"/>
      <c r="X204" s="50"/>
      <c r="Y204" s="51">
        <f>IF(ISBLANK(O204),"",(IF(O204=UPPER("IB"),0.005,0.01)))</f>
        <v>0.01</v>
      </c>
      <c r="Z204" s="52">
        <f>IF(ISBLANK(O204),"",IF(O204="IB",8.63*200,IF(O204="IR",16*100,IF(O204="YT",20*100,IF(O204="YT-XT",24*200,IF(O204="TED",80*100))))))</f>
        <v>1600</v>
      </c>
      <c r="AA204" s="52" t="s">
        <v>177</v>
      </c>
      <c r="AB204" s="52" t="s">
        <v>809</v>
      </c>
      <c r="AC204" s="52" t="s">
        <v>810</v>
      </c>
      <c r="AD204" s="231">
        <v>-0.06</v>
      </c>
      <c r="AE204" s="49"/>
      <c r="AF204" s="84"/>
      <c r="AG204" s="49"/>
      <c r="AH204" s="49"/>
      <c r="AI204" s="49"/>
      <c r="AJ204" s="226"/>
      <c r="AK204" s="49"/>
      <c r="AL204" s="113">
        <f>-0.02*Z204</f>
        <v>-32</v>
      </c>
      <c r="AM204" s="113">
        <f t="shared" si="57"/>
        <v>-800</v>
      </c>
      <c r="AN204" s="218"/>
      <c r="AO204" s="49"/>
      <c r="AP204" s="49"/>
      <c r="AQ204" s="84" t="s">
        <v>142</v>
      </c>
      <c r="AR204" s="49" t="s">
        <v>811</v>
      </c>
      <c r="AS204" s="55">
        <v>-0.1</v>
      </c>
      <c r="AT204" s="55">
        <f>IF(ISBLANK(AS204),,IF(U204="S",AD204-AS204,AS204-AD204))</f>
        <v>-4.0000000000000008E-2</v>
      </c>
      <c r="AU204" s="54">
        <f>AV204*R204</f>
        <v>-1600.0000000000005</v>
      </c>
      <c r="AV204" s="56">
        <f t="shared" si="55"/>
        <v>-64.000000000000014</v>
      </c>
      <c r="AW204" s="57" t="s">
        <v>121</v>
      </c>
      <c r="AX204" s="96" t="s">
        <v>812</v>
      </c>
      <c r="AY204" s="96" t="s">
        <v>813</v>
      </c>
      <c r="AZ204" s="96" t="s">
        <v>814</v>
      </c>
      <c r="BA204" s="96"/>
      <c r="BB204" s="96"/>
      <c r="BC204" s="96"/>
      <c r="BD204" s="96" t="s">
        <v>815</v>
      </c>
      <c r="BE204" s="96"/>
      <c r="BF204" s="100"/>
      <c r="BG204" s="94">
        <f>SUM($AV$4:AV204)</f>
        <v>1522.5156768034562</v>
      </c>
      <c r="BH204" s="95">
        <f>SUM($AU$4:AU204)</f>
        <v>15839.979999999894</v>
      </c>
      <c r="BI204" s="80">
        <f>SUMIFS($AU$3:AU205,$Q$3:Q205,"F")</f>
        <v>8804.4000000000015</v>
      </c>
      <c r="BJ204" s="80">
        <f>SUMIFS($AU$3:AU205,$Q$3:Q205,"S")</f>
        <v>4815.9999999999927</v>
      </c>
      <c r="BK204" s="87">
        <f>SUMIFS($AU$3:AU205,$P$3:P205,"W")</f>
        <v>9965.5799999999308</v>
      </c>
      <c r="BL204" s="87">
        <f>SUMIFS($AU$3:AU205,$P$3:P205,"R")</f>
        <v>4206</v>
      </c>
      <c r="BM204" s="87">
        <f>SUMIFS($AU$3:AU205,$AQ$3:AQ205,"M")</f>
        <v>4440.3799999996263</v>
      </c>
      <c r="BN204" s="87">
        <f>SUMIFS($AU$3:AU205,$AQ$3:AQ205,"H")</f>
        <v>4035.2000000002604</v>
      </c>
      <c r="BO204" s="87">
        <f>SUMIFS($AU$3:AU205,$AQ$3:AQ205,"D")</f>
        <v>2670.0000000000009</v>
      </c>
      <c r="BP204" s="87">
        <f>SUMIFS($AU$3:AU207,$AQ$3:AQ207,"W")</f>
        <v>4998.4000000000005</v>
      </c>
      <c r="BQ204" s="87">
        <f>SUMIFS($AU$3:AU205,$Q$3:Q205,"O")</f>
        <v>1683.5799999998865</v>
      </c>
      <c r="BR204" s="87">
        <f>SUMIFS($AU$3:AU205,$AA$3:AA205,"*")</f>
        <v>13624.799999999781</v>
      </c>
      <c r="BS204" s="87">
        <f>SUMIFS($AU$3:AU205,$AB$3:AB205,"*")</f>
        <v>4007.1799999999307</v>
      </c>
      <c r="BT204" s="87">
        <f>SUMIFS($AU$3:AU205,$AC$3:AC205,"*")</f>
        <v>7028.4</v>
      </c>
      <c r="BU204" s="87">
        <f>SUMIFS($AU$3:AU205,$AA$3:AA205,"*",$AB$3:AB205,"*")</f>
        <v>1855.9999999998222</v>
      </c>
      <c r="BV204" s="87">
        <f>SUMIFS($AU$3:AU205,$AA$3:AA205,"*",$AC$3:AC205,"*")</f>
        <v>6564.4</v>
      </c>
      <c r="BW204" s="87">
        <f>SUMIFS($AU$3:AU205,$AB$3:AB205,"*",$AC$3:AC205,"*")</f>
        <v>719.99999999999818</v>
      </c>
      <c r="BX204" s="87">
        <f>SUMIFS($AV$3:AV205,$Q$3:Q205,"F")</f>
        <v>214.02786430960344</v>
      </c>
      <c r="BY204" s="87">
        <f>SUMIFS($AV$3:AV205,$Q$3:Q205,"S")</f>
        <v>328.74781249396261</v>
      </c>
      <c r="BZ204" s="87">
        <f>SUMIFS($AV$3:AV205,$Q$3:Q205,"O")</f>
        <v>491.73999999988246</v>
      </c>
    </row>
    <row r="205" spans="1:78" ht="18" customHeight="1">
      <c r="A205" s="45" t="s">
        <v>567</v>
      </c>
      <c r="B205" s="59">
        <v>45337</v>
      </c>
      <c r="C205" s="46" t="s">
        <v>816</v>
      </c>
      <c r="D205" s="46" t="s">
        <v>107</v>
      </c>
      <c r="E205" s="66" t="s">
        <v>817</v>
      </c>
      <c r="F205" s="47" t="s">
        <v>818</v>
      </c>
      <c r="G205" s="48"/>
      <c r="H205" s="49"/>
      <c r="I205" s="49"/>
      <c r="J205" s="49"/>
      <c r="K205" s="50"/>
      <c r="L205" s="49"/>
      <c r="M205" s="49"/>
      <c r="N205" s="49"/>
      <c r="O205" s="50"/>
      <c r="P205" s="50"/>
      <c r="Q205" s="50"/>
      <c r="R205" s="50"/>
      <c r="S205" s="50"/>
      <c r="T205" s="50"/>
      <c r="U205" s="50"/>
      <c r="V205" s="50"/>
      <c r="W205" s="50"/>
      <c r="X205" s="50"/>
      <c r="Y205" s="51"/>
      <c r="Z205" s="52"/>
      <c r="AA205" s="52"/>
      <c r="AB205" s="52"/>
      <c r="AC205" s="52"/>
      <c r="AD205" s="231"/>
      <c r="AE205" s="49"/>
      <c r="AF205" s="84"/>
      <c r="AG205" s="49"/>
      <c r="AH205" s="49"/>
      <c r="AI205" s="49"/>
      <c r="AJ205" s="226"/>
      <c r="AK205" s="49"/>
      <c r="AL205" s="113">
        <f t="shared" si="58"/>
        <v>0</v>
      </c>
      <c r="AM205" s="113">
        <f t="shared" si="57"/>
        <v>0</v>
      </c>
      <c r="AN205" s="218"/>
      <c r="AO205" s="49"/>
      <c r="AP205" s="49"/>
      <c r="AQ205" s="84" t="str">
        <f>UPPER(RIGHT(Journal_Live[[#This Row],[DURATION ]]))</f>
        <v/>
      </c>
      <c r="AR205" s="49"/>
      <c r="AS205" s="55"/>
      <c r="AT205" s="55"/>
      <c r="AU205" s="54"/>
      <c r="AV205" s="56"/>
      <c r="AW205" s="57"/>
      <c r="AX205" s="96" t="s">
        <v>819</v>
      </c>
      <c r="AY205" s="96" t="s">
        <v>820</v>
      </c>
      <c r="AZ205" s="96" t="s">
        <v>821</v>
      </c>
      <c r="BA205" s="96" t="s">
        <v>822</v>
      </c>
      <c r="BB205" s="96"/>
      <c r="BC205" s="96"/>
      <c r="BD205" s="96"/>
      <c r="BE205" s="96"/>
      <c r="BF205" s="100"/>
      <c r="BG205" s="94">
        <f>SUM($AV$4:AV205)</f>
        <v>1522.5156768034562</v>
      </c>
      <c r="BH205" s="95">
        <f>SUM($AU$4:AU205)</f>
        <v>15839.979999999894</v>
      </c>
      <c r="BI205" s="80">
        <f>SUMIFS($AU$3:AU206,$Q$3:Q206,"F")</f>
        <v>8804.4000000000015</v>
      </c>
      <c r="BJ205" s="80">
        <f>SUMIFS($AU$3:AU206,$Q$3:Q206,"S")</f>
        <v>4815.9999999999927</v>
      </c>
      <c r="BK205" s="87">
        <f>SUMIFS($AU$3:AU206,$P$3:P206,"W")</f>
        <v>9965.5799999999308</v>
      </c>
      <c r="BL205" s="87">
        <f>SUMIFS($AU$3:AU206,$P$3:P206,"R")</f>
        <v>4206</v>
      </c>
      <c r="BM205" s="87">
        <f>SUMIFS($AU$3:AU206,$AQ$3:AQ206,"M")</f>
        <v>4440.3799999996263</v>
      </c>
      <c r="BN205" s="87">
        <f>SUMIFS($AU$3:AU206,$AQ$3:AQ206,"H")</f>
        <v>4035.2000000002604</v>
      </c>
      <c r="BO205" s="87">
        <f>SUMIFS($AU$3:AU206,$AQ$3:AQ206,"D")</f>
        <v>2670.0000000000009</v>
      </c>
      <c r="BP205" s="87">
        <f>SUMIFS($AU$3:AU208,$AQ$3:AQ208,"W")</f>
        <v>4998.4000000000005</v>
      </c>
      <c r="BQ205" s="87">
        <f>SUMIFS($AU$3:AU206,$Q$3:Q206,"O")</f>
        <v>1683.5799999998865</v>
      </c>
      <c r="BR205" s="87">
        <f>SUMIFS($AU$3:AU206,$AA$3:AA206,"*")</f>
        <v>13624.799999999781</v>
      </c>
      <c r="BS205" s="87">
        <f>SUMIFS($AU$3:AU206,$AB$3:AB206,"*")</f>
        <v>4007.1799999999307</v>
      </c>
      <c r="BT205" s="87">
        <f>SUMIFS($AU$3:AU206,$AC$3:AC206,"*")</f>
        <v>7028.4</v>
      </c>
      <c r="BU205" s="87">
        <f>SUMIFS($AU$3:AU206,$AA$3:AA206,"*",$AB$3:AB206,"*")</f>
        <v>1855.9999999998222</v>
      </c>
      <c r="BV205" s="87">
        <f>SUMIFS($AU$3:AU206,$AA$3:AA206,"*",$AC$3:AC206,"*")</f>
        <v>6564.4</v>
      </c>
      <c r="BW205" s="87">
        <f>SUMIFS($AU$3:AU206,$AB$3:AB206,"*",$AC$3:AC206,"*")</f>
        <v>719.99999999999818</v>
      </c>
      <c r="BX205" s="87">
        <f>SUMIFS($AV$3:AV206,$Q$3:Q206,"F")</f>
        <v>214.02786430960344</v>
      </c>
      <c r="BY205" s="87">
        <f>SUMIFS($AV$3:AV206,$Q$3:Q206,"S")</f>
        <v>328.74781249396261</v>
      </c>
      <c r="BZ205" s="87">
        <f>SUMIFS($AV$3:AV206,$Q$3:Q206,"O")</f>
        <v>491.73999999988246</v>
      </c>
    </row>
    <row r="206" spans="1:78" ht="18" customHeight="1">
      <c r="A206" s="45" t="s">
        <v>567</v>
      </c>
      <c r="B206" s="59">
        <v>45337</v>
      </c>
      <c r="C206" s="46" t="s">
        <v>470</v>
      </c>
      <c r="D206" s="46" t="s">
        <v>107</v>
      </c>
      <c r="E206" s="66" t="s">
        <v>823</v>
      </c>
      <c r="F206" s="47" t="s">
        <v>824</v>
      </c>
      <c r="G206" s="48"/>
      <c r="H206" s="49"/>
      <c r="I206" s="49"/>
      <c r="J206" s="49">
        <v>1</v>
      </c>
      <c r="K206" s="50" t="s">
        <v>155</v>
      </c>
      <c r="L206" s="49"/>
      <c r="M206" s="49"/>
      <c r="N206" s="49"/>
      <c r="O206" s="50"/>
      <c r="P206" s="50"/>
      <c r="Q206" s="50"/>
      <c r="R206" s="50"/>
      <c r="S206" s="50"/>
      <c r="T206" s="50"/>
      <c r="U206" s="50"/>
      <c r="V206" s="50"/>
      <c r="W206" s="50"/>
      <c r="X206" s="50"/>
      <c r="Y206" s="51"/>
      <c r="Z206" s="52"/>
      <c r="AA206" s="52"/>
      <c r="AB206" s="52"/>
      <c r="AC206" s="52"/>
      <c r="AD206" s="231"/>
      <c r="AE206" s="49"/>
      <c r="AF206" s="84"/>
      <c r="AG206" s="49"/>
      <c r="AH206" s="49"/>
      <c r="AI206" s="49"/>
      <c r="AJ206" s="226"/>
      <c r="AK206" s="49"/>
      <c r="AL206" s="113">
        <f t="shared" si="58"/>
        <v>0</v>
      </c>
      <c r="AM206" s="113">
        <f t="shared" si="57"/>
        <v>0</v>
      </c>
      <c r="AN206" s="218"/>
      <c r="AO206" s="49"/>
      <c r="AP206" s="49"/>
      <c r="AQ206" s="84" t="str">
        <f>UPPER(RIGHT(Journal_Live[[#This Row],[DURATION ]]))</f>
        <v/>
      </c>
      <c r="AR206" s="49"/>
      <c r="AS206" s="55"/>
      <c r="AT206" s="55"/>
      <c r="AU206" s="54"/>
      <c r="AV206" s="56"/>
      <c r="AW206" s="57"/>
      <c r="AX206" s="96"/>
      <c r="AY206" s="96"/>
      <c r="AZ206" s="96"/>
      <c r="BA206" s="96"/>
      <c r="BB206" s="96"/>
      <c r="BC206" s="96"/>
      <c r="BD206" s="96"/>
      <c r="BE206" s="96"/>
      <c r="BF206" s="100"/>
      <c r="BG206" s="94">
        <f>SUM($AV$4:AV206)</f>
        <v>1522.5156768034562</v>
      </c>
      <c r="BH206" s="95">
        <f>SUM($AU$4:AU206)</f>
        <v>15839.979999999894</v>
      </c>
      <c r="BI206" s="80">
        <f>SUMIFS($AU$3:AU214,$Q$3:Q214,"F")</f>
        <v>9348.4000000000015</v>
      </c>
      <c r="BJ206" s="80">
        <f>SUMIFS($AU$3:AU214,$Q$3:Q214,"S")</f>
        <v>3503.9999999999918</v>
      </c>
      <c r="BK206" s="87">
        <f>SUMIFS($AU$3:AU214,$P$3:P214,"W")</f>
        <v>9197.579999999929</v>
      </c>
      <c r="BL206" s="87">
        <f>SUMIFS($AU$3:AU214,$P$3:P214,"R")</f>
        <v>5106</v>
      </c>
      <c r="BM206" s="87">
        <f>SUMIFS($AU$3:AU214,$AQ$3:AQ214,"M")</f>
        <v>5139.3799999995472</v>
      </c>
      <c r="BN206" s="87">
        <f>SUMIFS($AU$3:AU214,$AQ$3:AQ214,"H")</f>
        <v>3011.2000000002595</v>
      </c>
      <c r="BO206" s="87">
        <f>SUMIFS($AU$3:AU214,$AQ$3:AQ214,"D")</f>
        <v>2670.0000000000009</v>
      </c>
      <c r="BP206" s="87">
        <f>SUMIFS($AU$3:AU209,$AQ$3:AQ209,"W")</f>
        <v>4998.4000000000005</v>
      </c>
      <c r="BQ206" s="87">
        <f>SUMIFS($AU$3:AU214,$Q$3:Q214,"O")</f>
        <v>1770.5799999998073</v>
      </c>
      <c r="BR206" s="87">
        <f>SUMIFS($AU$3:AU214,$AA$3:AA214,"*")</f>
        <v>13843.799999999701</v>
      </c>
      <c r="BS206" s="87">
        <f>SUMIFS($AU$3:AU214,$AB$3:AB214,"*")</f>
        <v>4007.1799999999307</v>
      </c>
      <c r="BT206" s="87">
        <f>SUMIFS($AU$3:AU214,$AC$3:AC214,"*")</f>
        <v>7028.4</v>
      </c>
      <c r="BU206" s="87">
        <f>SUMIFS($AU$3:AU214,$AA$3:AA214,"*",$AB$3:AB214,"*")</f>
        <v>1855.9999999998222</v>
      </c>
      <c r="BV206" s="87">
        <f>SUMIFS($AU$3:AU214,$AA$3:AA214,"*",$AC$3:AC214,"*")</f>
        <v>6564.4</v>
      </c>
      <c r="BW206" s="87">
        <f>SUMIFS($AU$3:AU214,$AB$3:AB214,"*",$AC$3:AC214,"*")</f>
        <v>719.99999999999818</v>
      </c>
      <c r="BX206" s="87">
        <f>SUMIFS($AV$3:AV207,$Q$3:Q207,"F")</f>
        <v>214.02786430960344</v>
      </c>
      <c r="BY206" s="87">
        <f>SUMIFS($AV$3:AV207,$Q$3:Q207,"S")</f>
        <v>328.74781249396261</v>
      </c>
      <c r="BZ206" s="87">
        <f>SUMIFS($AV$3:AV207,$Q$3:Q207,"O")</f>
        <v>491.73999999988246</v>
      </c>
    </row>
    <row r="207" spans="1:78" ht="18" customHeight="1">
      <c r="A207" s="45" t="s">
        <v>567</v>
      </c>
      <c r="B207" s="59"/>
      <c r="C207" s="46"/>
      <c r="D207" s="46"/>
      <c r="E207" s="66" t="s">
        <v>825</v>
      </c>
      <c r="F207" s="47" t="s">
        <v>826</v>
      </c>
      <c r="G207" s="48"/>
      <c r="H207" s="49">
        <v>1</v>
      </c>
      <c r="I207" s="49"/>
      <c r="J207" s="49"/>
      <c r="K207" s="50" t="s">
        <v>155</v>
      </c>
      <c r="L207" s="49"/>
      <c r="M207" s="49"/>
      <c r="N207" s="49"/>
      <c r="O207" s="50"/>
      <c r="P207" s="50"/>
      <c r="Q207" s="50"/>
      <c r="R207" s="50"/>
      <c r="S207" s="50"/>
      <c r="T207" s="50"/>
      <c r="U207" s="50"/>
      <c r="V207" s="50"/>
      <c r="W207" s="50"/>
      <c r="X207" s="50"/>
      <c r="Y207" s="51"/>
      <c r="Z207" s="52"/>
      <c r="AA207" s="52"/>
      <c r="AB207" s="52"/>
      <c r="AC207" s="52"/>
      <c r="AD207" s="231"/>
      <c r="AE207" s="49"/>
      <c r="AF207" s="84"/>
      <c r="AG207" s="49"/>
      <c r="AH207" s="49"/>
      <c r="AI207" s="49"/>
      <c r="AJ207" s="226"/>
      <c r="AK207" s="49"/>
      <c r="AL207" s="113">
        <f t="shared" ref="AL207:AL211" si="59">-0.02*Z207</f>
        <v>0</v>
      </c>
      <c r="AM207" s="113">
        <f t="shared" si="57"/>
        <v>0</v>
      </c>
      <c r="AN207" s="218"/>
      <c r="AO207" s="49"/>
      <c r="AP207" s="49"/>
      <c r="AQ207" s="84" t="str">
        <f>UPPER(RIGHT(Journal_Live[[#This Row],[DURATION ]]))</f>
        <v/>
      </c>
      <c r="AR207" s="49"/>
      <c r="AS207" s="55"/>
      <c r="AT207" s="55"/>
      <c r="AU207" s="54"/>
      <c r="AV207" s="56"/>
      <c r="AW207" s="57"/>
      <c r="AX207" s="96"/>
      <c r="AY207" s="96"/>
      <c r="AZ207" s="96"/>
      <c r="BA207" s="96"/>
      <c r="BB207" s="96"/>
      <c r="BC207" s="96"/>
      <c r="BD207" s="96"/>
      <c r="BE207" s="96"/>
      <c r="BF207" s="100"/>
      <c r="BG207" s="94">
        <f>SUM($AV$4:AV207)</f>
        <v>1522.5156768034562</v>
      </c>
      <c r="BH207" s="95">
        <f>SUM($AU$4:AU207)</f>
        <v>15839.979999999894</v>
      </c>
      <c r="BI207" s="80">
        <f>SUMIFS($AU$3:AU208,$Q$3:Q208,"F")</f>
        <v>8804.4000000000015</v>
      </c>
      <c r="BJ207" s="80">
        <f>SUMIFS($AU$3:AU208,$Q$3:Q208,"S")</f>
        <v>4527.9999999999927</v>
      </c>
      <c r="BK207" s="87">
        <f>SUMIFS($AU$3:AU208,$P$3:P208,"W")</f>
        <v>9677.5799999999308</v>
      </c>
      <c r="BL207" s="87">
        <f>SUMIFS($AU$3:AU208,$P$3:P208,"R")</f>
        <v>4206</v>
      </c>
      <c r="BM207" s="87">
        <f>SUMIFS($AU$3:AU208,$AQ$3:AQ208,"M")</f>
        <v>4152.3799999996263</v>
      </c>
      <c r="BN207" s="87">
        <f>SUMIFS($AU$3:AU208,$AQ$3:AQ208,"H")</f>
        <v>4035.2000000002604</v>
      </c>
      <c r="BO207" s="87">
        <f>SUMIFS($AU$3:AU208,$AQ$3:AQ208,"D")</f>
        <v>2670.0000000000009</v>
      </c>
      <c r="BP207" s="87">
        <f>SUMIFS($AU$3:AU210,$AQ$3:AQ210,"W")</f>
        <v>4998.4000000000005</v>
      </c>
      <c r="BQ207" s="87">
        <f>SUMIFS($AU$3:AU208,$Q$3:Q208,"O")</f>
        <v>1683.5799999998865</v>
      </c>
      <c r="BR207" s="87">
        <f>SUMIFS($AU$3:AU208,$AA$3:AA208,"*")</f>
        <v>13336.799999999781</v>
      </c>
      <c r="BS207" s="87">
        <f>SUMIFS($AU$3:AU208,$AB$3:AB208,"*")</f>
        <v>4007.1799999999307</v>
      </c>
      <c r="BT207" s="87">
        <f>SUMIFS($AU$3:AU208,$AC$3:AC208,"*")</f>
        <v>7028.4</v>
      </c>
      <c r="BU207" s="87">
        <f>SUMIFS($AU$3:AU208,$AA$3:AA208,"*",$AB$3:AB208,"*")</f>
        <v>1855.9999999998222</v>
      </c>
      <c r="BV207" s="87">
        <f>SUMIFS($AU$3:AU208,$AA$3:AA208,"*",$AC$3:AC208,"*")</f>
        <v>6564.4</v>
      </c>
      <c r="BW207" s="87">
        <f>SUMIFS($AU$3:AU208,$AB$3:AB208,"*",$AC$3:AC208,"*")</f>
        <v>719.99999999999818</v>
      </c>
      <c r="BX207" s="87">
        <f>SUMIFS($AV$3:AV208,$Q$3:Q208,"F")</f>
        <v>214.02786430960344</v>
      </c>
      <c r="BY207" s="87">
        <f>SUMIFS($AV$3:AV208,$Q$3:Q208,"S")</f>
        <v>312.74781249396261</v>
      </c>
      <c r="BZ207" s="87">
        <f>SUMIFS($AV$3:AV208,$Q$3:Q208,"O")</f>
        <v>491.73999999988246</v>
      </c>
    </row>
    <row r="208" spans="1:78" ht="18" customHeight="1">
      <c r="A208" s="45" t="s">
        <v>567</v>
      </c>
      <c r="B208" s="59">
        <v>45337</v>
      </c>
      <c r="C208" s="46" t="s">
        <v>147</v>
      </c>
      <c r="D208" s="46" t="s">
        <v>107</v>
      </c>
      <c r="E208" s="66"/>
      <c r="F208" s="47"/>
      <c r="G208" s="106" t="s">
        <v>111</v>
      </c>
      <c r="H208" s="49"/>
      <c r="I208" s="49"/>
      <c r="J208" s="49"/>
      <c r="K208" s="50"/>
      <c r="L208" s="49">
        <v>1</v>
      </c>
      <c r="M208" s="49"/>
      <c r="N208" s="49"/>
      <c r="O208" s="50" t="s">
        <v>100</v>
      </c>
      <c r="P208" s="50" t="s">
        <v>101</v>
      </c>
      <c r="Q208" s="50" t="s">
        <v>102</v>
      </c>
      <c r="R208" s="50">
        <v>18</v>
      </c>
      <c r="S208" s="50">
        <v>0</v>
      </c>
      <c r="T208" s="50">
        <v>18</v>
      </c>
      <c r="U208" s="50" t="s">
        <v>22</v>
      </c>
      <c r="V208" s="50"/>
      <c r="W208" s="50"/>
      <c r="X208" s="50"/>
      <c r="Y208" s="51">
        <f t="shared" ref="Y208:Y214" si="60">IF(ISBLANK(O208),"",(IF(O208=UPPER("IB"),0.005,0.01)))</f>
        <v>0.01</v>
      </c>
      <c r="Z208" s="52">
        <f>IF(ISBLANK(O208),"",IF(O208="IB",8.63*200,IF(O208="IR",16*100,IF(O208="YT",20*100,IF(O208="YT-XT",24*200,IF(O208="TED",80*100))))))</f>
        <v>1600</v>
      </c>
      <c r="AA208" s="52" t="s">
        <v>642</v>
      </c>
      <c r="AB208" s="52"/>
      <c r="AC208" s="52"/>
      <c r="AD208" s="231">
        <v>-0.09</v>
      </c>
      <c r="AE208" s="49"/>
      <c r="AF208" s="84"/>
      <c r="AG208" s="49"/>
      <c r="AH208" s="49"/>
      <c r="AI208" s="49"/>
      <c r="AJ208" s="226"/>
      <c r="AK208" s="49"/>
      <c r="AL208" s="113">
        <f t="shared" si="59"/>
        <v>-32</v>
      </c>
      <c r="AM208" s="113">
        <f t="shared" si="57"/>
        <v>-576</v>
      </c>
      <c r="AN208" s="218"/>
      <c r="AO208" s="49"/>
      <c r="AP208" s="49"/>
      <c r="AQ208" s="84" t="s">
        <v>350</v>
      </c>
      <c r="AR208" s="49" t="s">
        <v>827</v>
      </c>
      <c r="AS208" s="55">
        <v>-0.1</v>
      </c>
      <c r="AT208" s="55">
        <f t="shared" ref="AT208:AT214" si="61">IF(ISBLANK(AS208),,IF(U208="S",AD208-AS208,AS208-AD208))</f>
        <v>-1.0000000000000009E-2</v>
      </c>
      <c r="AU208" s="54">
        <f t="shared" ref="AU208:AU214" si="62">AV208*R208</f>
        <v>-288.00000000000023</v>
      </c>
      <c r="AV208" s="56">
        <f t="shared" si="55"/>
        <v>-16.000000000000014</v>
      </c>
      <c r="AW208" s="57" t="s">
        <v>121</v>
      </c>
      <c r="AX208" s="96" t="s">
        <v>828</v>
      </c>
      <c r="AY208" s="96"/>
      <c r="AZ208" s="96"/>
      <c r="BA208" s="96"/>
      <c r="BB208" s="96"/>
      <c r="BC208" s="96"/>
      <c r="BD208" s="96"/>
      <c r="BE208" s="96"/>
      <c r="BF208" s="100"/>
      <c r="BG208" s="94">
        <f>SUM($AV$4:AV208)</f>
        <v>1506.5156768034562</v>
      </c>
      <c r="BH208" s="95">
        <f>SUM($AU$4:AU208)</f>
        <v>15551.979999999894</v>
      </c>
      <c r="BI208" s="80">
        <f>SUMIFS($AU$3:AU209,$Q$3:Q209,"F")</f>
        <v>8804.4000000000015</v>
      </c>
      <c r="BJ208" s="80">
        <f>SUMIFS($AU$3:AU209,$Q$3:Q209,"S")</f>
        <v>4527.9999999999927</v>
      </c>
      <c r="BK208" s="87">
        <f>SUMIFS($AU$3:AU209,$P$3:P209,"W")</f>
        <v>9677.5799999999308</v>
      </c>
      <c r="BL208" s="87">
        <f>SUMIFS($AU$3:AU209,$P$3:P209,"R")</f>
        <v>4206</v>
      </c>
      <c r="BM208" s="87">
        <f>SUMIFS($AU$3:AU209,$AQ$3:AQ209,"M")</f>
        <v>4239.3799999995472</v>
      </c>
      <c r="BN208" s="87">
        <f>SUMIFS($AU$3:AU209,$AQ$3:AQ209,"H")</f>
        <v>4035.2000000002604</v>
      </c>
      <c r="BO208" s="87">
        <f>SUMIFS($AU$3:AU209,$AQ$3:AQ209,"D")</f>
        <v>2670.0000000000009</v>
      </c>
      <c r="BP208" s="87">
        <f>SUMIFS($AU$3:AU211,$AQ$3:AQ211,"W")</f>
        <v>4998.4000000000005</v>
      </c>
      <c r="BQ208" s="87">
        <f>SUMIFS($AU$3:AU209,$Q$3:Q209,"O")</f>
        <v>1770.5799999998073</v>
      </c>
      <c r="BR208" s="87">
        <f>SUMIFS($AU$3:AU209,$AA$3:AA209,"*")</f>
        <v>13423.799999999701</v>
      </c>
      <c r="BS208" s="87">
        <f>SUMIFS($AU$3:AU209,$AB$3:AB209,"*")</f>
        <v>4007.1799999999307</v>
      </c>
      <c r="BT208" s="87">
        <f>SUMIFS($AU$3:AU209,$AC$3:AC209,"*")</f>
        <v>7028.4</v>
      </c>
      <c r="BU208" s="87">
        <f>SUMIFS($AU$3:AU209,$AA$3:AA209,"*",$AB$3:AB209,"*")</f>
        <v>1855.9999999998222</v>
      </c>
      <c r="BV208" s="87">
        <f>SUMIFS($AU$3:AU209,$AA$3:AA209,"*",$AC$3:AC209,"*")</f>
        <v>6564.4</v>
      </c>
      <c r="BW208" s="87">
        <f>SUMIFS($AU$3:AU209,$AB$3:AB209,"*",$AC$3:AC209,"*")</f>
        <v>719.99999999999818</v>
      </c>
      <c r="BX208" s="87">
        <f>SUMIFS($AV$3:AV209,$Q$3:Q209,"F")</f>
        <v>214.02786430960344</v>
      </c>
      <c r="BY208" s="87">
        <f>SUMIFS($AV$3:AV209,$Q$3:Q209,"S")</f>
        <v>312.74781249396261</v>
      </c>
      <c r="BZ208" s="87">
        <f>SUMIFS($AV$3:AV209,$Q$3:Q209,"O")</f>
        <v>520.73999999985608</v>
      </c>
    </row>
    <row r="209" spans="1:78" ht="18" customHeight="1">
      <c r="A209" s="45" t="s">
        <v>567</v>
      </c>
      <c r="B209" s="59">
        <v>45337</v>
      </c>
      <c r="C209" s="46" t="s">
        <v>147</v>
      </c>
      <c r="D209" s="46" t="s">
        <v>107</v>
      </c>
      <c r="E209" s="66"/>
      <c r="F209" s="47"/>
      <c r="G209" s="106" t="s">
        <v>195</v>
      </c>
      <c r="H209" s="49"/>
      <c r="I209" s="49"/>
      <c r="J209" s="49"/>
      <c r="K209" s="50"/>
      <c r="L209" s="49">
        <v>2</v>
      </c>
      <c r="M209" s="49"/>
      <c r="N209" s="49"/>
      <c r="O209" s="50" t="s">
        <v>196</v>
      </c>
      <c r="P209" s="50" t="s">
        <v>197</v>
      </c>
      <c r="Q209" s="50" t="s">
        <v>198</v>
      </c>
      <c r="R209" s="50">
        <v>3</v>
      </c>
      <c r="S209" s="50">
        <v>0</v>
      </c>
      <c r="T209" s="50">
        <v>1</v>
      </c>
      <c r="U209" s="50" t="s">
        <v>22</v>
      </c>
      <c r="V209" s="50"/>
      <c r="W209" s="50"/>
      <c r="X209" s="50"/>
      <c r="Y209" s="51">
        <f t="shared" si="60"/>
        <v>0.01</v>
      </c>
      <c r="Z209" s="52">
        <f>IF(ISBLANK(O209),"",IF(O209="IB",8.63*200,IF(O209="IR",16*100,IF(O209="YT",20*100,IF(O209="YT-XT",24*200,IF(O209="TED",80*100,IF(O209="XT",29*200)))))))</f>
        <v>5800</v>
      </c>
      <c r="AA209" s="52" t="s">
        <v>630</v>
      </c>
      <c r="AB209" s="52"/>
      <c r="AC209" s="52"/>
      <c r="AD209" s="231">
        <v>95.798000000000002</v>
      </c>
      <c r="AE209" s="49"/>
      <c r="AF209" s="84"/>
      <c r="AG209" s="49"/>
      <c r="AH209" s="49"/>
      <c r="AI209" s="49"/>
      <c r="AJ209" s="226"/>
      <c r="AK209" s="49"/>
      <c r="AL209" s="113">
        <f>-0.04*Z209</f>
        <v>-232</v>
      </c>
      <c r="AM209" s="113">
        <f t="shared" si="57"/>
        <v>-696</v>
      </c>
      <c r="AN209" s="218"/>
      <c r="AO209" s="49"/>
      <c r="AP209" s="49" t="s">
        <v>829</v>
      </c>
      <c r="AQ209" s="84" t="s">
        <v>350</v>
      </c>
      <c r="AR209" s="49"/>
      <c r="AS209" s="55">
        <v>95.802999999999997</v>
      </c>
      <c r="AT209" s="55">
        <f t="shared" si="61"/>
        <v>4.9999999999954525E-3</v>
      </c>
      <c r="AU209" s="54">
        <f t="shared" si="62"/>
        <v>86.999999999920874</v>
      </c>
      <c r="AV209" s="56">
        <f t="shared" si="55"/>
        <v>28.999999999973625</v>
      </c>
      <c r="AW209" s="57" t="s">
        <v>101</v>
      </c>
      <c r="AX209" s="96" t="s">
        <v>830</v>
      </c>
      <c r="AY209" s="96" t="s">
        <v>831</v>
      </c>
      <c r="AZ209" s="96" t="s">
        <v>832</v>
      </c>
      <c r="BA209" s="96" t="s">
        <v>833</v>
      </c>
      <c r="BB209" s="96"/>
      <c r="BC209" s="96"/>
      <c r="BD209" s="96" t="s">
        <v>832</v>
      </c>
      <c r="BE209" s="96" t="s">
        <v>834</v>
      </c>
      <c r="BF209" s="100" t="s">
        <v>835</v>
      </c>
      <c r="BG209" s="94">
        <f>SUM($AV$4:AV209)</f>
        <v>1535.5156768034299</v>
      </c>
      <c r="BH209" s="95">
        <f>SUM($AU$4:AU209)</f>
        <v>15638.979999999814</v>
      </c>
      <c r="BI209" s="80">
        <f>SUMIFS($AU$3:AU210,$Q$3:Q210,"F")</f>
        <v>8804.4000000000015</v>
      </c>
      <c r="BJ209" s="80">
        <f>SUMIFS($AU$3:AU210,$Q$3:Q210,"S")</f>
        <v>4527.9999999999927</v>
      </c>
      <c r="BK209" s="87">
        <f>SUMIFS($AU$3:AU210,$P$3:P210,"W")</f>
        <v>9677.5799999999308</v>
      </c>
      <c r="BL209" s="87">
        <f>SUMIFS($AU$3:AU210,$P$3:P210,"R")</f>
        <v>4506</v>
      </c>
      <c r="BM209" s="87">
        <f>SUMIFS($AU$3:AU210,$AQ$3:AQ210,"M")</f>
        <v>4539.3799999995472</v>
      </c>
      <c r="BN209" s="87">
        <f>SUMIFS($AU$3:AU210,$AQ$3:AQ210,"H")</f>
        <v>4035.2000000002604</v>
      </c>
      <c r="BO209" s="87">
        <f>SUMIFS($AU$3:AU210,$AQ$3:AQ210,"D")</f>
        <v>2670.0000000000009</v>
      </c>
      <c r="BP209" s="87">
        <f>SUMIFS($AU$3:AU212,$AQ$3:AQ212,"W")</f>
        <v>5542.4000000000005</v>
      </c>
      <c r="BQ209" s="87">
        <f>SUMIFS($AU$3:AU210,$Q$3:Q210,"O")</f>
        <v>1770.5799999998073</v>
      </c>
      <c r="BR209" s="87">
        <f>SUMIFS($AU$3:AU210,$AA$3:AA210,"*")</f>
        <v>13723.799999999701</v>
      </c>
      <c r="BS209" s="87">
        <f>SUMIFS($AU$3:AU210,$AB$3:AB210,"*")</f>
        <v>4007.1799999999307</v>
      </c>
      <c r="BT209" s="87">
        <f>SUMIFS($AU$3:AU210,$AC$3:AC210,"*")</f>
        <v>7028.4</v>
      </c>
      <c r="BU209" s="87">
        <f>SUMIFS($AU$3:AU210,$AA$3:AA210,"*",$AB$3:AB210,"*")</f>
        <v>1855.9999999998222</v>
      </c>
      <c r="BV209" s="87">
        <f>SUMIFS($AU$3:AU210,$AA$3:AA210,"*",$AC$3:AC210,"*")</f>
        <v>6564.4</v>
      </c>
      <c r="BW209" s="87">
        <f>SUMIFS($AU$3:AU210,$AB$3:AB210,"*",$AC$3:AC210,"*")</f>
        <v>719.99999999999818</v>
      </c>
      <c r="BX209" s="87">
        <f>SUMIFS($AV$3:AV210,$Q$3:Q210,"F")</f>
        <v>214.02786430960344</v>
      </c>
      <c r="BY209" s="87">
        <f>SUMIFS($AV$3:AV210,$Q$3:Q210,"S")</f>
        <v>312.74781249396261</v>
      </c>
      <c r="BZ209" s="87">
        <f>SUMIFS($AV$3:AV210,$Q$3:Q210,"O")</f>
        <v>520.73999999985608</v>
      </c>
    </row>
    <row r="210" spans="1:78" ht="18" customHeight="1">
      <c r="A210" s="45" t="s">
        <v>567</v>
      </c>
      <c r="B210" s="59">
        <v>45337</v>
      </c>
      <c r="C210" s="46" t="s">
        <v>147</v>
      </c>
      <c r="D210" s="46" t="s">
        <v>107</v>
      </c>
      <c r="E210" s="66"/>
      <c r="F210" s="47"/>
      <c r="G210" s="48" t="s">
        <v>377</v>
      </c>
      <c r="H210" s="49"/>
      <c r="I210" s="49"/>
      <c r="J210" s="49"/>
      <c r="K210" s="50"/>
      <c r="L210" s="49">
        <v>1</v>
      </c>
      <c r="M210" s="49"/>
      <c r="N210" s="49"/>
      <c r="O210" s="50" t="s">
        <v>740</v>
      </c>
      <c r="P210" s="50" t="s">
        <v>126</v>
      </c>
      <c r="Q210" s="50"/>
      <c r="R210" s="50">
        <v>1</v>
      </c>
      <c r="S210" s="50">
        <v>0</v>
      </c>
      <c r="T210" s="50">
        <v>1</v>
      </c>
      <c r="U210" s="50" t="s">
        <v>22</v>
      </c>
      <c r="V210" s="50"/>
      <c r="W210" s="50"/>
      <c r="X210" s="50"/>
      <c r="Y210" s="51">
        <f t="shared" si="60"/>
        <v>0.01</v>
      </c>
      <c r="Z210" s="52">
        <f>IF(ISBLANK(O210),"",IF(O210="IB",8.63*200,IF(O210="IR",16*100,IF(O210="YT",20*100,IF(O210="YT-XT",24*200,IF(O210="TED",80*100,IF(O210="IR|YT",300*100)))))))</f>
        <v>30000</v>
      </c>
      <c r="AA210" s="52" t="s">
        <v>836</v>
      </c>
      <c r="AB210" s="52"/>
      <c r="AC210" s="52"/>
      <c r="AD210" s="231">
        <v>-0.13</v>
      </c>
      <c r="AE210" s="49"/>
      <c r="AF210" s="84"/>
      <c r="AG210" s="49"/>
      <c r="AH210" s="49"/>
      <c r="AI210" s="49"/>
      <c r="AJ210" s="226"/>
      <c r="AK210" s="49"/>
      <c r="AL210" s="113">
        <f t="shared" si="59"/>
        <v>-600</v>
      </c>
      <c r="AM210" s="113">
        <f t="shared" si="57"/>
        <v>-600</v>
      </c>
      <c r="AN210" s="218"/>
      <c r="AO210" s="49"/>
      <c r="AP210" s="49" t="s">
        <v>631</v>
      </c>
      <c r="AQ210" s="84" t="s">
        <v>350</v>
      </c>
      <c r="AR210" s="49"/>
      <c r="AS210" s="55">
        <v>-0.12</v>
      </c>
      <c r="AT210" s="55">
        <f t="shared" si="61"/>
        <v>1.0000000000000009E-2</v>
      </c>
      <c r="AU210" s="54">
        <f t="shared" si="62"/>
        <v>300.00000000000028</v>
      </c>
      <c r="AV210" s="56">
        <f t="shared" si="55"/>
        <v>300.00000000000028</v>
      </c>
      <c r="AW210" s="57" t="s">
        <v>101</v>
      </c>
      <c r="AX210" s="96"/>
      <c r="AY210" s="96"/>
      <c r="AZ210" s="96"/>
      <c r="BA210" s="96"/>
      <c r="BB210" s="96"/>
      <c r="BC210" s="96"/>
      <c r="BD210" s="96"/>
      <c r="BE210" s="96"/>
      <c r="BF210" s="100"/>
      <c r="BG210" s="94">
        <f>SUM($AV$4:AV210)</f>
        <v>1835.5156768034301</v>
      </c>
      <c r="BH210" s="95">
        <f>SUM($AU$4:AU210)</f>
        <v>15938.979999999814</v>
      </c>
      <c r="BI210" s="80">
        <f>SUMIFS($AU$3:AU211,$Q$3:Q211,"F")</f>
        <v>8804.4000000000015</v>
      </c>
      <c r="BJ210" s="80">
        <f>SUMIFS($AU$3:AU211,$Q$3:Q211,"S")</f>
        <v>4527.9999999999927</v>
      </c>
      <c r="BK210" s="87">
        <f>SUMIFS($AU$3:AU211,$P$3:P211,"W")</f>
        <v>9677.5799999999308</v>
      </c>
      <c r="BL210" s="87">
        <f>SUMIFS($AU$3:AU211,$P$3:P211,"R")</f>
        <v>5106</v>
      </c>
      <c r="BM210" s="87">
        <f>SUMIFS($AU$3:AU211,$AQ$3:AQ211,"M")</f>
        <v>5139.3799999995472</v>
      </c>
      <c r="BN210" s="87">
        <f>SUMIFS($AU$3:AU211,$AQ$3:AQ211,"H")</f>
        <v>4035.2000000002604</v>
      </c>
      <c r="BO210" s="87">
        <f>SUMIFS($AU$3:AU211,$AQ$3:AQ211,"D")</f>
        <v>2670.0000000000009</v>
      </c>
      <c r="BP210" s="87">
        <f>SUMIFS($AU$3:AU213,$AQ$3:AQ213,"W")</f>
        <v>5542.4000000000005</v>
      </c>
      <c r="BQ210" s="87">
        <f>SUMIFS($AU$3:AU211,$Q$3:Q211,"O")</f>
        <v>1770.5799999998073</v>
      </c>
      <c r="BR210" s="87">
        <f>SUMIFS($AU$3:AU211,$AA$3:AA211,"*")</f>
        <v>14323.799999999701</v>
      </c>
      <c r="BS210" s="87">
        <f>SUMIFS($AU$3:AU211,$AB$3:AB211,"*")</f>
        <v>4007.1799999999307</v>
      </c>
      <c r="BT210" s="87">
        <f>SUMIFS($AU$3:AU211,$AC$3:AC211,"*")</f>
        <v>7028.4</v>
      </c>
      <c r="BU210" s="87">
        <f>SUMIFS($AU$3:AU211,$AA$3:AA211,"*",$AB$3:AB211,"*")</f>
        <v>1855.9999999998222</v>
      </c>
      <c r="BV210" s="87">
        <f>SUMIFS($AU$3:AU211,$AA$3:AA211,"*",$AC$3:AC211,"*")</f>
        <v>6564.4</v>
      </c>
      <c r="BW210" s="87">
        <f>SUMIFS($AU$3:AU211,$AB$3:AB211,"*",$AC$3:AC211,"*")</f>
        <v>719.99999999999818</v>
      </c>
      <c r="BX210" s="87">
        <f>SUMIFS($AV$3:AV211,$Q$3:Q211,"F")</f>
        <v>214.02786430960344</v>
      </c>
      <c r="BY210" s="87">
        <f>SUMIFS($AV$3:AV211,$Q$3:Q211,"S")</f>
        <v>312.74781249396261</v>
      </c>
      <c r="BZ210" s="87">
        <f>SUMIFS($AV$3:AV211,$Q$3:Q211,"O")</f>
        <v>520.73999999985608</v>
      </c>
    </row>
    <row r="211" spans="1:78" ht="18" customHeight="1">
      <c r="A211" s="45" t="s">
        <v>567</v>
      </c>
      <c r="B211" s="59">
        <v>45337</v>
      </c>
      <c r="C211" s="46" t="s">
        <v>147</v>
      </c>
      <c r="D211" s="46" t="s">
        <v>107</v>
      </c>
      <c r="E211" s="66"/>
      <c r="F211" s="47"/>
      <c r="G211" s="48" t="s">
        <v>735</v>
      </c>
      <c r="H211" s="49"/>
      <c r="I211" s="49"/>
      <c r="J211" s="49"/>
      <c r="K211" s="50"/>
      <c r="L211" s="49">
        <v>1</v>
      </c>
      <c r="M211" s="49"/>
      <c r="N211" s="49"/>
      <c r="O211" s="50" t="s">
        <v>740</v>
      </c>
      <c r="P211" s="50" t="s">
        <v>126</v>
      </c>
      <c r="Q211" s="50"/>
      <c r="R211" s="50">
        <v>1</v>
      </c>
      <c r="S211" s="50">
        <v>0</v>
      </c>
      <c r="T211" s="50">
        <v>1</v>
      </c>
      <c r="U211" s="50" t="s">
        <v>22</v>
      </c>
      <c r="V211" s="50"/>
      <c r="W211" s="50"/>
      <c r="X211" s="50"/>
      <c r="Y211" s="51">
        <f t="shared" si="60"/>
        <v>0.01</v>
      </c>
      <c r="Z211" s="52">
        <f>IF(ISBLANK(O211),"",IF(O211="IB",8.63*200,IF(O211="IR",16*100,IF(O211="YT",20*100,IF(O211="YT-XT",24*200,IF(O211="TED",80*100,IF(O211="IR|YT",300*100)))))))</f>
        <v>30000</v>
      </c>
      <c r="AA211" s="52" t="s">
        <v>836</v>
      </c>
      <c r="AB211" s="52"/>
      <c r="AC211" s="52"/>
      <c r="AD211" s="231">
        <v>-0.22</v>
      </c>
      <c r="AE211" s="49"/>
      <c r="AF211" s="84"/>
      <c r="AG211" s="49"/>
      <c r="AH211" s="49"/>
      <c r="AI211" s="49"/>
      <c r="AJ211" s="226"/>
      <c r="AK211" s="49"/>
      <c r="AL211" s="113">
        <f t="shared" si="59"/>
        <v>-600</v>
      </c>
      <c r="AM211" s="113">
        <f t="shared" si="57"/>
        <v>-600</v>
      </c>
      <c r="AN211" s="218"/>
      <c r="AO211" s="49"/>
      <c r="AP211" s="49" t="s">
        <v>837</v>
      </c>
      <c r="AQ211" s="84" t="s">
        <v>350</v>
      </c>
      <c r="AR211" s="49"/>
      <c r="AS211" s="55">
        <v>-0.2</v>
      </c>
      <c r="AT211" s="55">
        <f t="shared" si="61"/>
        <v>1.999999999999999E-2</v>
      </c>
      <c r="AU211" s="54">
        <f t="shared" si="62"/>
        <v>599.99999999999966</v>
      </c>
      <c r="AV211" s="56">
        <f t="shared" si="55"/>
        <v>599.99999999999966</v>
      </c>
      <c r="AW211" s="57" t="s">
        <v>101</v>
      </c>
      <c r="AX211" s="96" t="s">
        <v>838</v>
      </c>
      <c r="AY211" s="96" t="s">
        <v>839</v>
      </c>
      <c r="AZ211" s="96"/>
      <c r="BA211" s="96"/>
      <c r="BB211" s="96"/>
      <c r="BC211" s="96"/>
      <c r="BD211" s="96"/>
      <c r="BE211" s="96"/>
      <c r="BF211" s="100"/>
      <c r="BG211" s="94">
        <f>SUM($AV$4:AV211)</f>
        <v>2435.5156768034299</v>
      </c>
      <c r="BH211" s="95">
        <f>SUM($AU$4:AU211)</f>
        <v>16538.979999999814</v>
      </c>
      <c r="BI211" s="80">
        <f>SUMIFS($AU$3:AU212,$Q$3:Q212,"F")</f>
        <v>9348.4000000000015</v>
      </c>
      <c r="BJ211" s="80">
        <f>SUMIFS($AU$3:AU212,$Q$3:Q212,"S")</f>
        <v>4527.9999999999927</v>
      </c>
      <c r="BK211" s="87">
        <f>SUMIFS($AU$3:AU212,$P$3:P212,"W")</f>
        <v>10221.579999999931</v>
      </c>
      <c r="BL211" s="87">
        <f>SUMIFS($AU$3:AU212,$P$3:P212,"R")</f>
        <v>5106</v>
      </c>
      <c r="BM211" s="87">
        <f>SUMIFS($AU$3:AU212,$AQ$3:AQ212,"M")</f>
        <v>5139.3799999995472</v>
      </c>
      <c r="BN211" s="87">
        <f>SUMIFS($AU$3:AU212,$AQ$3:AQ212,"H")</f>
        <v>4035.2000000002604</v>
      </c>
      <c r="BO211" s="87">
        <f>SUMIFS($AU$3:AU212,$AQ$3:AQ212,"D")</f>
        <v>2670.0000000000009</v>
      </c>
      <c r="BP211" s="87">
        <f>SUMIFS($AU$3:AU214,$AQ$3:AQ214,"W")</f>
        <v>5542.4000000000005</v>
      </c>
      <c r="BQ211" s="87">
        <f>SUMIFS($AU$3:AU212,$Q$3:Q212,"O")</f>
        <v>1770.5799999998073</v>
      </c>
      <c r="BR211" s="87">
        <f>SUMIFS($AU$3:AU212,$AA$3:AA212,"*")</f>
        <v>14867.799999999701</v>
      </c>
      <c r="BS211" s="87">
        <f>SUMIFS($AU$3:AU212,$AB$3:AB212,"*")</f>
        <v>4007.1799999999307</v>
      </c>
      <c r="BT211" s="87">
        <f>SUMIFS($AU$3:AU212,$AC$3:AC212,"*")</f>
        <v>7028.4</v>
      </c>
      <c r="BU211" s="87">
        <f>SUMIFS($AU$3:AU212,$AA$3:AA212,"*",$AB$3:AB212,"*")</f>
        <v>1855.9999999998222</v>
      </c>
      <c r="BV211" s="87">
        <f>SUMIFS($AU$3:AU212,$AA$3:AA212,"*",$AC$3:AC212,"*")</f>
        <v>6564.4</v>
      </c>
      <c r="BW211" s="87">
        <f>SUMIFS($AU$3:AU212,$AB$3:AB212,"*",$AC$3:AC212,"*")</f>
        <v>719.99999999999818</v>
      </c>
      <c r="BX211" s="87">
        <f>SUMIFS($AV$3:AV212,$Q$3:Q212,"F")</f>
        <v>221.28119764293677</v>
      </c>
      <c r="BY211" s="87">
        <f>SUMIFS($AV$3:AV212,$Q$3:Q212,"S")</f>
        <v>312.74781249396261</v>
      </c>
      <c r="BZ211" s="87">
        <f>SUMIFS($AV$3:AV212,$Q$3:Q212,"O")</f>
        <v>520.73999999985608</v>
      </c>
    </row>
    <row r="212" spans="1:78" ht="18" customHeight="1">
      <c r="A212" s="45" t="s">
        <v>567</v>
      </c>
      <c r="B212" s="59">
        <v>45337</v>
      </c>
      <c r="C212" s="46" t="s">
        <v>840</v>
      </c>
      <c r="D212" s="46" t="s">
        <v>107</v>
      </c>
      <c r="E212" s="66"/>
      <c r="F212" s="47"/>
      <c r="G212" s="106" t="s">
        <v>804</v>
      </c>
      <c r="H212" s="49"/>
      <c r="I212" s="49"/>
      <c r="J212" s="49"/>
      <c r="K212" s="50"/>
      <c r="L212" s="49">
        <v>1</v>
      </c>
      <c r="M212" s="49">
        <v>1</v>
      </c>
      <c r="N212" s="49"/>
      <c r="O212" s="50" t="s">
        <v>100</v>
      </c>
      <c r="P212" s="50" t="s">
        <v>101</v>
      </c>
      <c r="Q212" s="50" t="s">
        <v>127</v>
      </c>
      <c r="R212" s="50">
        <v>75</v>
      </c>
      <c r="S212" s="50">
        <v>20</v>
      </c>
      <c r="T212" s="50">
        <v>25</v>
      </c>
      <c r="U212" s="50" t="s">
        <v>22</v>
      </c>
      <c r="V212" s="50"/>
      <c r="W212" s="50"/>
      <c r="X212" s="50"/>
      <c r="Y212" s="51">
        <f t="shared" si="60"/>
        <v>0.01</v>
      </c>
      <c r="Z212" s="52">
        <f>IF(ISBLANK(O212),"",IF(O212="IB",8.63*200,IF(O212="IR",16*100,IF(O212="YT",20*100,IF(O212="YT-XT",24*200,IF(O212="TED",80*100))))))</f>
        <v>1600</v>
      </c>
      <c r="AA212" s="52" t="s">
        <v>841</v>
      </c>
      <c r="AB212" s="52"/>
      <c r="AC212" s="52"/>
      <c r="AD212" s="231">
        <f>(0.01*50+25*0.02)/75</f>
        <v>1.3333333333333334E-2</v>
      </c>
      <c r="AE212" s="49"/>
      <c r="AF212" s="84"/>
      <c r="AG212" s="49"/>
      <c r="AH212" s="49" t="s">
        <v>842</v>
      </c>
      <c r="AI212" s="49"/>
      <c r="AJ212" s="226"/>
      <c r="AK212" s="49"/>
      <c r="AL212" s="113">
        <f>-0.03*Z212</f>
        <v>-48</v>
      </c>
      <c r="AM212" s="113">
        <f t="shared" si="57"/>
        <v>-2640</v>
      </c>
      <c r="AN212" s="218"/>
      <c r="AO212" s="49"/>
      <c r="AP212" s="49" t="s">
        <v>843</v>
      </c>
      <c r="AQ212" s="84" t="s">
        <v>101</v>
      </c>
      <c r="AR212" s="49" t="s">
        <v>844</v>
      </c>
      <c r="AS212" s="55">
        <f>((0.012*20)+(0.02*45)+(0.02*10))/75</f>
        <v>1.7866666666666666E-2</v>
      </c>
      <c r="AT212" s="55">
        <f t="shared" si="61"/>
        <v>4.5333333333333319E-3</v>
      </c>
      <c r="AU212" s="54">
        <f t="shared" si="62"/>
        <v>543.99999999999989</v>
      </c>
      <c r="AV212" s="56">
        <f t="shared" si="55"/>
        <v>7.2533333333333312</v>
      </c>
      <c r="AW212" s="57" t="s">
        <v>101</v>
      </c>
      <c r="AX212" s="96" t="s">
        <v>845</v>
      </c>
      <c r="AY212" s="96" t="s">
        <v>846</v>
      </c>
      <c r="AZ212" s="96" t="s">
        <v>847</v>
      </c>
      <c r="BA212" s="96" t="s">
        <v>848</v>
      </c>
      <c r="BB212" s="96" t="s">
        <v>849</v>
      </c>
      <c r="BC212" s="97" t="s">
        <v>850</v>
      </c>
      <c r="BD212" s="96" t="s">
        <v>851</v>
      </c>
      <c r="BE212" s="97" t="s">
        <v>852</v>
      </c>
      <c r="BF212" s="100"/>
      <c r="BG212" s="94">
        <f>SUM($AV$4:AV212)</f>
        <v>2442.7690101367634</v>
      </c>
      <c r="BH212" s="95">
        <f>SUM($AU$4:AU212)</f>
        <v>17082.979999999814</v>
      </c>
      <c r="BI212" s="80">
        <f>SUMIFS($AU$3:AU213,$Q$3:Q213,"F")</f>
        <v>9348.4000000000015</v>
      </c>
      <c r="BJ212" s="80">
        <f>SUMIFS($AU$3:AU213,$Q$3:Q213,"S")</f>
        <v>3503.9999999999918</v>
      </c>
      <c r="BK212" s="87">
        <f>SUMIFS($AU$3:AU213,$P$3:P213,"W")</f>
        <v>9197.579999999929</v>
      </c>
      <c r="BL212" s="87">
        <f>SUMIFS($AU$3:AU213,$P$3:P213,"R")</f>
        <v>5106</v>
      </c>
      <c r="BM212" s="87">
        <f>SUMIFS($AU$3:AU213,$AQ$3:AQ213,"M")</f>
        <v>5139.3799999995472</v>
      </c>
      <c r="BN212" s="87">
        <f>SUMIFS($AU$3:AU213,$AQ$3:AQ213,"H")</f>
        <v>3011.2000000002595</v>
      </c>
      <c r="BO212" s="87">
        <f>SUMIFS($AU$3:AU213,$AQ$3:AQ213,"D")</f>
        <v>2670.0000000000009</v>
      </c>
      <c r="BP212" s="87">
        <f>SUMIFS($AU$3:AU215,$AQ$3:AQ215,"W")</f>
        <v>5542.4000000000005</v>
      </c>
      <c r="BQ212" s="87">
        <f>SUMIFS($AU$3:AU213,$Q$3:Q213,"O")</f>
        <v>1770.5799999998073</v>
      </c>
      <c r="BR212" s="87">
        <f>SUMIFS($AU$3:AU213,$AA$3:AA213,"*")</f>
        <v>13843.799999999701</v>
      </c>
      <c r="BS212" s="87">
        <f>SUMIFS($AU$3:AU213,$AB$3:AB213,"*")</f>
        <v>4007.1799999999307</v>
      </c>
      <c r="BT212" s="87">
        <f>SUMIFS($AU$3:AU213,$AC$3:AC213,"*")</f>
        <v>7028.4</v>
      </c>
      <c r="BU212" s="87">
        <f>SUMIFS($AU$3:AU213,$AA$3:AA213,"*",$AB$3:AB213,"*")</f>
        <v>1855.9999999998222</v>
      </c>
      <c r="BV212" s="87">
        <f>SUMIFS($AU$3:AU213,$AA$3:AA213,"*",$AC$3:AC213,"*")</f>
        <v>6564.4</v>
      </c>
      <c r="BW212" s="87">
        <f>SUMIFS($AU$3:AU213,$AB$3:AB213,"*",$AC$3:AC213,"*")</f>
        <v>719.99999999999818</v>
      </c>
      <c r="BX212" s="87">
        <f>SUMIFS($AV$3:AV213,$Q$3:Q213,"F")</f>
        <v>221.28119764293677</v>
      </c>
      <c r="BY212" s="87">
        <f>SUMIFS($AV$3:AV213,$Q$3:Q213,"S")</f>
        <v>296.74781249396261</v>
      </c>
      <c r="BZ212" s="87">
        <f>SUMIFS($AV$3:AV213,$Q$3:Q213,"O")</f>
        <v>520.73999999985608</v>
      </c>
    </row>
    <row r="213" spans="1:78" ht="18" customHeight="1">
      <c r="A213" s="45" t="s">
        <v>567</v>
      </c>
      <c r="B213" s="59">
        <v>45337</v>
      </c>
      <c r="C213" s="46" t="s">
        <v>147</v>
      </c>
      <c r="D213" s="46" t="s">
        <v>107</v>
      </c>
      <c r="E213" s="66"/>
      <c r="F213" s="47"/>
      <c r="G213" s="106" t="s">
        <v>99</v>
      </c>
      <c r="H213" s="49"/>
      <c r="I213" s="49"/>
      <c r="J213" s="49"/>
      <c r="K213" s="50"/>
      <c r="L213" s="49">
        <v>1</v>
      </c>
      <c r="M213" s="49"/>
      <c r="N213" s="49"/>
      <c r="O213" s="50" t="s">
        <v>100</v>
      </c>
      <c r="P213" s="50" t="s">
        <v>101</v>
      </c>
      <c r="Q213" s="50" t="s">
        <v>102</v>
      </c>
      <c r="R213" s="50">
        <v>64</v>
      </c>
      <c r="S213" s="50">
        <v>32</v>
      </c>
      <c r="T213" s="50">
        <v>64</v>
      </c>
      <c r="U213" s="50" t="s">
        <v>22</v>
      </c>
      <c r="V213" s="50"/>
      <c r="W213" s="50"/>
      <c r="X213" s="50"/>
      <c r="Y213" s="51">
        <f t="shared" si="60"/>
        <v>0.01</v>
      </c>
      <c r="Z213" s="52">
        <f>IF(ISBLANK(O213),"",IF(O213="IB",8.63*200,IF(O213="IR",16*100,IF(O213="YT",20*100,IF(O213="YT-XT",24*200,IF(O213="TED",80*100))))))</f>
        <v>1600</v>
      </c>
      <c r="AA213" s="52" t="s">
        <v>768</v>
      </c>
      <c r="AB213" s="52"/>
      <c r="AC213" s="52"/>
      <c r="AD213" s="231">
        <v>-0.06</v>
      </c>
      <c r="AE213" s="49"/>
      <c r="AF213" s="84"/>
      <c r="AG213" s="49"/>
      <c r="AH213" s="49"/>
      <c r="AI213" s="49"/>
      <c r="AJ213" s="226"/>
      <c r="AK213" s="49"/>
      <c r="AL213" s="113">
        <f>-0.025*Z213</f>
        <v>-40</v>
      </c>
      <c r="AM213" s="113">
        <f t="shared" si="57"/>
        <v>-1280</v>
      </c>
      <c r="AN213" s="218"/>
      <c r="AO213" s="49"/>
      <c r="AP213" s="49" t="s">
        <v>222</v>
      </c>
      <c r="AQ213" s="84" t="s">
        <v>142</v>
      </c>
      <c r="AR213" s="49" t="s">
        <v>853</v>
      </c>
      <c r="AS213" s="55">
        <f>((-0.07*32)+(-0.07*32))/64</f>
        <v>-7.0000000000000007E-2</v>
      </c>
      <c r="AT213" s="55">
        <f t="shared" si="61"/>
        <v>-1.0000000000000009E-2</v>
      </c>
      <c r="AU213" s="54">
        <f t="shared" si="62"/>
        <v>-1024.0000000000009</v>
      </c>
      <c r="AV213" s="56">
        <f t="shared" si="55"/>
        <v>-16.000000000000014</v>
      </c>
      <c r="AW213" s="57" t="s">
        <v>121</v>
      </c>
      <c r="AX213" s="96" t="s">
        <v>854</v>
      </c>
      <c r="AY213" s="96" t="s">
        <v>855</v>
      </c>
      <c r="AZ213" s="96"/>
      <c r="BA213" s="96" t="s">
        <v>856</v>
      </c>
      <c r="BB213" s="96" t="s">
        <v>857</v>
      </c>
      <c r="BC213" s="96" t="s">
        <v>858</v>
      </c>
      <c r="BD213" s="96"/>
      <c r="BE213" s="96"/>
      <c r="BF213" s="100"/>
      <c r="BG213" s="94">
        <f>SUM($AV$4:AV213)</f>
        <v>2426.7690101367634</v>
      </c>
      <c r="BH213" s="95">
        <f>SUM($AU$4:AU213)</f>
        <v>16058.979999999814</v>
      </c>
      <c r="BI213" s="80">
        <f>SUMIFS($AU$3:AU214,$Q$3:Q214,"F")</f>
        <v>9348.4000000000015</v>
      </c>
      <c r="BJ213" s="80">
        <f>SUMIFS($AU$3:AU214,$Q$3:Q214,"S")</f>
        <v>3503.9999999999918</v>
      </c>
      <c r="BK213" s="87">
        <f>SUMIFS($AU$3:AU214,$P$3:P214,"W")</f>
        <v>9197.579999999929</v>
      </c>
      <c r="BL213" s="87">
        <f>SUMIFS($AU$3:AU214,$P$3:P214,"R")</f>
        <v>5106</v>
      </c>
      <c r="BM213" s="87">
        <f>SUMIFS($AU$3:AU214,$AQ$3:AQ214,"M")</f>
        <v>5139.3799999995472</v>
      </c>
      <c r="BN213" s="87">
        <f>SUMIFS($AU$3:AU214,$AQ$3:AQ214,"H")</f>
        <v>3011.2000000002595</v>
      </c>
      <c r="BO213" s="87">
        <f>SUMIFS($AU$3:AU214,$AQ$3:AQ214,"D")</f>
        <v>2670.0000000000009</v>
      </c>
      <c r="BP213" s="87">
        <f>SUMIFS($AU$3:AU216,$AQ$3:AQ216,"W")</f>
        <v>5542.4000000000005</v>
      </c>
      <c r="BQ213" s="87">
        <f>SUMIFS($AU$3:AU214,$Q$3:Q214,"O")</f>
        <v>1770.5799999998073</v>
      </c>
      <c r="BR213" s="87">
        <f>SUMIFS($AU$3:AU214,$AA$3:AA214,"*")</f>
        <v>13843.799999999701</v>
      </c>
      <c r="BS213" s="87">
        <f>SUMIFS($AU$3:AU214,$AB$3:AB214,"*")</f>
        <v>4007.1799999999307</v>
      </c>
      <c r="BT213" s="87">
        <f>SUMIFS($AU$3:AU214,$AC$3:AC214,"*")</f>
        <v>7028.4</v>
      </c>
      <c r="BU213" s="87">
        <f>SUMIFS($AU$3:AU214,$AA$3:AA214,"*",$AB$3:AB214,"*")</f>
        <v>1855.9999999998222</v>
      </c>
      <c r="BV213" s="87">
        <f>SUMIFS($AU$3:AU214,$AA$3:AA214,"*",$AC$3:AC214,"*")</f>
        <v>6564.4</v>
      </c>
      <c r="BW213" s="87">
        <f>SUMIFS($AU$3:AU214,$AB$3:AB214,"*",$AC$3:AC214,"*")</f>
        <v>719.99999999999818</v>
      </c>
      <c r="BX213" s="87">
        <f>SUMIFS($AV$3:AV214,$Q$3:Q214,"F")</f>
        <v>221.28119764293677</v>
      </c>
      <c r="BY213" s="87">
        <f>SUMIFS($AV$3:AV214,$Q$3:Q214,"S")</f>
        <v>296.74781249396261</v>
      </c>
      <c r="BZ213" s="87">
        <f>SUMIFS($AV$3:AV214,$Q$3:Q214,"O")</f>
        <v>520.73999999985608</v>
      </c>
    </row>
    <row r="214" spans="1:78" ht="18" customHeight="1">
      <c r="A214" s="45" t="s">
        <v>567</v>
      </c>
      <c r="B214" s="59">
        <v>45337</v>
      </c>
      <c r="C214" s="46" t="s">
        <v>840</v>
      </c>
      <c r="D214" s="46" t="s">
        <v>107</v>
      </c>
      <c r="E214" s="66"/>
      <c r="F214" s="47"/>
      <c r="G214" s="106" t="s">
        <v>227</v>
      </c>
      <c r="H214" s="49"/>
      <c r="I214" s="49"/>
      <c r="J214" s="49"/>
      <c r="K214" s="50"/>
      <c r="L214" s="49">
        <v>1</v>
      </c>
      <c r="M214" s="49"/>
      <c r="N214" s="49"/>
      <c r="O214" s="50" t="s">
        <v>100</v>
      </c>
      <c r="P214" s="50" t="s">
        <v>101</v>
      </c>
      <c r="Q214" s="50" t="s">
        <v>102</v>
      </c>
      <c r="R214" s="50">
        <v>25</v>
      </c>
      <c r="S214" s="50">
        <v>0</v>
      </c>
      <c r="T214" s="50">
        <v>25</v>
      </c>
      <c r="U214" s="50" t="s">
        <v>102</v>
      </c>
      <c r="V214" s="50"/>
      <c r="W214" s="50"/>
      <c r="X214" s="50"/>
      <c r="Y214" s="51">
        <f t="shared" si="60"/>
        <v>0.01</v>
      </c>
      <c r="Z214" s="52">
        <f>IF(ISBLANK(O214),"",IF(O214="IB",8.63*200,IF(O214="IR",16*100,IF(O214="YT",20*100,IF(O214="YT-XT",24*200,IF(O214="TED",80*100))))))</f>
        <v>1600</v>
      </c>
      <c r="AA214" s="52"/>
      <c r="AB214" s="52"/>
      <c r="AC214" s="52" t="s">
        <v>859</v>
      </c>
      <c r="AD214" s="231">
        <v>-0.11</v>
      </c>
      <c r="AE214" s="49"/>
      <c r="AF214" s="84"/>
      <c r="AG214" s="49"/>
      <c r="AH214" s="49"/>
      <c r="AI214" s="49"/>
      <c r="AJ214" s="226"/>
      <c r="AK214" s="49"/>
      <c r="AL214" s="113">
        <f t="shared" si="58"/>
        <v>-32</v>
      </c>
      <c r="AM214" s="113">
        <f t="shared" si="57"/>
        <v>-800</v>
      </c>
      <c r="AN214" s="218"/>
      <c r="AO214" s="49"/>
      <c r="AP214" s="49"/>
      <c r="AQ214" s="84" t="s">
        <v>350</v>
      </c>
      <c r="AR214" s="49"/>
      <c r="AS214" s="55">
        <v>-0.11</v>
      </c>
      <c r="AT214" s="55">
        <f t="shared" si="61"/>
        <v>0</v>
      </c>
      <c r="AU214" s="54">
        <f t="shared" si="62"/>
        <v>0</v>
      </c>
      <c r="AV214" s="56">
        <f t="shared" si="55"/>
        <v>0</v>
      </c>
      <c r="AW214" s="57" t="s">
        <v>155</v>
      </c>
      <c r="AX214" s="96"/>
      <c r="AY214" s="96"/>
      <c r="AZ214" s="96"/>
      <c r="BA214" s="96"/>
      <c r="BB214" s="96"/>
      <c r="BC214" s="96"/>
      <c r="BD214" s="96"/>
      <c r="BE214" s="96"/>
      <c r="BF214" s="100"/>
      <c r="BG214" s="94">
        <f>SUM($AV$4:AV214)</f>
        <v>2426.7690101367634</v>
      </c>
      <c r="BH214" s="95">
        <f>SUM($AU$4:AU214)</f>
        <v>16058.979999999814</v>
      </c>
      <c r="BI214" s="80">
        <f>SUMIFS($AU$3:AU215,$Q$3:Q215,"F")</f>
        <v>9348.4000000000015</v>
      </c>
      <c r="BJ214" s="80">
        <f>SUMIFS($AU$3:AU215,$Q$3:Q215,"S")</f>
        <v>3503.9999999999918</v>
      </c>
      <c r="BK214" s="87">
        <f>SUMIFS($AU$3:AU215,$P$3:P215,"W")</f>
        <v>9197.579999999929</v>
      </c>
      <c r="BL214" s="87">
        <f>SUMIFS($AU$3:AU215,$P$3:P215,"R")</f>
        <v>5106</v>
      </c>
      <c r="BM214" s="87">
        <f>SUMIFS($AU$3:AU215,$AQ$3:AQ215,"M")</f>
        <v>5139.3799999995472</v>
      </c>
      <c r="BN214" s="87">
        <f>SUMIFS($AU$3:AU215,$AQ$3:AQ215,"H")</f>
        <v>3011.2000000002595</v>
      </c>
      <c r="BO214" s="87">
        <f>SUMIFS($AU$3:AU215,$AQ$3:AQ215,"D")</f>
        <v>2670.0000000000009</v>
      </c>
      <c r="BP214" s="87">
        <f>SUMIFS($AU$3:AU217,$AQ$3:AQ217,"W")</f>
        <v>5542.4000000000005</v>
      </c>
      <c r="BQ214" s="87">
        <f>SUMIFS($AU$3:AU215,$Q$3:Q215,"O")</f>
        <v>1770.5799999998073</v>
      </c>
      <c r="BR214" s="87">
        <f>SUMIFS($AU$3:AU215,$AA$3:AA215,"*")</f>
        <v>13843.799999999701</v>
      </c>
      <c r="BS214" s="87">
        <f>SUMIFS($AU$3:AU215,$AB$3:AB215,"*")</f>
        <v>4007.1799999999307</v>
      </c>
      <c r="BT214" s="87">
        <f>SUMIFS($AU$3:AU215,$AC$3:AC215,"*")</f>
        <v>7028.4</v>
      </c>
      <c r="BU214" s="87">
        <f>SUMIFS($AU$3:AU215,$AA$3:AA215,"*",$AB$3:AB215,"*")</f>
        <v>1855.9999999998222</v>
      </c>
      <c r="BV214" s="87">
        <f>SUMIFS($AU$3:AU215,$AA$3:AA215,"*",$AC$3:AC215,"*")</f>
        <v>6564.4</v>
      </c>
      <c r="BW214" s="87">
        <f>SUMIFS($AU$3:AU215,$AB$3:AB215,"*",$AC$3:AC215,"*")</f>
        <v>719.99999999999818</v>
      </c>
      <c r="BX214" s="87">
        <f>SUMIFS($AV$3:AV215,$Q$3:Q215,"F")</f>
        <v>221.28119764293677</v>
      </c>
      <c r="BY214" s="87">
        <f>SUMIFS($AV$3:AV215,$Q$3:Q215,"S")</f>
        <v>296.74781249396261</v>
      </c>
      <c r="BZ214" s="87">
        <f>SUMIFS($AV$3:AV215,$Q$3:Q215,"O")</f>
        <v>520.73999999985608</v>
      </c>
    </row>
    <row r="215" spans="1:78" ht="18" customHeight="1">
      <c r="A215" s="45" t="s">
        <v>567</v>
      </c>
      <c r="B215" s="59"/>
      <c r="C215" s="46"/>
      <c r="D215" s="46"/>
      <c r="E215" s="66"/>
      <c r="F215" s="47"/>
      <c r="G215" s="48"/>
      <c r="H215" s="49"/>
      <c r="I215" s="49"/>
      <c r="J215" s="49"/>
      <c r="K215" s="50"/>
      <c r="L215" s="49"/>
      <c r="M215" s="49"/>
      <c r="N215" s="49"/>
      <c r="O215" s="50"/>
      <c r="P215" s="50"/>
      <c r="Q215" s="50"/>
      <c r="R215" s="50"/>
      <c r="S215" s="50"/>
      <c r="T215" s="50"/>
      <c r="U215" s="50"/>
      <c r="V215" s="50"/>
      <c r="W215" s="50"/>
      <c r="X215" s="50"/>
      <c r="Y215" s="51"/>
      <c r="Z215" s="52"/>
      <c r="AA215" s="52"/>
      <c r="AB215" s="52"/>
      <c r="AC215" s="52"/>
      <c r="AD215" s="231"/>
      <c r="AE215" s="49"/>
      <c r="AF215" s="84"/>
      <c r="AG215" s="49"/>
      <c r="AH215" s="49"/>
      <c r="AI215" s="49"/>
      <c r="AJ215" s="226"/>
      <c r="AK215" s="49"/>
      <c r="AL215" s="113">
        <f t="shared" si="56"/>
        <v>0</v>
      </c>
      <c r="AM215" s="113">
        <f t="shared" si="57"/>
        <v>0</v>
      </c>
      <c r="AN215" s="218"/>
      <c r="AO215" s="49"/>
      <c r="AP215" s="49"/>
      <c r="AQ215" s="84" t="str">
        <f>UPPER(RIGHT(Journal_Live[[#This Row],[DURATION ]]))</f>
        <v/>
      </c>
      <c r="AR215" s="49"/>
      <c r="AS215" s="55"/>
      <c r="AT215" s="55"/>
      <c r="AU215" s="54"/>
      <c r="AV215" s="56"/>
      <c r="AW215" s="57"/>
      <c r="AX215" s="97" t="s">
        <v>860</v>
      </c>
      <c r="AY215" s="96" t="s">
        <v>861</v>
      </c>
      <c r="AZ215" s="96" t="s">
        <v>862</v>
      </c>
      <c r="BA215" s="96" t="s">
        <v>863</v>
      </c>
      <c r="BB215" s="96" t="s">
        <v>864</v>
      </c>
      <c r="BC215" s="96" t="s">
        <v>865</v>
      </c>
      <c r="BD215" s="96" t="s">
        <v>866</v>
      </c>
      <c r="BE215" s="96"/>
      <c r="BF215" s="100"/>
      <c r="BG215" s="94">
        <f>SUM($AV$4:AV215)</f>
        <v>2426.7690101367634</v>
      </c>
      <c r="BH215" s="95">
        <f>SUM($AU$4:AU215)</f>
        <v>16058.979999999814</v>
      </c>
      <c r="BI215" s="80">
        <f>SUMIFS($AU$3:AU216,$Q$3:Q216,"F")</f>
        <v>9348.4000000000015</v>
      </c>
      <c r="BJ215" s="80">
        <f>SUMIFS($AU$3:AU216,$Q$3:Q216,"S")</f>
        <v>3503.9999999999918</v>
      </c>
      <c r="BK215" s="87">
        <f>SUMIFS($AU$3:AU216,$P$3:P216,"W")</f>
        <v>9197.579999999929</v>
      </c>
      <c r="BL215" s="87">
        <f>SUMIFS($AU$3:AU216,$P$3:P216,"R")</f>
        <v>5106</v>
      </c>
      <c r="BM215" s="87">
        <f>SUMIFS($AU$3:AU216,$AQ$3:AQ216,"M")</f>
        <v>5139.3799999995472</v>
      </c>
      <c r="BN215" s="87">
        <f>SUMIFS($AU$3:AU216,$AQ$3:AQ216,"H")</f>
        <v>3011.2000000002595</v>
      </c>
      <c r="BO215" s="87">
        <f>SUMIFS($AU$3:AU216,$AQ$3:AQ216,"D")</f>
        <v>2670.0000000000009</v>
      </c>
      <c r="BP215" s="87">
        <f>SUMIFS($AU$3:AU218,$AQ$3:AQ218,"W")</f>
        <v>5542.4000000000005</v>
      </c>
      <c r="BQ215" s="87">
        <f>SUMIFS($AU$3:AU216,$Q$3:Q216,"O")</f>
        <v>1770.5799999998073</v>
      </c>
      <c r="BR215" s="87">
        <f>SUMIFS($AU$3:AU216,$AA$3:AA216,"*")</f>
        <v>13843.799999999701</v>
      </c>
      <c r="BS215" s="87">
        <f>SUMIFS($AU$3:AU216,$AB$3:AB216,"*")</f>
        <v>4007.1799999999307</v>
      </c>
      <c r="BT215" s="87">
        <f>SUMIFS($AU$3:AU216,$AC$3:AC216,"*")</f>
        <v>7028.4</v>
      </c>
      <c r="BU215" s="87">
        <f>SUMIFS($AU$3:AU216,$AA$3:AA216,"*",$AB$3:AB216,"*")</f>
        <v>1855.9999999998222</v>
      </c>
      <c r="BV215" s="87">
        <f>SUMIFS($AU$3:AU216,$AA$3:AA216,"*",$AC$3:AC216,"*")</f>
        <v>6564.4</v>
      </c>
      <c r="BW215" s="87">
        <f>SUMIFS($AU$3:AU216,$AB$3:AB216,"*",$AC$3:AC216,"*")</f>
        <v>719.99999999999818</v>
      </c>
      <c r="BX215" s="87">
        <f>SUMIFS($AV$3:AV216,$Q$3:Q216,"F")</f>
        <v>221.28119764293677</v>
      </c>
      <c r="BY215" s="87">
        <f>SUMIFS($AV$3:AV216,$Q$3:Q216,"S")</f>
        <v>296.74781249396261</v>
      </c>
      <c r="BZ215" s="87">
        <f>SUMIFS($AV$3:AV216,$Q$3:Q216,"O")</f>
        <v>520.73999999985608</v>
      </c>
    </row>
    <row r="216" spans="1:78" ht="18" customHeight="1">
      <c r="A216" s="45" t="s">
        <v>567</v>
      </c>
      <c r="B216" s="59"/>
      <c r="C216" s="46"/>
      <c r="D216" s="46"/>
      <c r="E216" s="66"/>
      <c r="F216" s="47"/>
      <c r="G216" s="48"/>
      <c r="H216" s="49"/>
      <c r="I216" s="49"/>
      <c r="J216" s="49"/>
      <c r="K216" s="50"/>
      <c r="L216" s="49"/>
      <c r="M216" s="49"/>
      <c r="N216" s="49"/>
      <c r="O216" s="50"/>
      <c r="P216" s="50"/>
      <c r="Q216" s="50"/>
      <c r="R216" s="50"/>
      <c r="S216" s="50"/>
      <c r="T216" s="50"/>
      <c r="U216" s="50"/>
      <c r="V216" s="50"/>
      <c r="W216" s="50"/>
      <c r="X216" s="50"/>
      <c r="Y216" s="51"/>
      <c r="Z216" s="52"/>
      <c r="AA216" s="52"/>
      <c r="AB216" s="52"/>
      <c r="AC216" s="52"/>
      <c r="AD216" s="231"/>
      <c r="AE216" s="49"/>
      <c r="AF216" s="84"/>
      <c r="AG216" s="49"/>
      <c r="AH216" s="49"/>
      <c r="AI216" s="49"/>
      <c r="AJ216" s="226"/>
      <c r="AK216" s="49"/>
      <c r="AL216" s="113">
        <f t="shared" ref="AL216:AL251" si="63">-0.02*Z216</f>
        <v>0</v>
      </c>
      <c r="AM216" s="113">
        <f t="shared" si="57"/>
        <v>0</v>
      </c>
      <c r="AN216" s="218"/>
      <c r="AO216" s="49"/>
      <c r="AP216" s="49"/>
      <c r="AQ216" s="84" t="str">
        <f>UPPER(RIGHT(Journal_Live[[#This Row],[DURATION ]]))</f>
        <v/>
      </c>
      <c r="AR216" s="49"/>
      <c r="AS216" s="55"/>
      <c r="AT216" s="55"/>
      <c r="AU216" s="54"/>
      <c r="AV216" s="56"/>
      <c r="AW216" s="57"/>
      <c r="AX216" s="97" t="s">
        <v>867</v>
      </c>
      <c r="AY216" s="97" t="s">
        <v>868</v>
      </c>
      <c r="AZ216" s="96" t="s">
        <v>869</v>
      </c>
      <c r="BA216" s="96" t="s">
        <v>870</v>
      </c>
      <c r="BB216" s="96"/>
      <c r="BC216" s="96"/>
      <c r="BD216" s="96"/>
      <c r="BE216" s="96"/>
      <c r="BF216" s="100"/>
      <c r="BG216" s="94">
        <f>SUM($AV$4:AV216)</f>
        <v>2426.7690101367634</v>
      </c>
      <c r="BH216" s="95">
        <f>SUM($AU$4:AU216)</f>
        <v>16058.979999999814</v>
      </c>
      <c r="BI216" s="80">
        <f>SUMIFS($AU$3:AU234,$Q$3:Q234,"F")</f>
        <v>9348.4000000000015</v>
      </c>
      <c r="BJ216" s="80">
        <f>SUMIFS($AU$3:AU234,$Q$3:Q234,"S")</f>
        <v>3503.9999999999918</v>
      </c>
      <c r="BK216" s="87">
        <f>SUMIFS($AU$3:AU234,$P$3:P234,"W")</f>
        <v>9197.579999999929</v>
      </c>
      <c r="BL216" s="87">
        <f>SUMIFS($AU$3:AU234,$P$3:P234,"R")</f>
        <v>4066</v>
      </c>
      <c r="BM216" s="87">
        <f>SUMIFS($AU$3:AU234,$AQ$3:AQ234,"M")</f>
        <v>5219.3799999995472</v>
      </c>
      <c r="BN216" s="87">
        <f>SUMIFS($AU$3:AU234,$AQ$3:AQ234,"H")</f>
        <v>3251.2000000002595</v>
      </c>
      <c r="BO216" s="87">
        <f>SUMIFS($AU$3:AU234,$AQ$3:AQ234,"D")</f>
        <v>1310.0000000000011</v>
      </c>
      <c r="BP216" s="87">
        <f>SUMIFS($AU$3:AU219,$AQ$3:AQ219,"W")</f>
        <v>5542.4000000000005</v>
      </c>
      <c r="BQ216" s="87">
        <f>SUMIFS($AU$3:AU234,$Q$3:Q234,"O")</f>
        <v>1770.5799999998073</v>
      </c>
      <c r="BR216" s="87">
        <f>SUMIFS($AU$3:AU234,$AA$3:AA234,"*")</f>
        <v>12803.799999999701</v>
      </c>
      <c r="BS216" s="87">
        <f>SUMIFS($AU$3:AU234,$AB$3:AB234,"*")</f>
        <v>4007.1799999999307</v>
      </c>
      <c r="BT216" s="87">
        <f>SUMIFS($AU$3:AU234,$AC$3:AC234,"*")</f>
        <v>7028.4</v>
      </c>
      <c r="BU216" s="87">
        <f>SUMIFS($AU$3:AU234,$AA$3:AA234,"*",$AB$3:AB234,"*")</f>
        <v>1855.9999999998222</v>
      </c>
      <c r="BV216" s="87">
        <f>SUMIFS($AU$3:AU234,$AA$3:AA234,"*",$AC$3:AC234,"*")</f>
        <v>6564.4</v>
      </c>
      <c r="BW216" s="87">
        <f>SUMIFS($AU$3:AU234,$AB$3:AB234,"*",$AC$3:AC234,"*")</f>
        <v>719.99999999999818</v>
      </c>
      <c r="BX216" s="87">
        <f>SUMIFS($AV$3:AV234,$Q$3:Q234,"F")</f>
        <v>221.28119764293677</v>
      </c>
      <c r="BY216" s="87">
        <f>SUMIFS($AV$3:AV234,$Q$3:Q234,"S")</f>
        <v>296.74781249396261</v>
      </c>
      <c r="BZ216" s="87">
        <f>SUMIFS($AV$3:AV234,$Q$3:Q234,"O")</f>
        <v>520.73999999985608</v>
      </c>
    </row>
    <row r="217" spans="1:78" ht="18" customHeight="1">
      <c r="A217" s="45" t="s">
        <v>567</v>
      </c>
      <c r="B217" s="59">
        <v>45338</v>
      </c>
      <c r="C217" s="46" t="s">
        <v>871</v>
      </c>
      <c r="D217" s="46" t="s">
        <v>115</v>
      </c>
      <c r="E217" s="66"/>
      <c r="F217" s="47"/>
      <c r="G217" s="106" t="s">
        <v>362</v>
      </c>
      <c r="H217" s="49"/>
      <c r="I217" s="49"/>
      <c r="J217" s="49"/>
      <c r="K217" s="50"/>
      <c r="L217" s="49">
        <v>1</v>
      </c>
      <c r="M217" s="49"/>
      <c r="N217" s="49"/>
      <c r="O217" s="50" t="s">
        <v>363</v>
      </c>
      <c r="P217" s="50" t="s">
        <v>126</v>
      </c>
      <c r="Q217" s="50"/>
      <c r="R217" s="50">
        <v>1</v>
      </c>
      <c r="S217" s="50">
        <v>0</v>
      </c>
      <c r="T217" s="50">
        <v>1</v>
      </c>
      <c r="U217" s="50" t="s">
        <v>22</v>
      </c>
      <c r="V217" s="50"/>
      <c r="W217" s="50"/>
      <c r="X217" s="50"/>
      <c r="Y217" s="51">
        <f>IF(ISBLANK(O217),"",(IF(O217=UPPER("IB"),0.005,0.01)))</f>
        <v>0.01</v>
      </c>
      <c r="Z217" s="52">
        <f>IF(ISBLANK(O217),"",IF(O217="IB",8.63*200,IF(O217="IR",16*100,IF(O217="YT",20*100,IF(O217="YT-XT",24*200,IF(O217="TED",80*100))))))</f>
        <v>8000</v>
      </c>
      <c r="AA217" s="52" t="s">
        <v>872</v>
      </c>
      <c r="AB217" s="52"/>
      <c r="AC217" s="52"/>
      <c r="AD217" s="231">
        <v>-0.06</v>
      </c>
      <c r="AE217" s="49"/>
      <c r="AF217" s="84"/>
      <c r="AG217" s="49"/>
      <c r="AH217" s="49"/>
      <c r="AI217" s="49"/>
      <c r="AJ217" s="226"/>
      <c r="AK217" s="49"/>
      <c r="AL217" s="113">
        <f t="shared" si="63"/>
        <v>-160</v>
      </c>
      <c r="AM217" s="113">
        <f t="shared" si="57"/>
        <v>-160</v>
      </c>
      <c r="AN217" s="218"/>
      <c r="AO217" s="49"/>
      <c r="AP217" s="49" t="s">
        <v>301</v>
      </c>
      <c r="AQ217" s="84" t="s">
        <v>142</v>
      </c>
      <c r="AR217" s="49" t="s">
        <v>873</v>
      </c>
      <c r="AS217" s="55">
        <v>-0.05</v>
      </c>
      <c r="AT217" s="55">
        <f>IF(ISBLANK(AS217),,IF(U217="S",AD217-AS217,AS217-AD217))</f>
        <v>9.999999999999995E-3</v>
      </c>
      <c r="AU217" s="54">
        <f>AV217*R217</f>
        <v>79.999999999999957</v>
      </c>
      <c r="AV217" s="56">
        <f>IF(ISBLANK(AS217),,(AT217*Z217))</f>
        <v>79.999999999999957</v>
      </c>
      <c r="AW217" s="57" t="s">
        <v>101</v>
      </c>
      <c r="AX217" s="96" t="s">
        <v>874</v>
      </c>
      <c r="AY217" s="96" t="s">
        <v>875</v>
      </c>
      <c r="AZ217" s="96"/>
      <c r="BA217" s="96"/>
      <c r="BB217" s="96"/>
      <c r="BC217" s="96"/>
      <c r="BD217" s="96" t="s">
        <v>411</v>
      </c>
      <c r="BE217" s="96" t="s">
        <v>412</v>
      </c>
      <c r="BF217" s="100" t="s">
        <v>413</v>
      </c>
      <c r="BG217" s="94">
        <f>SUM($AV$4:AV217)</f>
        <v>2506.7690101367634</v>
      </c>
      <c r="BH217" s="95">
        <f>SUM($AU$4:AU217)</f>
        <v>16138.979999999814</v>
      </c>
      <c r="BI217" s="80">
        <f>SUMIFS($AU$3:AU218,$Q$3:Q218,"F")</f>
        <v>9348.4000000000015</v>
      </c>
      <c r="BJ217" s="80">
        <f>SUMIFS($AU$3:AU218,$Q$3:Q218,"S")</f>
        <v>3503.9999999999918</v>
      </c>
      <c r="BK217" s="87">
        <f>SUMIFS($AU$3:AU218,$P$3:P218,"W")</f>
        <v>9197.579999999929</v>
      </c>
      <c r="BL217" s="87">
        <f>SUMIFS($AU$3:AU218,$P$3:P218,"R")</f>
        <v>5186</v>
      </c>
      <c r="BM217" s="87">
        <f>SUMIFS($AU$3:AU218,$AQ$3:AQ218,"M")</f>
        <v>5139.3799999995472</v>
      </c>
      <c r="BN217" s="87">
        <f>SUMIFS($AU$3:AU218,$AQ$3:AQ218,"H")</f>
        <v>3091.2000000002595</v>
      </c>
      <c r="BO217" s="87">
        <f>SUMIFS($AU$3:AU218,$AQ$3:AQ218,"D")</f>
        <v>2670.0000000000009</v>
      </c>
      <c r="BP217" s="87">
        <f>SUMIFS($AU$3:AU220,$AQ$3:AQ220,"W")</f>
        <v>5542.4000000000005</v>
      </c>
      <c r="BQ217" s="87">
        <f>SUMIFS($AU$3:AU218,$Q$3:Q218,"O")</f>
        <v>1770.5799999998073</v>
      </c>
      <c r="BR217" s="87">
        <f>SUMIFS($AU$3:AU218,$AA$3:AA218,"*")</f>
        <v>13923.799999999701</v>
      </c>
      <c r="BS217" s="87">
        <f>SUMIFS($AU$3:AU218,$AB$3:AB218,"*")</f>
        <v>4007.1799999999307</v>
      </c>
      <c r="BT217" s="87">
        <f>SUMIFS($AU$3:AU218,$AC$3:AC218,"*")</f>
        <v>7028.4</v>
      </c>
      <c r="BU217" s="87">
        <f>SUMIFS($AU$3:AU218,$AA$3:AA218,"*",$AB$3:AB218,"*")</f>
        <v>1855.9999999998222</v>
      </c>
      <c r="BV217" s="87">
        <f>SUMIFS($AU$3:AU218,$AA$3:AA218,"*",$AC$3:AC218,"*")</f>
        <v>6564.4</v>
      </c>
      <c r="BW217" s="87">
        <f>SUMIFS($AU$3:AU218,$AB$3:AB218,"*",$AC$3:AC218,"*")</f>
        <v>719.99999999999818</v>
      </c>
      <c r="BX217" s="87">
        <f>SUMIFS($AV$3:AV218,$Q$3:Q218,"F")</f>
        <v>221.28119764293677</v>
      </c>
      <c r="BY217" s="87">
        <f>SUMIFS($AV$3:AV218,$Q$3:Q218,"S")</f>
        <v>296.74781249396261</v>
      </c>
      <c r="BZ217" s="87">
        <f>SUMIFS($AV$3:AV218,$Q$3:Q218,"O")</f>
        <v>520.73999999985608</v>
      </c>
    </row>
    <row r="218" spans="1:78" ht="18" customHeight="1">
      <c r="A218" s="45" t="s">
        <v>567</v>
      </c>
      <c r="B218" s="59">
        <v>45338</v>
      </c>
      <c r="C218" s="46" t="s">
        <v>209</v>
      </c>
      <c r="D218" s="46" t="s">
        <v>115</v>
      </c>
      <c r="E218" s="66" t="s">
        <v>876</v>
      </c>
      <c r="F218" s="47" t="s">
        <v>877</v>
      </c>
      <c r="G218" s="48"/>
      <c r="H218" s="49">
        <v>1</v>
      </c>
      <c r="I218" s="49"/>
      <c r="J218" s="49"/>
      <c r="K218" s="50" t="s">
        <v>142</v>
      </c>
      <c r="L218" s="49"/>
      <c r="M218" s="49"/>
      <c r="N218" s="49"/>
      <c r="O218" s="50"/>
      <c r="P218" s="50"/>
      <c r="Q218" s="50"/>
      <c r="R218" s="50"/>
      <c r="S218" s="50"/>
      <c r="T218" s="50"/>
      <c r="U218" s="50"/>
      <c r="V218" s="50"/>
      <c r="W218" s="50"/>
      <c r="X218" s="50"/>
      <c r="Y218" s="51"/>
      <c r="Z218" s="52"/>
      <c r="AA218" s="52"/>
      <c r="AB218" s="52"/>
      <c r="AC218" s="52"/>
      <c r="AD218" s="231"/>
      <c r="AE218" s="49"/>
      <c r="AF218" s="84"/>
      <c r="AG218" s="49"/>
      <c r="AH218" s="49"/>
      <c r="AI218" s="49"/>
      <c r="AJ218" s="226"/>
      <c r="AK218" s="49"/>
      <c r="AL218" s="113">
        <f t="shared" si="63"/>
        <v>0</v>
      </c>
      <c r="AM218" s="113">
        <f t="shared" si="57"/>
        <v>0</v>
      </c>
      <c r="AN218" s="218"/>
      <c r="AO218" s="49"/>
      <c r="AP218" s="49"/>
      <c r="AQ218" s="84" t="str">
        <f>UPPER(RIGHT(Journal_Live[[#This Row],[DURATION ]]))</f>
        <v/>
      </c>
      <c r="AR218" s="49"/>
      <c r="AS218" s="55"/>
      <c r="AT218" s="55"/>
      <c r="AU218" s="54"/>
      <c r="AV218" s="56"/>
      <c r="AW218" s="57"/>
      <c r="AX218" s="96"/>
      <c r="AY218" s="96"/>
      <c r="AZ218" s="96"/>
      <c r="BA218" s="96"/>
      <c r="BB218" s="96"/>
      <c r="BC218" s="96"/>
      <c r="BD218" s="96" t="s">
        <v>878</v>
      </c>
      <c r="BE218" s="96"/>
      <c r="BF218" s="100"/>
      <c r="BG218" s="94">
        <f>SUM($AV$4:AV218)</f>
        <v>2506.7690101367634</v>
      </c>
      <c r="BH218" s="95">
        <f>SUM($AU$4:AU218)</f>
        <v>16138.979999999814</v>
      </c>
      <c r="BI218" s="80">
        <f>SUMIFS($AU$3:AU219,$Q$3:Q219,"F")</f>
        <v>9348.4000000000015</v>
      </c>
      <c r="BJ218" s="80">
        <f>SUMIFS($AU$3:AU219,$Q$3:Q219,"S")</f>
        <v>3503.9999999999918</v>
      </c>
      <c r="BK218" s="87">
        <f>SUMIFS($AU$3:AU219,$P$3:P219,"W")</f>
        <v>9197.579999999929</v>
      </c>
      <c r="BL218" s="87">
        <f>SUMIFS($AU$3:AU219,$P$3:P219,"R")</f>
        <v>5186</v>
      </c>
      <c r="BM218" s="87">
        <f>SUMIFS($AU$3:AU219,$AQ$3:AQ219,"M")</f>
        <v>5139.3799999995472</v>
      </c>
      <c r="BN218" s="87">
        <f>SUMIFS($AU$3:AU219,$AQ$3:AQ219,"H")</f>
        <v>3091.2000000002595</v>
      </c>
      <c r="BO218" s="87">
        <f>SUMIFS($AU$3:AU219,$AQ$3:AQ219,"D")</f>
        <v>2670.0000000000009</v>
      </c>
      <c r="BP218" s="87">
        <f>SUMIFS($AU$3:AU221,$AQ$3:AQ221,"W")</f>
        <v>5542.4000000000005</v>
      </c>
      <c r="BQ218" s="87">
        <f>SUMIFS($AU$3:AU219,$Q$3:Q219,"O")</f>
        <v>1770.5799999998073</v>
      </c>
      <c r="BR218" s="87">
        <f>SUMIFS($AU$3:AU219,$AA$3:AA219,"*")</f>
        <v>13923.799999999701</v>
      </c>
      <c r="BS218" s="87">
        <f>SUMIFS($AU$3:AU219,$AB$3:AB219,"*")</f>
        <v>4007.1799999999307</v>
      </c>
      <c r="BT218" s="87">
        <f>SUMIFS($AU$3:AU219,$AC$3:AC219,"*")</f>
        <v>7028.4</v>
      </c>
      <c r="BU218" s="87">
        <f>SUMIFS($AU$3:AU219,$AA$3:AA219,"*",$AB$3:AB219,"*")</f>
        <v>1855.9999999998222</v>
      </c>
      <c r="BV218" s="87">
        <f>SUMIFS($AU$3:AU219,$AA$3:AA219,"*",$AC$3:AC219,"*")</f>
        <v>6564.4</v>
      </c>
      <c r="BW218" s="87">
        <f>SUMIFS($AU$3:AU219,$AB$3:AB219,"*",$AC$3:AC219,"*")</f>
        <v>719.99999999999818</v>
      </c>
      <c r="BX218" s="87">
        <f>SUMIFS($AV$3:AV219,$Q$3:Q219,"F")</f>
        <v>221.28119764293677</v>
      </c>
      <c r="BY218" s="87">
        <f>SUMIFS($AV$3:AV219,$Q$3:Q219,"S")</f>
        <v>296.74781249396261</v>
      </c>
      <c r="BZ218" s="87">
        <f>SUMIFS($AV$3:AV219,$Q$3:Q219,"O")</f>
        <v>520.73999999985608</v>
      </c>
    </row>
    <row r="219" spans="1:78" ht="18" customHeight="1">
      <c r="A219" s="45" t="s">
        <v>567</v>
      </c>
      <c r="B219" s="59"/>
      <c r="C219" s="46"/>
      <c r="D219" s="46"/>
      <c r="E219" s="66" t="s">
        <v>879</v>
      </c>
      <c r="F219" s="47"/>
      <c r="G219" s="48"/>
      <c r="H219" s="49">
        <v>1</v>
      </c>
      <c r="I219" s="49"/>
      <c r="J219" s="49"/>
      <c r="K219" s="50" t="s">
        <v>142</v>
      </c>
      <c r="L219" s="49"/>
      <c r="M219" s="49"/>
      <c r="N219" s="49"/>
      <c r="O219" s="50"/>
      <c r="P219" s="50"/>
      <c r="Q219" s="50"/>
      <c r="R219" s="50"/>
      <c r="S219" s="50"/>
      <c r="T219" s="50"/>
      <c r="U219" s="50"/>
      <c r="V219" s="50"/>
      <c r="W219" s="50"/>
      <c r="X219" s="50"/>
      <c r="Y219" s="51"/>
      <c r="Z219" s="52"/>
      <c r="AA219" s="52"/>
      <c r="AB219" s="52"/>
      <c r="AC219" s="52"/>
      <c r="AD219" s="231"/>
      <c r="AE219" s="49"/>
      <c r="AF219" s="84"/>
      <c r="AG219" s="49"/>
      <c r="AH219" s="49"/>
      <c r="AI219" s="49"/>
      <c r="AJ219" s="226"/>
      <c r="AK219" s="49"/>
      <c r="AL219" s="113">
        <f t="shared" si="63"/>
        <v>0</v>
      </c>
      <c r="AM219" s="113">
        <f t="shared" si="57"/>
        <v>0</v>
      </c>
      <c r="AN219" s="218"/>
      <c r="AO219" s="49"/>
      <c r="AP219" s="49"/>
      <c r="AQ219" s="84" t="str">
        <f>UPPER(RIGHT(Journal_Live[[#This Row],[DURATION ]]))</f>
        <v/>
      </c>
      <c r="AR219" s="49"/>
      <c r="AS219" s="55"/>
      <c r="AT219" s="55"/>
      <c r="AU219" s="54"/>
      <c r="AV219" s="56"/>
      <c r="AW219" s="57"/>
      <c r="AX219" s="96"/>
      <c r="AY219" s="96"/>
      <c r="AZ219" s="96"/>
      <c r="BA219" s="96"/>
      <c r="BB219" s="96"/>
      <c r="BC219" s="96"/>
      <c r="BD219" s="96"/>
      <c r="BE219" s="96"/>
      <c r="BF219" s="100"/>
      <c r="BG219" s="94">
        <f>SUM($AV$4:AV219)</f>
        <v>2506.7690101367634</v>
      </c>
      <c r="BH219" s="95">
        <f>SUM($AU$4:AU219)</f>
        <v>16138.979999999814</v>
      </c>
      <c r="BI219" s="80">
        <f>SUMIFS($AU$3:AU220,$Q$3:Q220,"F")</f>
        <v>9348.4000000000015</v>
      </c>
      <c r="BJ219" s="80">
        <f>SUMIFS($AU$3:AU220,$Q$3:Q220,"S")</f>
        <v>3503.9999999999918</v>
      </c>
      <c r="BK219" s="87">
        <f>SUMIFS($AU$3:AU220,$P$3:P220,"W")</f>
        <v>9197.579999999929</v>
      </c>
      <c r="BL219" s="87">
        <f>SUMIFS($AU$3:AU220,$P$3:P220,"R")</f>
        <v>5266</v>
      </c>
      <c r="BM219" s="87">
        <f>SUMIFS($AU$3:AU220,$AQ$3:AQ220,"M")</f>
        <v>5219.3799999995472</v>
      </c>
      <c r="BN219" s="87">
        <f>SUMIFS($AU$3:AU220,$AQ$3:AQ220,"H")</f>
        <v>3091.2000000002595</v>
      </c>
      <c r="BO219" s="87">
        <f>SUMIFS($AU$3:AU220,$AQ$3:AQ220,"D")</f>
        <v>2670.0000000000009</v>
      </c>
      <c r="BP219" s="87">
        <f>SUMIFS($AU$3:AU222,$AQ$3:AQ222,"W")</f>
        <v>5542.4000000000005</v>
      </c>
      <c r="BQ219" s="87">
        <f>SUMIFS($AU$3:AU220,$Q$3:Q220,"O")</f>
        <v>1770.5799999998073</v>
      </c>
      <c r="BR219" s="87">
        <f>SUMIFS($AU$3:AU220,$AA$3:AA220,"*")</f>
        <v>14003.799999999701</v>
      </c>
      <c r="BS219" s="87">
        <f>SUMIFS($AU$3:AU220,$AB$3:AB220,"*")</f>
        <v>4007.1799999999307</v>
      </c>
      <c r="BT219" s="87">
        <f>SUMIFS($AU$3:AU220,$AC$3:AC220,"*")</f>
        <v>7028.4</v>
      </c>
      <c r="BU219" s="87">
        <f>SUMIFS($AU$3:AU220,$AA$3:AA220,"*",$AB$3:AB220,"*")</f>
        <v>1855.9999999998222</v>
      </c>
      <c r="BV219" s="87">
        <f>SUMIFS($AU$3:AU220,$AA$3:AA220,"*",$AC$3:AC220,"*")</f>
        <v>6564.4</v>
      </c>
      <c r="BW219" s="87">
        <f>SUMIFS($AU$3:AU220,$AB$3:AB220,"*",$AC$3:AC220,"*")</f>
        <v>719.99999999999818</v>
      </c>
      <c r="BX219" s="87">
        <f>SUMIFS($AV$3:AV220,$Q$3:Q220,"F")</f>
        <v>221.28119764293677</v>
      </c>
      <c r="BY219" s="87">
        <f>SUMIFS($AV$3:AV220,$Q$3:Q220,"S")</f>
        <v>296.74781249396261</v>
      </c>
      <c r="BZ219" s="87">
        <f>SUMIFS($AV$3:AV220,$Q$3:Q220,"O")</f>
        <v>520.73999999985608</v>
      </c>
    </row>
    <row r="220" spans="1:78" ht="18" customHeight="1">
      <c r="A220" s="45" t="s">
        <v>567</v>
      </c>
      <c r="B220" s="59">
        <v>45341</v>
      </c>
      <c r="C220" s="46" t="s">
        <v>880</v>
      </c>
      <c r="D220" s="46" t="s">
        <v>176</v>
      </c>
      <c r="E220" s="66"/>
      <c r="F220" s="47"/>
      <c r="G220" s="106" t="s">
        <v>377</v>
      </c>
      <c r="H220" s="49"/>
      <c r="I220" s="49"/>
      <c r="J220" s="49"/>
      <c r="K220" s="50"/>
      <c r="L220" s="49">
        <v>1</v>
      </c>
      <c r="M220" s="49"/>
      <c r="N220" s="49"/>
      <c r="O220" s="50" t="s">
        <v>363</v>
      </c>
      <c r="P220" s="50" t="s">
        <v>126</v>
      </c>
      <c r="Q220" s="50"/>
      <c r="R220" s="50">
        <v>1</v>
      </c>
      <c r="S220" s="50">
        <v>0</v>
      </c>
      <c r="T220" s="50">
        <v>1</v>
      </c>
      <c r="U220" s="50" t="s">
        <v>22</v>
      </c>
      <c r="V220" s="50"/>
      <c r="W220" s="50"/>
      <c r="X220" s="50"/>
      <c r="Y220" s="51">
        <f>IF(ISBLANK(O220),"",(IF(O220=UPPER("IB"),0.005,0.01)))</f>
        <v>0.01</v>
      </c>
      <c r="Z220" s="52">
        <f>IF(ISBLANK(O220),"",IF(O220="IB",8.63*200,IF(O220="IR",16*100,IF(O220="YT",20*100,IF(O220="YT-XT",24*200,IF(O220="TED",80*100))))))</f>
        <v>8000</v>
      </c>
      <c r="AA220" s="52" t="s">
        <v>872</v>
      </c>
      <c r="AB220" s="52"/>
      <c r="AC220" s="52"/>
      <c r="AD220" s="231">
        <v>-0.12</v>
      </c>
      <c r="AE220" s="49"/>
      <c r="AF220" s="84"/>
      <c r="AG220" s="49"/>
      <c r="AH220" s="49"/>
      <c r="AI220" s="49"/>
      <c r="AJ220" s="226"/>
      <c r="AK220" s="49"/>
      <c r="AL220" s="113">
        <f t="shared" si="63"/>
        <v>-160</v>
      </c>
      <c r="AM220" s="113">
        <f t="shared" si="57"/>
        <v>-160</v>
      </c>
      <c r="AN220" s="218"/>
      <c r="AO220" s="49"/>
      <c r="AP220" s="49" t="s">
        <v>680</v>
      </c>
      <c r="AQ220" s="84" t="s">
        <v>350</v>
      </c>
      <c r="AR220" s="49" t="s">
        <v>608</v>
      </c>
      <c r="AS220" s="55">
        <v>-0.11</v>
      </c>
      <c r="AT220" s="55">
        <f>IF(ISBLANK(AS220),,IF(U220="S",AD220-AS220,AS220-AD220))</f>
        <v>9.999999999999995E-3</v>
      </c>
      <c r="AU220" s="54">
        <f>AV220*R220</f>
        <v>79.999999999999957</v>
      </c>
      <c r="AV220" s="56">
        <f>IF(ISBLANK(AS220),,(AT220*Z220))</f>
        <v>79.999999999999957</v>
      </c>
      <c r="AW220" s="57" t="s">
        <v>101</v>
      </c>
      <c r="AX220" s="96"/>
      <c r="AY220" s="96"/>
      <c r="AZ220" s="96"/>
      <c r="BA220" s="96"/>
      <c r="BB220" s="96"/>
      <c r="BC220" s="96"/>
      <c r="BD220" s="96" t="s">
        <v>411</v>
      </c>
      <c r="BE220" s="96" t="s">
        <v>412</v>
      </c>
      <c r="BF220" s="100" t="s">
        <v>413</v>
      </c>
      <c r="BG220" s="94">
        <f>SUM($AV$4:AV220)</f>
        <v>2586.7690101367634</v>
      </c>
      <c r="BH220" s="95">
        <f>SUM($AU$4:AU220)</f>
        <v>16218.979999999814</v>
      </c>
      <c r="BI220" s="80">
        <f>SUMIFS($AU$3:AU221,$Q$3:Q221,"F")</f>
        <v>9348.4000000000015</v>
      </c>
      <c r="BJ220" s="80">
        <f>SUMIFS($AU$3:AU221,$Q$3:Q221,"S")</f>
        <v>3503.9999999999918</v>
      </c>
      <c r="BK220" s="87">
        <f>SUMIFS($AU$3:AU221,$P$3:P221,"W")</f>
        <v>9197.579999999929</v>
      </c>
      <c r="BL220" s="87">
        <f>SUMIFS($AU$3:AU221,$P$3:P221,"R")</f>
        <v>5346</v>
      </c>
      <c r="BM220" s="87">
        <f>SUMIFS($AU$3:AU221,$AQ$3:AQ221,"M")</f>
        <v>5219.3799999995472</v>
      </c>
      <c r="BN220" s="87">
        <f>SUMIFS($AU$3:AU221,$AQ$3:AQ221,"H")</f>
        <v>3171.2000000002595</v>
      </c>
      <c r="BO220" s="87">
        <f>SUMIFS($AU$3:AU221,$AQ$3:AQ221,"D")</f>
        <v>2670.0000000000009</v>
      </c>
      <c r="BP220" s="87">
        <f>SUMIFS($AU$3:AU223,$AQ$3:AQ223,"W")</f>
        <v>5542.4000000000005</v>
      </c>
      <c r="BQ220" s="87">
        <f>SUMIFS($AU$3:AU221,$Q$3:Q221,"O")</f>
        <v>1770.5799999998073</v>
      </c>
      <c r="BR220" s="87">
        <f>SUMIFS($AU$3:AU221,$AA$3:AA221,"*")</f>
        <v>14083.799999999701</v>
      </c>
      <c r="BS220" s="87">
        <f>SUMIFS($AU$3:AU221,$AB$3:AB221,"*")</f>
        <v>4007.1799999999307</v>
      </c>
      <c r="BT220" s="87">
        <f>SUMIFS($AU$3:AU221,$AC$3:AC221,"*")</f>
        <v>7028.4</v>
      </c>
      <c r="BU220" s="87">
        <f>SUMIFS($AU$3:AU221,$AA$3:AA221,"*",$AB$3:AB221,"*")</f>
        <v>1855.9999999998222</v>
      </c>
      <c r="BV220" s="87">
        <f>SUMIFS($AU$3:AU221,$AA$3:AA221,"*",$AC$3:AC221,"*")</f>
        <v>6564.4</v>
      </c>
      <c r="BW220" s="87">
        <f>SUMIFS($AU$3:AU221,$AB$3:AB221,"*",$AC$3:AC221,"*")</f>
        <v>719.99999999999818</v>
      </c>
      <c r="BX220" s="87">
        <f>SUMIFS($AV$3:AV221,$Q$3:Q221,"F")</f>
        <v>221.28119764293677</v>
      </c>
      <c r="BY220" s="87">
        <f>SUMIFS($AV$3:AV221,$Q$3:Q221,"S")</f>
        <v>296.74781249396261</v>
      </c>
      <c r="BZ220" s="87">
        <f>SUMIFS($AV$3:AV221,$Q$3:Q221,"O")</f>
        <v>520.73999999985608</v>
      </c>
    </row>
    <row r="221" spans="1:78" ht="18" customHeight="1">
      <c r="A221" s="45" t="s">
        <v>567</v>
      </c>
      <c r="B221" s="59">
        <v>45341</v>
      </c>
      <c r="C221" s="46" t="s">
        <v>881</v>
      </c>
      <c r="D221" s="46" t="s">
        <v>176</v>
      </c>
      <c r="E221" s="66"/>
      <c r="F221" s="47"/>
      <c r="G221" s="106" t="s">
        <v>377</v>
      </c>
      <c r="H221" s="49"/>
      <c r="I221" s="49"/>
      <c r="J221" s="49"/>
      <c r="K221" s="50"/>
      <c r="L221" s="49">
        <v>1</v>
      </c>
      <c r="M221" s="49"/>
      <c r="N221" s="49"/>
      <c r="O221" s="50" t="s">
        <v>363</v>
      </c>
      <c r="P221" s="50" t="s">
        <v>126</v>
      </c>
      <c r="Q221" s="50"/>
      <c r="R221" s="50">
        <v>1</v>
      </c>
      <c r="S221" s="50">
        <v>0</v>
      </c>
      <c r="T221" s="50">
        <v>1</v>
      </c>
      <c r="U221" s="50" t="s">
        <v>22</v>
      </c>
      <c r="V221" s="50"/>
      <c r="W221" s="50"/>
      <c r="X221" s="50"/>
      <c r="Y221" s="51">
        <f>IF(ISBLANK(O221),"",(IF(O221=UPPER("IB"),0.005,0.01)))</f>
        <v>0.01</v>
      </c>
      <c r="Z221" s="52">
        <f>IF(ISBLANK(O221),"",IF(O221="IB",8.63*200,IF(O221="IR",16*100,IF(O221="YT",20*100,IF(O221="YT-XT",24*200,IF(O221="TED",80*100))))))</f>
        <v>8000</v>
      </c>
      <c r="AA221" s="52" t="s">
        <v>872</v>
      </c>
      <c r="AB221" s="52"/>
      <c r="AC221" s="52"/>
      <c r="AD221" s="231">
        <v>-0.12</v>
      </c>
      <c r="AE221" s="49"/>
      <c r="AF221" s="84"/>
      <c r="AG221" s="49"/>
      <c r="AH221" s="49"/>
      <c r="AI221" s="49"/>
      <c r="AJ221" s="226"/>
      <c r="AK221" s="49"/>
      <c r="AL221" s="113">
        <f t="shared" si="63"/>
        <v>-160</v>
      </c>
      <c r="AM221" s="113">
        <f t="shared" si="57"/>
        <v>-160</v>
      </c>
      <c r="AN221" s="218"/>
      <c r="AO221" s="49"/>
      <c r="AP221" s="49" t="s">
        <v>222</v>
      </c>
      <c r="AQ221" s="84" t="s">
        <v>142</v>
      </c>
      <c r="AR221" s="49" t="s">
        <v>882</v>
      </c>
      <c r="AS221" s="55">
        <v>-0.11</v>
      </c>
      <c r="AT221" s="55">
        <f>IF(ISBLANK(AS221),,IF(U221="S",AD221-AS221,AS221-AD221))</f>
        <v>9.999999999999995E-3</v>
      </c>
      <c r="AU221" s="54">
        <f>AV221*R221</f>
        <v>79.999999999999957</v>
      </c>
      <c r="AV221" s="56">
        <f t="shared" ref="AV221:AV222" si="64">IF(ISBLANK(AS221),,(AT221*Z221))</f>
        <v>79.999999999999957</v>
      </c>
      <c r="AW221" s="57" t="s">
        <v>101</v>
      </c>
      <c r="AX221" s="96"/>
      <c r="AY221" s="96"/>
      <c r="AZ221" s="96"/>
      <c r="BA221" s="96"/>
      <c r="BB221" s="96"/>
      <c r="BC221" s="96"/>
      <c r="BD221" s="96"/>
      <c r="BE221" s="96"/>
      <c r="BF221" s="100"/>
      <c r="BG221" s="94">
        <f>SUM($AV$4:AV221)</f>
        <v>2666.7690101367634</v>
      </c>
      <c r="BH221" s="95">
        <f>SUM($AU$4:AU221)</f>
        <v>16298.979999999814</v>
      </c>
      <c r="BI221" s="80">
        <f>SUMIFS($AU$3:AU222,$Q$3:Q222,"F")</f>
        <v>9348.4000000000015</v>
      </c>
      <c r="BJ221" s="80">
        <f>SUMIFS($AU$3:AU222,$Q$3:Q222,"S")</f>
        <v>3503.9999999999918</v>
      </c>
      <c r="BK221" s="87">
        <f>SUMIFS($AU$3:AU222,$P$3:P222,"W")</f>
        <v>9197.579999999929</v>
      </c>
      <c r="BL221" s="87">
        <f>SUMIFS($AU$3:AU222,$P$3:P222,"R")</f>
        <v>5346</v>
      </c>
      <c r="BM221" s="87">
        <f>SUMIFS($AU$3:AU222,$AQ$3:AQ222,"M")</f>
        <v>5219.3799999995472</v>
      </c>
      <c r="BN221" s="87">
        <f>SUMIFS($AU$3:AU222,$AQ$3:AQ222,"H")</f>
        <v>3171.2000000002595</v>
      </c>
      <c r="BO221" s="87">
        <f>SUMIFS($AU$3:AU222,$AQ$3:AQ222,"D")</f>
        <v>2670.0000000000009</v>
      </c>
      <c r="BP221" s="87">
        <f>SUMIFS($AU$3:AU224,$AQ$3:AQ224,"W")</f>
        <v>5542.4000000000005</v>
      </c>
      <c r="BQ221" s="87">
        <f>SUMIFS($AU$3:AU222,$Q$3:Q222,"O")</f>
        <v>1770.5799999998073</v>
      </c>
      <c r="BR221" s="87">
        <f>SUMIFS($AU$3:AU222,$AA$3:AA222,"*")</f>
        <v>14083.799999999701</v>
      </c>
      <c r="BS221" s="87">
        <f>SUMIFS($AU$3:AU222,$AB$3:AB222,"*")</f>
        <v>4007.1799999999307</v>
      </c>
      <c r="BT221" s="87">
        <f>SUMIFS($AU$3:AU222,$AC$3:AC222,"*")</f>
        <v>7028.4</v>
      </c>
      <c r="BU221" s="87">
        <f>SUMIFS($AU$3:AU222,$AA$3:AA222,"*",$AB$3:AB222,"*")</f>
        <v>1855.9999999998222</v>
      </c>
      <c r="BV221" s="87">
        <f>SUMIFS($AU$3:AU222,$AA$3:AA222,"*",$AC$3:AC222,"*")</f>
        <v>6564.4</v>
      </c>
      <c r="BW221" s="87">
        <f>SUMIFS($AU$3:AU222,$AB$3:AB222,"*",$AC$3:AC222,"*")</f>
        <v>719.99999999999818</v>
      </c>
      <c r="BX221" s="87">
        <f>SUMIFS($AV$3:AV222,$Q$3:Q222,"F")</f>
        <v>221.28119764293677</v>
      </c>
      <c r="BY221" s="87">
        <f>SUMIFS($AV$3:AV222,$Q$3:Q222,"S")</f>
        <v>296.74781249396261</v>
      </c>
      <c r="BZ221" s="87">
        <f>SUMIFS($AV$3:AV222,$Q$3:Q222,"O")</f>
        <v>520.73999999985608</v>
      </c>
    </row>
    <row r="222" spans="1:78" ht="18" customHeight="1">
      <c r="A222" s="45" t="s">
        <v>567</v>
      </c>
      <c r="B222" s="59">
        <v>45341</v>
      </c>
      <c r="C222" s="46" t="s">
        <v>883</v>
      </c>
      <c r="D222" s="46" t="s">
        <v>176</v>
      </c>
      <c r="E222" s="66"/>
      <c r="F222" s="47"/>
      <c r="G222" s="106" t="s">
        <v>195</v>
      </c>
      <c r="H222" s="49"/>
      <c r="I222" s="49"/>
      <c r="J222" s="49"/>
      <c r="K222" s="50"/>
      <c r="L222" s="49">
        <v>2</v>
      </c>
      <c r="M222" s="49"/>
      <c r="N222" s="49"/>
      <c r="O222" s="50" t="s">
        <v>196</v>
      </c>
      <c r="P222" s="50" t="s">
        <v>197</v>
      </c>
      <c r="Q222" s="50" t="s">
        <v>198</v>
      </c>
      <c r="R222" s="50">
        <v>3</v>
      </c>
      <c r="S222" s="50">
        <v>0</v>
      </c>
      <c r="T222" s="50">
        <v>1</v>
      </c>
      <c r="U222" s="50" t="s">
        <v>102</v>
      </c>
      <c r="V222" s="50"/>
      <c r="W222" s="50"/>
      <c r="X222" s="50"/>
      <c r="Y222" s="51">
        <f>IF(ISBLANK(O222),"",(IF(O222=UPPER("IB"),0.005,0.01)))</f>
        <v>0.01</v>
      </c>
      <c r="Z222" s="52">
        <f>IF(ISBLANK(O222),"",IF(O222="IB",8.63*200,IF(O222="IR",16*100,IF(O222="YT",20*100,IF(O222="YT-XT",24*200,IF(O222="TED",80*100,IF(O222="XT",29*200)))))))</f>
        <v>5800</v>
      </c>
      <c r="AA222" s="52" t="s">
        <v>884</v>
      </c>
      <c r="AB222" s="52"/>
      <c r="AC222" s="52"/>
      <c r="AD222" s="231">
        <v>95.805000000000007</v>
      </c>
      <c r="AE222" s="49"/>
      <c r="AF222" s="84"/>
      <c r="AG222" s="49" t="s">
        <v>885</v>
      </c>
      <c r="AH222" s="49"/>
      <c r="AI222" s="49"/>
      <c r="AJ222" s="226" t="s">
        <v>886</v>
      </c>
      <c r="AK222" s="49"/>
      <c r="AL222" s="113">
        <f>-0.04*Z222</f>
        <v>-232</v>
      </c>
      <c r="AM222" s="113">
        <f t="shared" si="57"/>
        <v>-696</v>
      </c>
      <c r="AN222" s="218"/>
      <c r="AO222" s="49"/>
      <c r="AP222" s="49" t="s">
        <v>887</v>
      </c>
      <c r="AQ222" s="84" t="s">
        <v>350</v>
      </c>
      <c r="AR222" s="49" t="s">
        <v>888</v>
      </c>
      <c r="AS222" s="55">
        <v>95.805000000000007</v>
      </c>
      <c r="AT222" s="55">
        <f>IF(ISBLANK(AS222),,IF(U222="S",AD222-AS222,AS222-AD222))</f>
        <v>0</v>
      </c>
      <c r="AU222" s="54">
        <f>AV222*R222</f>
        <v>0</v>
      </c>
      <c r="AV222" s="56">
        <f t="shared" si="64"/>
        <v>0</v>
      </c>
      <c r="AW222" s="57" t="s">
        <v>155</v>
      </c>
      <c r="AX222" s="96" t="s">
        <v>889</v>
      </c>
      <c r="AY222" s="96" t="s">
        <v>890</v>
      </c>
      <c r="AZ222" s="96"/>
      <c r="BA222" s="96"/>
      <c r="BB222" s="96"/>
      <c r="BC222" s="96"/>
      <c r="BD222" s="96"/>
      <c r="BE222" s="96"/>
      <c r="BF222" s="100"/>
      <c r="BG222" s="94">
        <f>SUM($AV$4:AV222)</f>
        <v>2666.7690101367634</v>
      </c>
      <c r="BH222" s="95">
        <f>SUM($AU$4:AU222)</f>
        <v>16298.979999999814</v>
      </c>
      <c r="BI222" s="80">
        <f>SUMIFS($AU$3:AU223,$Q$3:Q223,"F")</f>
        <v>9348.4000000000015</v>
      </c>
      <c r="BJ222" s="80">
        <f>SUMIFS($AU$3:AU223,$Q$3:Q223,"S")</f>
        <v>3503.9999999999918</v>
      </c>
      <c r="BK222" s="87">
        <f>SUMIFS($AU$3:AU223,$P$3:P223,"W")</f>
        <v>9197.579999999929</v>
      </c>
      <c r="BL222" s="87">
        <f>SUMIFS($AU$3:AU223,$P$3:P223,"R")</f>
        <v>5346</v>
      </c>
      <c r="BM222" s="87">
        <f>SUMIFS($AU$3:AU223,$AQ$3:AQ223,"M")</f>
        <v>5219.3799999995472</v>
      </c>
      <c r="BN222" s="87">
        <f>SUMIFS($AU$3:AU223,$AQ$3:AQ223,"H")</f>
        <v>3171.2000000002595</v>
      </c>
      <c r="BO222" s="87">
        <f>SUMIFS($AU$3:AU223,$AQ$3:AQ223,"D")</f>
        <v>2670.0000000000009</v>
      </c>
      <c r="BP222" s="87">
        <f>SUMIFS($AU$3:AU225,$AQ$3:AQ225,"W")</f>
        <v>5542.4000000000005</v>
      </c>
      <c r="BQ222" s="87">
        <f>SUMIFS($AU$3:AU223,$Q$3:Q223,"O")</f>
        <v>1770.5799999998073</v>
      </c>
      <c r="BR222" s="87">
        <f>SUMIFS($AU$3:AU223,$AA$3:AA223,"*")</f>
        <v>14083.799999999701</v>
      </c>
      <c r="BS222" s="87">
        <f>SUMIFS($AU$3:AU223,$AB$3:AB223,"*")</f>
        <v>4007.1799999999307</v>
      </c>
      <c r="BT222" s="87">
        <f>SUMIFS($AU$3:AU223,$AC$3:AC223,"*")</f>
        <v>7028.4</v>
      </c>
      <c r="BU222" s="87">
        <f>SUMIFS($AU$3:AU223,$AA$3:AA223,"*",$AB$3:AB223,"*")</f>
        <v>1855.9999999998222</v>
      </c>
      <c r="BV222" s="87">
        <f>SUMIFS($AU$3:AU223,$AA$3:AA223,"*",$AC$3:AC223,"*")</f>
        <v>6564.4</v>
      </c>
      <c r="BW222" s="87">
        <f>SUMIFS($AU$3:AU223,$AB$3:AB223,"*",$AC$3:AC223,"*")</f>
        <v>719.99999999999818</v>
      </c>
      <c r="BX222" s="87">
        <f>SUMIFS($AV$3:AV223,$Q$3:Q223,"F")</f>
        <v>221.28119764293677</v>
      </c>
      <c r="BY222" s="87">
        <f>SUMIFS($AV$3:AV223,$Q$3:Q223,"S")</f>
        <v>296.74781249396261</v>
      </c>
      <c r="BZ222" s="87">
        <f>SUMIFS($AV$3:AV223,$Q$3:Q223,"O")</f>
        <v>520.73999999985608</v>
      </c>
    </row>
    <row r="223" spans="1:78" ht="18" customHeight="1">
      <c r="A223" s="45" t="s">
        <v>567</v>
      </c>
      <c r="B223" s="59"/>
      <c r="C223" s="46"/>
      <c r="D223" s="46"/>
      <c r="E223" s="66"/>
      <c r="F223" s="47"/>
      <c r="G223" s="48"/>
      <c r="H223" s="49"/>
      <c r="I223" s="49"/>
      <c r="J223" s="49"/>
      <c r="K223" s="50"/>
      <c r="L223" s="49"/>
      <c r="M223" s="49"/>
      <c r="N223" s="49"/>
      <c r="O223" s="50"/>
      <c r="P223" s="50"/>
      <c r="Q223" s="50"/>
      <c r="R223" s="50"/>
      <c r="S223" s="50"/>
      <c r="T223" s="50"/>
      <c r="U223" s="50"/>
      <c r="V223" s="50"/>
      <c r="W223" s="50"/>
      <c r="X223" s="50"/>
      <c r="Y223" s="51"/>
      <c r="Z223" s="52"/>
      <c r="AA223" s="52"/>
      <c r="AB223" s="52"/>
      <c r="AC223" s="52"/>
      <c r="AD223" s="231"/>
      <c r="AE223" s="49"/>
      <c r="AF223" s="84"/>
      <c r="AG223" s="49"/>
      <c r="AH223" s="49"/>
      <c r="AI223" s="49"/>
      <c r="AJ223" s="226"/>
      <c r="AK223" s="49"/>
      <c r="AL223" s="113">
        <f t="shared" si="63"/>
        <v>0</v>
      </c>
      <c r="AM223" s="113">
        <f t="shared" si="57"/>
        <v>0</v>
      </c>
      <c r="AN223" s="218"/>
      <c r="AO223" s="49"/>
      <c r="AP223" s="49"/>
      <c r="AQ223" s="84" t="str">
        <f>UPPER(RIGHT(Journal_Live[[#This Row],[DURATION ]]))</f>
        <v/>
      </c>
      <c r="AR223" s="49"/>
      <c r="AS223" s="55"/>
      <c r="AT223" s="55"/>
      <c r="AU223" s="54"/>
      <c r="AV223" s="56"/>
      <c r="AW223" s="57"/>
      <c r="AX223" s="96" t="s">
        <v>891</v>
      </c>
      <c r="AY223" s="96" t="s">
        <v>892</v>
      </c>
      <c r="AZ223" s="96" t="s">
        <v>893</v>
      </c>
      <c r="BA223" s="96" t="s">
        <v>894</v>
      </c>
      <c r="BB223" s="97" t="s">
        <v>895</v>
      </c>
      <c r="BC223" s="97" t="s">
        <v>896</v>
      </c>
      <c r="BD223" s="99" t="s">
        <v>897</v>
      </c>
      <c r="BE223" s="96" t="s">
        <v>898</v>
      </c>
      <c r="BF223" s="100"/>
      <c r="BG223" s="94">
        <f>SUM($AV$4:AV223)</f>
        <v>2666.7690101367634</v>
      </c>
      <c r="BH223" s="95">
        <f>SUM($AU$4:AU223)</f>
        <v>16298.979999999814</v>
      </c>
      <c r="BI223" s="80">
        <f>SUMIFS($AU$3:AU224,$Q$3:Q224,"F")</f>
        <v>9348.4000000000015</v>
      </c>
      <c r="BJ223" s="80">
        <f>SUMIFS($AU$3:AU224,$Q$3:Q224,"S")</f>
        <v>3503.9999999999918</v>
      </c>
      <c r="BK223" s="87">
        <f>SUMIFS($AU$3:AU224,$P$3:P224,"W")</f>
        <v>9197.579999999929</v>
      </c>
      <c r="BL223" s="87">
        <f>SUMIFS($AU$3:AU224,$P$3:P224,"R")</f>
        <v>5346</v>
      </c>
      <c r="BM223" s="87">
        <f>SUMIFS($AU$3:AU224,$AQ$3:AQ224,"M")</f>
        <v>5219.3799999995472</v>
      </c>
      <c r="BN223" s="87">
        <f>SUMIFS($AU$3:AU224,$AQ$3:AQ224,"H")</f>
        <v>3171.2000000002595</v>
      </c>
      <c r="BO223" s="87">
        <f>SUMIFS($AU$3:AU224,$AQ$3:AQ224,"D")</f>
        <v>2670.0000000000009</v>
      </c>
      <c r="BP223" s="87">
        <f>SUMIFS($AU$3:AU226,$AQ$3:AQ226,"W")</f>
        <v>5542.4000000000005</v>
      </c>
      <c r="BQ223" s="87">
        <f>SUMIFS($AU$3:AU224,$Q$3:Q224,"O")</f>
        <v>1770.5799999998073</v>
      </c>
      <c r="BR223" s="87">
        <f>SUMIFS($AU$3:AU224,$AA$3:AA224,"*")</f>
        <v>14083.799999999701</v>
      </c>
      <c r="BS223" s="87">
        <f>SUMIFS($AU$3:AU224,$AB$3:AB224,"*")</f>
        <v>4007.1799999999307</v>
      </c>
      <c r="BT223" s="87">
        <f>SUMIFS($AU$3:AU224,$AC$3:AC224,"*")</f>
        <v>7028.4</v>
      </c>
      <c r="BU223" s="87">
        <f>SUMIFS($AU$3:AU224,$AA$3:AA224,"*",$AB$3:AB224,"*")</f>
        <v>1855.9999999998222</v>
      </c>
      <c r="BV223" s="87">
        <f>SUMIFS($AU$3:AU224,$AA$3:AA224,"*",$AC$3:AC224,"*")</f>
        <v>6564.4</v>
      </c>
      <c r="BW223" s="87">
        <f>SUMIFS($AU$3:AU224,$AB$3:AB224,"*",$AC$3:AC224,"*")</f>
        <v>719.99999999999818</v>
      </c>
      <c r="BX223" s="87">
        <f>SUMIFS($AV$3:AV224,$Q$3:Q224,"F")</f>
        <v>221.28119764293677</v>
      </c>
      <c r="BY223" s="87">
        <f>SUMIFS($AV$3:AV224,$Q$3:Q224,"S")</f>
        <v>296.74781249396261</v>
      </c>
      <c r="BZ223" s="87">
        <f>SUMIFS($AV$3:AV224,$Q$3:Q224,"O")</f>
        <v>520.73999999985608</v>
      </c>
    </row>
    <row r="224" spans="1:78" ht="18" customHeight="1">
      <c r="A224" s="45" t="s">
        <v>567</v>
      </c>
      <c r="B224" s="59"/>
      <c r="C224" s="46"/>
      <c r="D224" s="46"/>
      <c r="E224" s="66"/>
      <c r="F224" s="47"/>
      <c r="G224" s="48"/>
      <c r="H224" s="49"/>
      <c r="I224" s="49"/>
      <c r="J224" s="49"/>
      <c r="K224" s="50"/>
      <c r="L224" s="49"/>
      <c r="M224" s="49"/>
      <c r="N224" s="49"/>
      <c r="O224" s="50"/>
      <c r="P224" s="50"/>
      <c r="Q224" s="50"/>
      <c r="R224" s="50"/>
      <c r="S224" s="50"/>
      <c r="T224" s="50"/>
      <c r="U224" s="50"/>
      <c r="V224" s="50"/>
      <c r="W224" s="50"/>
      <c r="X224" s="50"/>
      <c r="Y224" s="51"/>
      <c r="Z224" s="52"/>
      <c r="AA224" s="52"/>
      <c r="AB224" s="52"/>
      <c r="AC224" s="52"/>
      <c r="AD224" s="231"/>
      <c r="AE224" s="49"/>
      <c r="AF224" s="84"/>
      <c r="AG224" s="49"/>
      <c r="AH224" s="49"/>
      <c r="AI224" s="49"/>
      <c r="AJ224" s="226"/>
      <c r="AK224" s="49"/>
      <c r="AL224" s="113">
        <f t="shared" si="63"/>
        <v>0</v>
      </c>
      <c r="AM224" s="113">
        <f t="shared" si="57"/>
        <v>0</v>
      </c>
      <c r="AN224" s="218"/>
      <c r="AO224" s="49"/>
      <c r="AP224" s="49"/>
      <c r="AQ224" s="84" t="str">
        <f>UPPER(RIGHT(Journal_Live[[#This Row],[DURATION ]]))</f>
        <v/>
      </c>
      <c r="AR224" s="49"/>
      <c r="AS224" s="55"/>
      <c r="AT224" s="55"/>
      <c r="AU224" s="54"/>
      <c r="AV224" s="56"/>
      <c r="AW224" s="57"/>
      <c r="AX224" s="96" t="s">
        <v>899</v>
      </c>
      <c r="AY224" s="96" t="s">
        <v>900</v>
      </c>
      <c r="AZ224" s="96" t="s">
        <v>901</v>
      </c>
      <c r="BA224" s="96" t="s">
        <v>902</v>
      </c>
      <c r="BB224" s="96"/>
      <c r="BC224" s="96"/>
      <c r="BD224" s="96"/>
      <c r="BE224" s="96"/>
      <c r="BF224" s="100"/>
      <c r="BG224" s="94">
        <f>SUM($AV$4:AV224)</f>
        <v>2666.7690101367634</v>
      </c>
      <c r="BH224" s="95">
        <f>SUM($AU$4:AU224)</f>
        <v>16298.979999999814</v>
      </c>
      <c r="BI224" s="80">
        <f>SUMIFS($AU$3:AU225,$Q$3:Q225,"F")</f>
        <v>9348.4000000000015</v>
      </c>
      <c r="BJ224" s="80">
        <f>SUMIFS($AU$3:AU225,$Q$3:Q225,"S")</f>
        <v>3503.9999999999918</v>
      </c>
      <c r="BK224" s="87">
        <f>SUMIFS($AU$3:AU225,$P$3:P225,"W")</f>
        <v>9197.579999999929</v>
      </c>
      <c r="BL224" s="87">
        <f>SUMIFS($AU$3:AU225,$P$3:P225,"R")</f>
        <v>5346</v>
      </c>
      <c r="BM224" s="87">
        <f>SUMIFS($AU$3:AU225,$AQ$3:AQ225,"M")</f>
        <v>5219.3799999995472</v>
      </c>
      <c r="BN224" s="87">
        <f>SUMIFS($AU$3:AU225,$AQ$3:AQ225,"H")</f>
        <v>3171.2000000002595</v>
      </c>
      <c r="BO224" s="87">
        <f>SUMIFS($AU$3:AU225,$AQ$3:AQ225,"D")</f>
        <v>2670.0000000000009</v>
      </c>
      <c r="BP224" s="87">
        <f>SUMIFS($AU$3:AU227,$AQ$3:AQ227,"W")</f>
        <v>5542.4000000000005</v>
      </c>
      <c r="BQ224" s="87">
        <f>SUMIFS($AU$3:AU225,$Q$3:Q225,"O")</f>
        <v>1770.5799999998073</v>
      </c>
      <c r="BR224" s="87">
        <f>SUMIFS($AU$3:AU225,$AA$3:AA225,"*")</f>
        <v>14083.799999999701</v>
      </c>
      <c r="BS224" s="87">
        <f>SUMIFS($AU$3:AU225,$AB$3:AB225,"*")</f>
        <v>4007.1799999999307</v>
      </c>
      <c r="BT224" s="87">
        <f>SUMIFS($AU$3:AU225,$AC$3:AC225,"*")</f>
        <v>7028.4</v>
      </c>
      <c r="BU224" s="87">
        <f>SUMIFS($AU$3:AU225,$AA$3:AA225,"*",$AB$3:AB225,"*")</f>
        <v>1855.9999999998222</v>
      </c>
      <c r="BV224" s="87">
        <f>SUMIFS($AU$3:AU225,$AA$3:AA225,"*",$AC$3:AC225,"*")</f>
        <v>6564.4</v>
      </c>
      <c r="BW224" s="87">
        <f>SUMIFS($AU$3:AU225,$AB$3:AB225,"*",$AC$3:AC225,"*")</f>
        <v>719.99999999999818</v>
      </c>
      <c r="BX224" s="87">
        <f>SUMIFS($AV$3:AV225,$Q$3:Q225,"F")</f>
        <v>221.28119764293677</v>
      </c>
      <c r="BY224" s="87">
        <f>SUMIFS($AV$3:AV225,$Q$3:Q225,"S")</f>
        <v>296.74781249396261</v>
      </c>
      <c r="BZ224" s="87">
        <f>SUMIFS($AV$3:AV225,$Q$3:Q225,"O")</f>
        <v>520.73999999985608</v>
      </c>
    </row>
    <row r="225" spans="1:78" ht="18" customHeight="1">
      <c r="A225" s="45" t="s">
        <v>567</v>
      </c>
      <c r="B225" s="59"/>
      <c r="C225" s="46"/>
      <c r="D225" s="46"/>
      <c r="E225" s="66"/>
      <c r="F225" s="47"/>
      <c r="G225" s="48"/>
      <c r="H225" s="49"/>
      <c r="I225" s="49"/>
      <c r="J225" s="49"/>
      <c r="K225" s="50"/>
      <c r="L225" s="49"/>
      <c r="M225" s="49"/>
      <c r="N225" s="49"/>
      <c r="O225" s="50"/>
      <c r="P225" s="50"/>
      <c r="Q225" s="50"/>
      <c r="R225" s="50"/>
      <c r="S225" s="50"/>
      <c r="T225" s="50"/>
      <c r="U225" s="50"/>
      <c r="V225" s="50"/>
      <c r="W225" s="50"/>
      <c r="X225" s="50"/>
      <c r="Y225" s="51"/>
      <c r="Z225" s="52"/>
      <c r="AA225" s="52"/>
      <c r="AB225" s="52"/>
      <c r="AC225" s="52"/>
      <c r="AD225" s="231"/>
      <c r="AE225" s="49"/>
      <c r="AF225" s="84"/>
      <c r="AG225" s="49"/>
      <c r="AH225" s="49"/>
      <c r="AI225" s="49"/>
      <c r="AJ225" s="226"/>
      <c r="AK225" s="49"/>
      <c r="AL225" s="113">
        <f t="shared" si="63"/>
        <v>0</v>
      </c>
      <c r="AM225" s="113">
        <f t="shared" si="57"/>
        <v>0</v>
      </c>
      <c r="AN225" s="218"/>
      <c r="AO225" s="49"/>
      <c r="AP225" s="49"/>
      <c r="AQ225" s="84" t="str">
        <f>UPPER(RIGHT(Journal_Live[[#This Row],[DURATION ]]))</f>
        <v/>
      </c>
      <c r="AR225" s="49"/>
      <c r="AS225" s="55"/>
      <c r="AT225" s="55"/>
      <c r="AU225" s="54"/>
      <c r="AV225" s="56"/>
      <c r="AW225" s="57"/>
      <c r="AX225" s="96" t="s">
        <v>903</v>
      </c>
      <c r="AY225" s="96" t="s">
        <v>904</v>
      </c>
      <c r="AZ225" s="96"/>
      <c r="BA225" s="96"/>
      <c r="BB225" s="96"/>
      <c r="BC225" s="96"/>
      <c r="BD225" s="96"/>
      <c r="BE225" s="96"/>
      <c r="BF225" s="100"/>
      <c r="BG225" s="94">
        <f>SUM($AV$4:AV225)</f>
        <v>2666.7690101367634</v>
      </c>
      <c r="BH225" s="95">
        <f>SUM($AU$4:AU225)</f>
        <v>16298.979999999814</v>
      </c>
      <c r="BI225" s="80">
        <f>SUMIFS($AU$3:AU226,$Q$3:Q226,"F")</f>
        <v>9348.4000000000015</v>
      </c>
      <c r="BJ225" s="80">
        <f>SUMIFS($AU$3:AU226,$Q$3:Q226,"S")</f>
        <v>3503.9999999999918</v>
      </c>
      <c r="BK225" s="87">
        <f>SUMIFS($AU$3:AU226,$P$3:P226,"W")</f>
        <v>9197.579999999929</v>
      </c>
      <c r="BL225" s="87">
        <f>SUMIFS($AU$3:AU226,$P$3:P226,"R")</f>
        <v>5346</v>
      </c>
      <c r="BM225" s="87">
        <f>SUMIFS($AU$3:AU226,$AQ$3:AQ226,"M")</f>
        <v>5219.3799999995472</v>
      </c>
      <c r="BN225" s="87">
        <f>SUMIFS($AU$3:AU226,$AQ$3:AQ226,"H")</f>
        <v>3171.2000000002595</v>
      </c>
      <c r="BO225" s="87">
        <f>SUMIFS($AU$3:AU226,$AQ$3:AQ226,"D")</f>
        <v>2670.0000000000009</v>
      </c>
      <c r="BP225" s="87">
        <f>SUMIFS($AU$3:AU228,$AQ$3:AQ228,"W")</f>
        <v>5542.4000000000005</v>
      </c>
      <c r="BQ225" s="87">
        <f>SUMIFS($AU$3:AU226,$Q$3:Q226,"O")</f>
        <v>1770.5799999998073</v>
      </c>
      <c r="BR225" s="87">
        <f>SUMIFS($AU$3:AU226,$AA$3:AA226,"*")</f>
        <v>14083.799999999701</v>
      </c>
      <c r="BS225" s="87">
        <f>SUMIFS($AU$3:AU226,$AB$3:AB226,"*")</f>
        <v>4007.1799999999307</v>
      </c>
      <c r="BT225" s="87">
        <f>SUMIFS($AU$3:AU226,$AC$3:AC226,"*")</f>
        <v>7028.4</v>
      </c>
      <c r="BU225" s="87">
        <f>SUMIFS($AU$3:AU226,$AA$3:AA226,"*",$AB$3:AB226,"*")</f>
        <v>1855.9999999998222</v>
      </c>
      <c r="BV225" s="87">
        <f>SUMIFS($AU$3:AU226,$AA$3:AA226,"*",$AC$3:AC226,"*")</f>
        <v>6564.4</v>
      </c>
      <c r="BW225" s="87">
        <f>SUMIFS($AU$3:AU226,$AB$3:AB226,"*",$AC$3:AC226,"*")</f>
        <v>719.99999999999818</v>
      </c>
      <c r="BX225" s="87">
        <f>SUMIFS($AV$3:AV226,$Q$3:Q226,"F")</f>
        <v>221.28119764293677</v>
      </c>
      <c r="BY225" s="87">
        <f>SUMIFS($AV$3:AV226,$Q$3:Q226,"S")</f>
        <v>296.74781249396261</v>
      </c>
      <c r="BZ225" s="87">
        <f>SUMIFS($AV$3:AV226,$Q$3:Q226,"O")</f>
        <v>520.73999999985608</v>
      </c>
    </row>
    <row r="226" spans="1:78" ht="18" customHeight="1">
      <c r="A226" s="45" t="s">
        <v>567</v>
      </c>
      <c r="B226" s="59">
        <v>45342</v>
      </c>
      <c r="C226" s="46" t="s">
        <v>209</v>
      </c>
      <c r="D226" s="46" t="s">
        <v>98</v>
      </c>
      <c r="E226" s="66" t="s">
        <v>905</v>
      </c>
      <c r="F226" s="47"/>
      <c r="G226" s="48"/>
      <c r="H226" s="49"/>
      <c r="I226" s="49"/>
      <c r="J226" s="49">
        <v>1</v>
      </c>
      <c r="K226" s="50" t="s">
        <v>155</v>
      </c>
      <c r="L226" s="49"/>
      <c r="M226" s="49"/>
      <c r="N226" s="49"/>
      <c r="O226" s="50"/>
      <c r="P226" s="50"/>
      <c r="Q226" s="50"/>
      <c r="R226" s="50"/>
      <c r="S226" s="50"/>
      <c r="T226" s="50"/>
      <c r="U226" s="50"/>
      <c r="V226" s="50"/>
      <c r="W226" s="50"/>
      <c r="X226" s="50"/>
      <c r="Y226" s="51"/>
      <c r="Z226" s="52"/>
      <c r="AA226" s="52"/>
      <c r="AB226" s="52"/>
      <c r="AC226" s="52"/>
      <c r="AD226" s="231"/>
      <c r="AE226" s="49"/>
      <c r="AF226" s="84"/>
      <c r="AG226" s="49"/>
      <c r="AH226" s="49"/>
      <c r="AI226" s="49"/>
      <c r="AJ226" s="226"/>
      <c r="AK226" s="49"/>
      <c r="AL226" s="113">
        <f t="shared" ref="AL226:AL233" si="65">-0.02*Z226</f>
        <v>0</v>
      </c>
      <c r="AM226" s="113">
        <f t="shared" si="57"/>
        <v>0</v>
      </c>
      <c r="AN226" s="218"/>
      <c r="AO226" s="49"/>
      <c r="AP226" s="49"/>
      <c r="AQ226" s="84" t="str">
        <f>UPPER(RIGHT(Journal_Live[[#This Row],[DURATION ]]))</f>
        <v/>
      </c>
      <c r="AR226" s="49"/>
      <c r="AS226" s="55"/>
      <c r="AT226" s="55"/>
      <c r="AU226" s="54"/>
      <c r="AV226" s="56"/>
      <c r="AW226" s="57"/>
      <c r="AX226" s="96" t="s">
        <v>906</v>
      </c>
      <c r="AY226" s="96" t="s">
        <v>907</v>
      </c>
      <c r="AZ226" s="96"/>
      <c r="BA226" s="96"/>
      <c r="BB226" s="96"/>
      <c r="BC226" s="96"/>
      <c r="BD226" s="96"/>
      <c r="BE226" s="96"/>
      <c r="BF226" s="100"/>
      <c r="BG226" s="94">
        <f>SUM($AV$4:AV226)</f>
        <v>2666.7690101367634</v>
      </c>
      <c r="BH226" s="95">
        <f>SUM($AU$4:AU226)</f>
        <v>16298.979999999814</v>
      </c>
      <c r="BI226" s="80">
        <f>SUMIFS($AU$3:AU227,$Q$3:Q227,"F")</f>
        <v>9348.4000000000015</v>
      </c>
      <c r="BJ226" s="80">
        <f>SUMIFS($AU$3:AU227,$Q$3:Q227,"S")</f>
        <v>3503.9999999999918</v>
      </c>
      <c r="BK226" s="87">
        <f>SUMIFS($AU$3:AU227,$P$3:P227,"W")</f>
        <v>9197.579999999929</v>
      </c>
      <c r="BL226" s="87">
        <f>SUMIFS($AU$3:AU227,$P$3:P227,"R")</f>
        <v>5346</v>
      </c>
      <c r="BM226" s="87">
        <f>SUMIFS($AU$3:AU227,$AQ$3:AQ227,"M")</f>
        <v>5219.3799999995472</v>
      </c>
      <c r="BN226" s="87">
        <f>SUMIFS($AU$3:AU227,$AQ$3:AQ227,"H")</f>
        <v>3171.2000000002595</v>
      </c>
      <c r="BO226" s="87">
        <f>SUMIFS($AU$3:AU227,$AQ$3:AQ227,"D")</f>
        <v>2670.0000000000009</v>
      </c>
      <c r="BP226" s="87">
        <f>SUMIFS($AU$3:AU229,$AQ$3:AQ229,"W")</f>
        <v>5542.4000000000005</v>
      </c>
      <c r="BQ226" s="87">
        <f>SUMIFS($AU$3:AU227,$Q$3:Q227,"O")</f>
        <v>1770.5799999998073</v>
      </c>
      <c r="BR226" s="87">
        <f>SUMIFS($AU$3:AU227,$AA$3:AA227,"*")</f>
        <v>14083.799999999701</v>
      </c>
      <c r="BS226" s="87">
        <f>SUMIFS($AU$3:AU227,$AB$3:AB227,"*")</f>
        <v>4007.1799999999307</v>
      </c>
      <c r="BT226" s="87">
        <f>SUMIFS($AU$3:AU227,$AC$3:AC227,"*")</f>
        <v>7028.4</v>
      </c>
      <c r="BU226" s="87">
        <f>SUMIFS($AU$3:AU227,$AA$3:AA227,"*",$AB$3:AB227,"*")</f>
        <v>1855.9999999998222</v>
      </c>
      <c r="BV226" s="87">
        <f>SUMIFS($AU$3:AU227,$AA$3:AA227,"*",$AC$3:AC227,"*")</f>
        <v>6564.4</v>
      </c>
      <c r="BW226" s="87">
        <f>SUMIFS($AU$3:AU227,$AB$3:AB227,"*",$AC$3:AC227,"*")</f>
        <v>719.99999999999818</v>
      </c>
      <c r="BX226" s="87">
        <f>SUMIFS($AV$3:AV227,$Q$3:Q227,"F")</f>
        <v>221.28119764293677</v>
      </c>
      <c r="BY226" s="87">
        <f>SUMIFS($AV$3:AV227,$Q$3:Q227,"S")</f>
        <v>296.74781249396261</v>
      </c>
      <c r="BZ226" s="87">
        <f>SUMIFS($AV$3:AV227,$Q$3:Q227,"O")</f>
        <v>520.73999999985608</v>
      </c>
    </row>
    <row r="227" spans="1:78" ht="18" customHeight="1">
      <c r="A227" s="45" t="s">
        <v>567</v>
      </c>
      <c r="B227" s="59">
        <v>45342</v>
      </c>
      <c r="C227" s="46" t="s">
        <v>147</v>
      </c>
      <c r="D227" s="46" t="s">
        <v>98</v>
      </c>
      <c r="E227" s="66"/>
      <c r="F227" s="47"/>
      <c r="G227" s="106" t="s">
        <v>195</v>
      </c>
      <c r="H227" s="49"/>
      <c r="I227" s="49"/>
      <c r="J227" s="49"/>
      <c r="K227" s="50"/>
      <c r="L227" s="49">
        <v>1</v>
      </c>
      <c r="M227" s="49"/>
      <c r="N227" s="49"/>
      <c r="O227" s="50" t="s">
        <v>196</v>
      </c>
      <c r="P227" s="50" t="s">
        <v>197</v>
      </c>
      <c r="Q227" s="50" t="s">
        <v>198</v>
      </c>
      <c r="R227" s="50">
        <v>1</v>
      </c>
      <c r="S227" s="50">
        <v>0</v>
      </c>
      <c r="T227" s="50">
        <v>1</v>
      </c>
      <c r="U227" s="50" t="s">
        <v>22</v>
      </c>
      <c r="V227" s="50"/>
      <c r="W227" s="50"/>
      <c r="X227" s="50"/>
      <c r="Y227" s="51">
        <f>IF(ISBLANK(O227),"",(IF(O227=UPPER("IB"),0.005,0.01)))</f>
        <v>0.01</v>
      </c>
      <c r="Z227" s="52">
        <f>IF(ISBLANK(O227),"",IF(O227="IB",8.63*200,IF(O227="IR",16*100,IF(O227="YT",20*100,IF(O227="YT-XT",24*200,IF(O227="TED",80*100,IF(O227="XT",29*200)))))))</f>
        <v>5800</v>
      </c>
      <c r="AA227" s="52" t="s">
        <v>908</v>
      </c>
      <c r="AB227" s="52"/>
      <c r="AC227" s="52"/>
      <c r="AD227" s="231">
        <v>95.81</v>
      </c>
      <c r="AE227" s="49"/>
      <c r="AF227" s="84"/>
      <c r="AG227" s="49"/>
      <c r="AH227" s="49"/>
      <c r="AI227" s="49"/>
      <c r="AJ227" s="226"/>
      <c r="AK227" s="49"/>
      <c r="AL227" s="113">
        <f>-0.04*Z227</f>
        <v>-232</v>
      </c>
      <c r="AM227" s="113">
        <f t="shared" si="57"/>
        <v>-232</v>
      </c>
      <c r="AN227" s="218"/>
      <c r="AO227" s="49"/>
      <c r="AP227" s="49" t="s">
        <v>909</v>
      </c>
      <c r="AQ227" s="84" t="s">
        <v>350</v>
      </c>
      <c r="AR227" s="49"/>
      <c r="AS227" s="55">
        <v>95.81</v>
      </c>
      <c r="AT227" s="55">
        <f>IF(ISBLANK(AS227),,IF(U227="S",AD227-AS227,AS227-AD227))</f>
        <v>0</v>
      </c>
      <c r="AU227" s="54">
        <f>AV227*R227</f>
        <v>0</v>
      </c>
      <c r="AV227" s="56">
        <f t="shared" ref="AV227" si="66">IF(ISBLANK(AS227),,(AT227*Z227))</f>
        <v>0</v>
      </c>
      <c r="AW227" s="57" t="s">
        <v>155</v>
      </c>
      <c r="AX227" s="96" t="s">
        <v>910</v>
      </c>
      <c r="AY227" s="96" t="s">
        <v>911</v>
      </c>
      <c r="AZ227" s="96"/>
      <c r="BA227" s="96"/>
      <c r="BB227" s="96"/>
      <c r="BC227" s="96"/>
      <c r="BD227" s="96"/>
      <c r="BE227" s="96"/>
      <c r="BF227" s="100"/>
      <c r="BG227" s="94">
        <f>SUM($AV$4:AV227)</f>
        <v>2666.7690101367634</v>
      </c>
      <c r="BH227" s="95">
        <f>SUM($AU$4:AU227)</f>
        <v>16298.979999999814</v>
      </c>
      <c r="BI227" s="80">
        <f>SUMIFS($AU$3:AU231,$Q$3:Q231,"F")</f>
        <v>9348.4000000000015</v>
      </c>
      <c r="BJ227" s="80">
        <f>SUMIFS($AU$3:AU231,$Q$3:Q231,"S")</f>
        <v>3503.9999999999918</v>
      </c>
      <c r="BK227" s="87">
        <f>SUMIFS($AU$3:AU231,$P$3:P231,"W")</f>
        <v>9197.579999999929</v>
      </c>
      <c r="BL227" s="87">
        <f>SUMIFS($AU$3:AU231,$P$3:P231,"R")</f>
        <v>5346</v>
      </c>
      <c r="BM227" s="87">
        <f>SUMIFS($AU$3:AU231,$AQ$3:AQ231,"M")</f>
        <v>5219.3799999995472</v>
      </c>
      <c r="BN227" s="87">
        <f>SUMIFS($AU$3:AU231,$AQ$3:AQ231,"H")</f>
        <v>3171.2000000002595</v>
      </c>
      <c r="BO227" s="87">
        <f>SUMIFS($AU$3:AU231,$AQ$3:AQ231,"D")</f>
        <v>2670.0000000000009</v>
      </c>
      <c r="BP227" s="87">
        <f>SUMIFS($AU$3:AU230,$AQ$3:AQ230,"W")</f>
        <v>5542.4000000000005</v>
      </c>
      <c r="BQ227" s="87">
        <f>SUMIFS($AU$3:AU231,$Q$3:Q231,"O")</f>
        <v>1770.5799999998073</v>
      </c>
      <c r="BR227" s="87">
        <f>SUMIFS($AU$3:AU231,$AA$3:AA231,"*")</f>
        <v>14083.799999999701</v>
      </c>
      <c r="BS227" s="87">
        <f>SUMIFS($AU$3:AU231,$AB$3:AB231,"*")</f>
        <v>4007.1799999999307</v>
      </c>
      <c r="BT227" s="87">
        <f>SUMIFS($AU$3:AU231,$AC$3:AC231,"*")</f>
        <v>7028.4</v>
      </c>
      <c r="BU227" s="87">
        <f>SUMIFS($AU$3:AU231,$AA$3:AA231,"*",$AB$3:AB231,"*")</f>
        <v>1855.9999999998222</v>
      </c>
      <c r="BV227" s="87">
        <f>SUMIFS($AU$3:AU231,$AA$3:AA231,"*",$AC$3:AC231,"*")</f>
        <v>6564.4</v>
      </c>
      <c r="BW227" s="87">
        <f>SUMIFS($AU$3:AU231,$AB$3:AB231,"*",$AC$3:AC231,"*")</f>
        <v>719.99999999999818</v>
      </c>
      <c r="BX227" s="87">
        <f>SUMIFS($AV$3:AV231,$Q$3:Q231,"F")</f>
        <v>221.28119764293677</v>
      </c>
      <c r="BY227" s="87">
        <f>SUMIFS($AV$3:AV231,$Q$3:Q231,"S")</f>
        <v>296.74781249396261</v>
      </c>
      <c r="BZ227" s="87">
        <f>SUMIFS($AV$3:AV231,$Q$3:Q231,"O")</f>
        <v>520.73999999985608</v>
      </c>
    </row>
    <row r="228" spans="1:78" ht="18" customHeight="1">
      <c r="A228" s="45" t="s">
        <v>567</v>
      </c>
      <c r="B228" s="59"/>
      <c r="C228" s="46"/>
      <c r="D228" s="46"/>
      <c r="E228" s="66"/>
      <c r="F228" s="47"/>
      <c r="G228" s="48"/>
      <c r="H228" s="49"/>
      <c r="I228" s="49"/>
      <c r="J228" s="49"/>
      <c r="K228" s="50"/>
      <c r="L228" s="49"/>
      <c r="M228" s="49"/>
      <c r="N228" s="49"/>
      <c r="O228" s="50"/>
      <c r="P228" s="50"/>
      <c r="Q228" s="50"/>
      <c r="R228" s="50"/>
      <c r="S228" s="50"/>
      <c r="T228" s="50"/>
      <c r="U228" s="50"/>
      <c r="V228" s="50"/>
      <c r="W228" s="50"/>
      <c r="X228" s="50"/>
      <c r="Y228" s="69"/>
      <c r="Z228" s="50"/>
      <c r="AA228" s="52"/>
      <c r="AB228" s="52"/>
      <c r="AC228" s="52"/>
      <c r="AD228" s="231"/>
      <c r="AE228" s="49"/>
      <c r="AF228" s="84"/>
      <c r="AG228" s="49"/>
      <c r="AH228" s="49"/>
      <c r="AI228" s="49"/>
      <c r="AJ228" s="226"/>
      <c r="AK228" s="49"/>
      <c r="AL228" s="113">
        <f t="shared" ref="AL228:AL230" si="67">-0.04*Z228</f>
        <v>0</v>
      </c>
      <c r="AM228" s="113">
        <f t="shared" si="57"/>
        <v>0</v>
      </c>
      <c r="AN228" s="218"/>
      <c r="AO228" s="49"/>
      <c r="AP228" s="49"/>
      <c r="AQ228" s="84" t="str">
        <f>UPPER(RIGHT(Journal_Live[[#This Row],[DURATION ]]))</f>
        <v/>
      </c>
      <c r="AR228" s="49"/>
      <c r="AS228" s="55"/>
      <c r="AT228" s="55"/>
      <c r="AU228" s="54"/>
      <c r="AV228" s="56"/>
      <c r="AW228" s="57"/>
      <c r="AX228" s="141" t="s">
        <v>912</v>
      </c>
      <c r="AY228" s="137" t="s">
        <v>128</v>
      </c>
      <c r="AZ228" s="140" t="s">
        <v>786</v>
      </c>
      <c r="BA228" s="139" t="s">
        <v>913</v>
      </c>
      <c r="BB228" s="96"/>
      <c r="BC228" s="96"/>
      <c r="BD228" s="96"/>
      <c r="BE228" s="96"/>
      <c r="BF228" s="100"/>
      <c r="BG228" s="94">
        <f>SUM($AV$4:AV228)</f>
        <v>2666.7690101367634</v>
      </c>
      <c r="BH228" s="95">
        <f>SUM($AU$4:AU228)</f>
        <v>16298.979999999814</v>
      </c>
      <c r="BI228" s="80">
        <f>SUMIFS($AU$3:AU232,$Q$3:Q232,"F")</f>
        <v>9348.4000000000015</v>
      </c>
      <c r="BJ228" s="80">
        <f>SUMIFS($AU$3:AU232,$Q$3:Q232,"S")</f>
        <v>3503.9999999999918</v>
      </c>
      <c r="BK228" s="87">
        <f>SUMIFS($AU$3:AU232,$P$3:P232,"W")</f>
        <v>9197.579999999929</v>
      </c>
      <c r="BL228" s="87">
        <f>SUMIFS($AU$3:AU232,$P$3:P232,"R")</f>
        <v>5426</v>
      </c>
      <c r="BM228" s="87">
        <f>SUMIFS($AU$3:AU232,$AQ$3:AQ232,"M")</f>
        <v>5219.3799999995472</v>
      </c>
      <c r="BN228" s="87">
        <f>SUMIFS($AU$3:AU232,$AQ$3:AQ232,"H")</f>
        <v>3251.2000000002595</v>
      </c>
      <c r="BO228" s="87">
        <f>SUMIFS($AU$3:AU232,$AQ$3:AQ232,"D")</f>
        <v>2670.0000000000009</v>
      </c>
      <c r="BP228" s="87">
        <f>SUMIFS($AU$3:AU231,$AQ$3:AQ231,"W")</f>
        <v>5542.4000000000005</v>
      </c>
      <c r="BQ228" s="87">
        <f>SUMIFS($AU$3:AU232,$Q$3:Q232,"O")</f>
        <v>1770.5799999998073</v>
      </c>
      <c r="BR228" s="87">
        <f>SUMIFS($AU$3:AU232,$AA$3:AA232,"*")</f>
        <v>14163.799999999701</v>
      </c>
      <c r="BS228" s="87">
        <f>SUMIFS($AU$3:AU232,$AB$3:AB232,"*")</f>
        <v>4007.1799999999307</v>
      </c>
      <c r="BT228" s="87">
        <f>SUMIFS($AU$3:AU232,$AC$3:AC232,"*")</f>
        <v>7028.4</v>
      </c>
      <c r="BU228" s="87">
        <f>SUMIFS($AU$3:AU232,$AA$3:AA232,"*",$AB$3:AB232,"*")</f>
        <v>1855.9999999998222</v>
      </c>
      <c r="BV228" s="87">
        <f>SUMIFS($AU$3:AU232,$AA$3:AA232,"*",$AC$3:AC232,"*")</f>
        <v>6564.4</v>
      </c>
      <c r="BW228" s="87">
        <f>SUMIFS($AU$3:AU232,$AB$3:AB232,"*",$AC$3:AC232,"*")</f>
        <v>719.99999999999818</v>
      </c>
      <c r="BX228" s="87">
        <f>SUMIFS($AV$3:AV232,$Q$3:Q232,"F")</f>
        <v>221.28119764293677</v>
      </c>
      <c r="BY228" s="87">
        <f>SUMIFS($AV$3:AV232,$Q$3:Q232,"S")</f>
        <v>296.74781249396261</v>
      </c>
      <c r="BZ228" s="87">
        <f>SUMIFS($AV$3:AV232,$Q$3:Q232,"O")</f>
        <v>520.73999999985608</v>
      </c>
    </row>
    <row r="229" spans="1:78" ht="18" customHeight="1">
      <c r="A229" s="45" t="s">
        <v>567</v>
      </c>
      <c r="B229" s="59"/>
      <c r="C229" s="46"/>
      <c r="D229" s="46"/>
      <c r="E229" s="66"/>
      <c r="F229" s="47"/>
      <c r="G229" s="48"/>
      <c r="H229" s="49"/>
      <c r="I229" s="49"/>
      <c r="J229" s="49"/>
      <c r="K229" s="50"/>
      <c r="L229" s="49"/>
      <c r="M229" s="49"/>
      <c r="N229" s="49"/>
      <c r="O229" s="50"/>
      <c r="P229" s="50"/>
      <c r="Q229" s="50"/>
      <c r="R229" s="50"/>
      <c r="S229" s="50"/>
      <c r="T229" s="50"/>
      <c r="U229" s="50"/>
      <c r="V229" s="50"/>
      <c r="W229" s="50"/>
      <c r="X229" s="50"/>
      <c r="Y229" s="69"/>
      <c r="Z229" s="50"/>
      <c r="AA229" s="52"/>
      <c r="AB229" s="52"/>
      <c r="AC229" s="52"/>
      <c r="AD229" s="231"/>
      <c r="AE229" s="49"/>
      <c r="AF229" s="84"/>
      <c r="AG229" s="49"/>
      <c r="AH229" s="49"/>
      <c r="AI229" s="49"/>
      <c r="AJ229" s="226"/>
      <c r="AK229" s="49"/>
      <c r="AL229" s="113">
        <f t="shared" si="67"/>
        <v>0</v>
      </c>
      <c r="AM229" s="113">
        <f t="shared" si="57"/>
        <v>0</v>
      </c>
      <c r="AN229" s="218"/>
      <c r="AO229" s="49"/>
      <c r="AP229" s="49"/>
      <c r="AQ229" s="84" t="str">
        <f>UPPER(RIGHT(Journal_Live[[#This Row],[DURATION ]]))</f>
        <v/>
      </c>
      <c r="AR229" s="49"/>
      <c r="AS229" s="55"/>
      <c r="AT229" s="55"/>
      <c r="AU229" s="54"/>
      <c r="AV229" s="56"/>
      <c r="AW229" s="57"/>
      <c r="AX229" s="136" t="s">
        <v>914</v>
      </c>
      <c r="AY229" s="137" t="s">
        <v>915</v>
      </c>
      <c r="AZ229" s="140" t="s">
        <v>916</v>
      </c>
      <c r="BA229" s="139" t="s">
        <v>917</v>
      </c>
      <c r="BB229" s="96"/>
      <c r="BC229" s="96"/>
      <c r="BD229" s="96"/>
      <c r="BE229" s="96"/>
      <c r="BF229" s="100"/>
      <c r="BG229" s="94">
        <f>SUM($AV$4:AV229)</f>
        <v>2666.7690101367634</v>
      </c>
      <c r="BH229" s="95">
        <f>SUM($AU$4:AU229)</f>
        <v>16298.979999999814</v>
      </c>
      <c r="BI229" s="80">
        <f>SUMIFS($AU$3:AU233,$Q$3:Q233,"F")</f>
        <v>9348.4000000000015</v>
      </c>
      <c r="BJ229" s="80">
        <f>SUMIFS($AU$3:AU233,$Q$3:Q233,"S")</f>
        <v>3503.9999999999918</v>
      </c>
      <c r="BK229" s="87">
        <f>SUMIFS($AU$3:AU233,$P$3:P233,"W")</f>
        <v>9197.579999999929</v>
      </c>
      <c r="BL229" s="87">
        <f>SUMIFS($AU$3:AU233,$P$3:P233,"R")</f>
        <v>5266</v>
      </c>
      <c r="BM229" s="87">
        <f>SUMIFS($AU$3:AU233,$AQ$3:AQ233,"M")</f>
        <v>5219.3799999995472</v>
      </c>
      <c r="BN229" s="87">
        <f>SUMIFS($AU$3:AU233,$AQ$3:AQ233,"H")</f>
        <v>3251.2000000002595</v>
      </c>
      <c r="BO229" s="87">
        <f>SUMIFS($AU$3:AU233,$AQ$3:AQ233,"D")</f>
        <v>2510.0000000000009</v>
      </c>
      <c r="BP229" s="87">
        <f>SUMIFS($AU$3:AU232,$AQ$3:AQ232,"W")</f>
        <v>5542.4000000000005</v>
      </c>
      <c r="BQ229" s="87">
        <f>SUMIFS($AU$3:AU233,$Q$3:Q233,"O")</f>
        <v>1770.5799999998073</v>
      </c>
      <c r="BR229" s="87">
        <f>SUMIFS($AU$3:AU233,$AA$3:AA233,"*")</f>
        <v>14003.799999999701</v>
      </c>
      <c r="BS229" s="87">
        <f>SUMIFS($AU$3:AU233,$AB$3:AB233,"*")</f>
        <v>4007.1799999999307</v>
      </c>
      <c r="BT229" s="87">
        <f>SUMIFS($AU$3:AU233,$AC$3:AC233,"*")</f>
        <v>7028.4</v>
      </c>
      <c r="BU229" s="87">
        <f>SUMIFS($AU$3:AU233,$AA$3:AA233,"*",$AB$3:AB233,"*")</f>
        <v>1855.9999999998222</v>
      </c>
      <c r="BV229" s="87">
        <f>SUMIFS($AU$3:AU233,$AA$3:AA233,"*",$AC$3:AC233,"*")</f>
        <v>6564.4</v>
      </c>
      <c r="BW229" s="87">
        <f>SUMIFS($AU$3:AU233,$AB$3:AB233,"*",$AC$3:AC233,"*")</f>
        <v>719.99999999999818</v>
      </c>
      <c r="BX229" s="87">
        <f>SUMIFS($AV$3:AV233,$Q$3:Q233,"F")</f>
        <v>221.28119764293677</v>
      </c>
      <c r="BY229" s="87">
        <f>SUMIFS($AV$3:AV233,$Q$3:Q233,"S")</f>
        <v>296.74781249396261</v>
      </c>
      <c r="BZ229" s="87">
        <f>SUMIFS($AV$3:AV233,$Q$3:Q233,"O")</f>
        <v>520.73999999985608</v>
      </c>
    </row>
    <row r="230" spans="1:78" ht="18" customHeight="1">
      <c r="A230" s="45" t="s">
        <v>567</v>
      </c>
      <c r="B230" s="59"/>
      <c r="C230" s="46"/>
      <c r="D230" s="46"/>
      <c r="E230" s="66"/>
      <c r="F230" s="47"/>
      <c r="G230" s="48"/>
      <c r="H230" s="49"/>
      <c r="I230" s="49"/>
      <c r="J230" s="49"/>
      <c r="K230" s="50"/>
      <c r="L230" s="49"/>
      <c r="M230" s="49"/>
      <c r="N230" s="49"/>
      <c r="O230" s="50"/>
      <c r="P230" s="50"/>
      <c r="Q230" s="50"/>
      <c r="R230" s="50"/>
      <c r="S230" s="50"/>
      <c r="T230" s="50"/>
      <c r="U230" s="50"/>
      <c r="V230" s="50"/>
      <c r="W230" s="50"/>
      <c r="X230" s="50"/>
      <c r="Y230" s="69"/>
      <c r="Z230" s="50"/>
      <c r="AA230" s="52"/>
      <c r="AB230" s="52"/>
      <c r="AC230" s="52"/>
      <c r="AD230" s="231"/>
      <c r="AE230" s="49"/>
      <c r="AF230" s="84"/>
      <c r="AG230" s="49"/>
      <c r="AH230" s="49"/>
      <c r="AI230" s="49"/>
      <c r="AJ230" s="226"/>
      <c r="AK230" s="49"/>
      <c r="AL230" s="113">
        <f t="shared" si="67"/>
        <v>0</v>
      </c>
      <c r="AM230" s="113">
        <f t="shared" si="57"/>
        <v>0</v>
      </c>
      <c r="AN230" s="218"/>
      <c r="AO230" s="49"/>
      <c r="AP230" s="49"/>
      <c r="AQ230" s="84" t="str">
        <f>UPPER(RIGHT(Journal_Live[[#This Row],[DURATION ]]))</f>
        <v/>
      </c>
      <c r="AR230" s="49"/>
      <c r="AS230" s="55"/>
      <c r="AT230" s="55"/>
      <c r="AU230" s="54"/>
      <c r="AV230" s="56"/>
      <c r="AW230" s="57"/>
      <c r="AX230" s="136" t="s">
        <v>914</v>
      </c>
      <c r="AY230" s="137" t="s">
        <v>918</v>
      </c>
      <c r="AZ230" s="138" t="s">
        <v>919</v>
      </c>
      <c r="BA230" s="139" t="s">
        <v>920</v>
      </c>
      <c r="BB230" s="96"/>
      <c r="BC230" s="96"/>
      <c r="BD230" s="96"/>
      <c r="BE230" s="96"/>
      <c r="BF230" s="100"/>
      <c r="BG230" s="94">
        <f>SUM($AV$4:AV230)</f>
        <v>2666.7690101367634</v>
      </c>
      <c r="BH230" s="95">
        <f>SUM($AU$4:AU230)</f>
        <v>16298.979999999814</v>
      </c>
      <c r="BI230" s="80">
        <f>SUMIFS($AU$3:AU234,$Q$3:Q234,"F")</f>
        <v>9348.4000000000015</v>
      </c>
      <c r="BJ230" s="80">
        <f>SUMIFS($AU$3:AU234,$Q$3:Q234,"S")</f>
        <v>3503.9999999999918</v>
      </c>
      <c r="BK230" s="87">
        <f>SUMIFS($AU$3:AU234,$P$3:P234,"W")</f>
        <v>9197.579999999929</v>
      </c>
      <c r="BL230" s="87">
        <f>SUMIFS($AU$3:AU234,$P$3:P234,"R")</f>
        <v>4066</v>
      </c>
      <c r="BM230" s="87">
        <f>SUMIFS($AU$3:AU234,$AQ$3:AQ234,"M")</f>
        <v>5219.3799999995472</v>
      </c>
      <c r="BN230" s="87">
        <f>SUMIFS($AU$3:AU234,$AQ$3:AQ234,"H")</f>
        <v>3251.2000000002595</v>
      </c>
      <c r="BO230" s="87">
        <f>SUMIFS($AU$3:AU234,$AQ$3:AQ234,"D")</f>
        <v>1310.0000000000011</v>
      </c>
      <c r="BP230" s="87">
        <f>SUMIFS($AU$3:AU233,$AQ$3:AQ233,"W")</f>
        <v>5542.4000000000005</v>
      </c>
      <c r="BQ230" s="87">
        <f>SUMIFS($AU$3:AU234,$Q$3:Q234,"O")</f>
        <v>1770.5799999998073</v>
      </c>
      <c r="BR230" s="87">
        <f>SUMIFS($AU$3:AU234,$AA$3:AA234,"*")</f>
        <v>12803.799999999701</v>
      </c>
      <c r="BS230" s="87">
        <f>SUMIFS($AU$3:AU234,$AB$3:AB234,"*")</f>
        <v>4007.1799999999307</v>
      </c>
      <c r="BT230" s="87">
        <f>SUMIFS($AU$3:AU234,$AC$3:AC234,"*")</f>
        <v>7028.4</v>
      </c>
      <c r="BU230" s="87">
        <f>SUMIFS($AU$3:AU234,$AA$3:AA234,"*",$AB$3:AB234,"*")</f>
        <v>1855.9999999998222</v>
      </c>
      <c r="BV230" s="87">
        <f>SUMIFS($AU$3:AU234,$AA$3:AA234,"*",$AC$3:AC234,"*")</f>
        <v>6564.4</v>
      </c>
      <c r="BW230" s="87">
        <f>SUMIFS($AU$3:AU234,$AB$3:AB234,"*",$AC$3:AC234,"*")</f>
        <v>719.99999999999818</v>
      </c>
      <c r="BX230" s="87">
        <f>SUMIFS($AV$3:AV234,$Q$3:Q234,"F")</f>
        <v>221.28119764293677</v>
      </c>
      <c r="BY230" s="87">
        <f>SUMIFS($AV$3:AV234,$Q$3:Q234,"S")</f>
        <v>296.74781249396261</v>
      </c>
      <c r="BZ230" s="87">
        <f>SUMIFS($AV$3:AV234,$Q$3:Q234,"O")</f>
        <v>520.73999999985608</v>
      </c>
    </row>
    <row r="231" spans="1:78" ht="18" customHeight="1">
      <c r="A231" s="45" t="s">
        <v>567</v>
      </c>
      <c r="B231" s="59">
        <v>45343</v>
      </c>
      <c r="C231" s="46" t="s">
        <v>470</v>
      </c>
      <c r="D231" s="46" t="s">
        <v>186</v>
      </c>
      <c r="E231" s="66" t="s">
        <v>921</v>
      </c>
      <c r="F231" s="47"/>
      <c r="G231" s="48"/>
      <c r="H231" s="49"/>
      <c r="I231" s="49">
        <v>1</v>
      </c>
      <c r="J231" s="49"/>
      <c r="K231" s="50"/>
      <c r="L231" s="49"/>
      <c r="M231" s="49"/>
      <c r="N231" s="49"/>
      <c r="O231" s="50"/>
      <c r="P231" s="50"/>
      <c r="Q231" s="50"/>
      <c r="R231" s="50"/>
      <c r="S231" s="50"/>
      <c r="T231" s="50"/>
      <c r="U231" s="50"/>
      <c r="V231" s="50"/>
      <c r="W231" s="50"/>
      <c r="X231" s="50"/>
      <c r="Y231" s="51"/>
      <c r="Z231" s="52"/>
      <c r="AA231" s="52"/>
      <c r="AB231" s="52"/>
      <c r="AC231" s="52"/>
      <c r="AD231" s="231"/>
      <c r="AE231" s="49"/>
      <c r="AF231" s="84"/>
      <c r="AG231" s="49"/>
      <c r="AH231" s="49"/>
      <c r="AI231" s="49"/>
      <c r="AJ231" s="226"/>
      <c r="AK231" s="49"/>
      <c r="AL231" s="113">
        <f t="shared" si="65"/>
        <v>0</v>
      </c>
      <c r="AM231" s="113">
        <f t="shared" si="57"/>
        <v>0</v>
      </c>
      <c r="AN231" s="218"/>
      <c r="AO231" s="49"/>
      <c r="AP231" s="49"/>
      <c r="AQ231" s="84" t="str">
        <f>UPPER(RIGHT(Journal_Live[[#This Row],[DURATION ]]))</f>
        <v/>
      </c>
      <c r="AR231" s="49"/>
      <c r="AS231" s="55"/>
      <c r="AT231" s="55"/>
      <c r="AU231" s="54"/>
      <c r="AV231" s="56"/>
      <c r="AW231" s="57"/>
      <c r="AX231" s="96" t="s">
        <v>922</v>
      </c>
      <c r="AY231" s="97" t="s">
        <v>923</v>
      </c>
      <c r="AZ231" s="96"/>
      <c r="BA231" s="96"/>
      <c r="BB231" s="96"/>
      <c r="BC231" s="96"/>
      <c r="BD231" s="96"/>
      <c r="BE231" s="96"/>
      <c r="BF231" s="100"/>
      <c r="BG231" s="94">
        <f>SUM($AV$4:AV231)</f>
        <v>2666.7690101367634</v>
      </c>
      <c r="BH231" s="95">
        <f>SUM($AU$4:AU231)</f>
        <v>16298.979999999814</v>
      </c>
      <c r="BI231" s="80">
        <f>SUMIFS($AU$3:AU232,$Q$3:Q232,"F")</f>
        <v>9348.4000000000015</v>
      </c>
      <c r="BJ231" s="80">
        <f>SUMIFS($AU$3:AU232,$Q$3:Q232,"S")</f>
        <v>3503.9999999999918</v>
      </c>
      <c r="BK231" s="87">
        <f>SUMIFS($AU$3:AU232,$P$3:P232,"W")</f>
        <v>9197.579999999929</v>
      </c>
      <c r="BL231" s="87">
        <f>SUMIFS($AU$3:AU232,$P$3:P232,"R")</f>
        <v>5426</v>
      </c>
      <c r="BM231" s="87">
        <f>SUMIFS($AU$3:AU232,$AQ$3:AQ232,"M")</f>
        <v>5219.3799999995472</v>
      </c>
      <c r="BN231" s="87">
        <f>SUMIFS($AU$3:AU232,$AQ$3:AQ232,"H")</f>
        <v>3251.2000000002595</v>
      </c>
      <c r="BO231" s="87">
        <f>SUMIFS($AU$3:AU232,$AQ$3:AQ232,"D")</f>
        <v>2670.0000000000009</v>
      </c>
      <c r="BP231" s="87">
        <f>SUMIFS($AU$3:AU234,$AQ$3:AQ234,"W")</f>
        <v>5542.4000000000005</v>
      </c>
      <c r="BQ231" s="87">
        <f>SUMIFS($AU$3:AU232,$Q$3:Q232,"O")</f>
        <v>1770.5799999998073</v>
      </c>
      <c r="BR231" s="87">
        <f>SUMIFS($AU$3:AU232,$AA$3:AA232,"*")</f>
        <v>14163.799999999701</v>
      </c>
      <c r="BS231" s="87">
        <f>SUMIFS($AU$3:AU232,$AB$3:AB232,"*")</f>
        <v>4007.1799999999307</v>
      </c>
      <c r="BT231" s="87">
        <f>SUMIFS($AU$3:AU232,$AC$3:AC232,"*")</f>
        <v>7028.4</v>
      </c>
      <c r="BU231" s="87">
        <f>SUMIFS($AU$3:AU232,$AA$3:AA232,"*",$AB$3:AB232,"*")</f>
        <v>1855.9999999998222</v>
      </c>
      <c r="BV231" s="87">
        <f>SUMIFS($AU$3:AU232,$AA$3:AA232,"*",$AC$3:AC232,"*")</f>
        <v>6564.4</v>
      </c>
      <c r="BW231" s="87">
        <f>SUMIFS($AU$3:AU232,$AB$3:AB232,"*",$AC$3:AC232,"*")</f>
        <v>719.99999999999818</v>
      </c>
      <c r="BX231" s="87">
        <f>SUMIFS($AV$3:AV232,$Q$3:Q232,"F")</f>
        <v>221.28119764293677</v>
      </c>
      <c r="BY231" s="87">
        <f>SUMIFS($AV$3:AV232,$Q$3:Q232,"S")</f>
        <v>296.74781249396261</v>
      </c>
      <c r="BZ231" s="87">
        <f>SUMIFS($AV$3:AV232,$Q$3:Q232,"O")</f>
        <v>520.73999999985608</v>
      </c>
    </row>
    <row r="232" spans="1:78" ht="18" customHeight="1">
      <c r="A232" s="45" t="s">
        <v>567</v>
      </c>
      <c r="B232" s="59">
        <v>45344</v>
      </c>
      <c r="C232" s="46" t="s">
        <v>924</v>
      </c>
      <c r="D232" s="46" t="s">
        <v>107</v>
      </c>
      <c r="E232" s="66"/>
      <c r="F232" s="47"/>
      <c r="G232" s="106" t="s">
        <v>362</v>
      </c>
      <c r="H232" s="49"/>
      <c r="I232" s="49"/>
      <c r="J232" s="49"/>
      <c r="K232" s="50"/>
      <c r="L232" s="49">
        <v>1</v>
      </c>
      <c r="M232" s="49"/>
      <c r="N232" s="49"/>
      <c r="O232" s="50" t="s">
        <v>363</v>
      </c>
      <c r="P232" s="50" t="s">
        <v>126</v>
      </c>
      <c r="Q232" s="50"/>
      <c r="R232" s="50">
        <v>1</v>
      </c>
      <c r="S232" s="50">
        <v>0</v>
      </c>
      <c r="T232" s="50">
        <v>1</v>
      </c>
      <c r="U232" s="50" t="s">
        <v>102</v>
      </c>
      <c r="V232" s="50"/>
      <c r="W232" s="50"/>
      <c r="X232" s="50"/>
      <c r="Y232" s="51">
        <f t="shared" ref="Y232:Y237" si="68">IF(ISBLANK(O232),"",(IF(O232=UPPER("IB"),0.005,0.01)))</f>
        <v>0.01</v>
      </c>
      <c r="Z232" s="52">
        <f>IF(ISBLANK(O232),"",IF(O232="IB",8.63*200,IF(O232="IR",16*100,IF(O232="YT",20*100,IF(O232="YT-XT",24*200,IF(O232="TED",80*100))))))</f>
        <v>8000</v>
      </c>
      <c r="AA232" s="52" t="s">
        <v>925</v>
      </c>
      <c r="AB232" s="52"/>
      <c r="AC232" s="52"/>
      <c r="AD232" s="231">
        <v>-0.18</v>
      </c>
      <c r="AE232" s="49"/>
      <c r="AF232" s="84"/>
      <c r="AG232" s="49"/>
      <c r="AH232" s="49"/>
      <c r="AI232" s="49"/>
      <c r="AJ232" s="226"/>
      <c r="AK232" s="49"/>
      <c r="AL232" s="113">
        <f t="shared" si="65"/>
        <v>-160</v>
      </c>
      <c r="AM232" s="113">
        <f t="shared" ref="AM232:AM259" si="69">AL232*(R232-S232)</f>
        <v>-160</v>
      </c>
      <c r="AN232" s="218"/>
      <c r="AO232" s="49"/>
      <c r="AP232" s="49" t="s">
        <v>301</v>
      </c>
      <c r="AQ232" s="84" t="s">
        <v>142</v>
      </c>
      <c r="AR232" s="49" t="s">
        <v>926</v>
      </c>
      <c r="AS232" s="55">
        <v>-0.19</v>
      </c>
      <c r="AT232" s="55">
        <f t="shared" ref="AT232:AT237" si="70">IF(ISBLANK(AS232),,IF(U232="S",AD232-AS232,AS232-AD232))</f>
        <v>1.0000000000000009E-2</v>
      </c>
      <c r="AU232" s="54">
        <f t="shared" ref="AU232:AU237" si="71">AV232*R232</f>
        <v>80.000000000000071</v>
      </c>
      <c r="AV232" s="56">
        <f t="shared" ref="AV232" si="72">IF(ISBLANK(AS232),,(AT232*Z232))</f>
        <v>80.000000000000071</v>
      </c>
      <c r="AW232" s="57" t="s">
        <v>101</v>
      </c>
      <c r="AX232" s="96"/>
      <c r="AY232" s="96"/>
      <c r="AZ232" s="96"/>
      <c r="BA232" s="96"/>
      <c r="BB232" s="96"/>
      <c r="BC232" s="96"/>
      <c r="BD232" s="96"/>
      <c r="BE232" s="96"/>
      <c r="BF232" s="100"/>
      <c r="BG232" s="94">
        <f>SUM($AV$4:AV232)</f>
        <v>2746.7690101367634</v>
      </c>
      <c r="BH232" s="95">
        <f>SUM($AU$4:AU232)</f>
        <v>16378.979999999814</v>
      </c>
      <c r="BI232" s="80">
        <f>SUMIFS($AU$3:AU233,$Q$3:Q233,"F")</f>
        <v>9348.4000000000015</v>
      </c>
      <c r="BJ232" s="80">
        <f>SUMIFS($AU$3:AU233,$Q$3:Q233,"S")</f>
        <v>3503.9999999999918</v>
      </c>
      <c r="BK232" s="87">
        <f>SUMIFS($AU$3:AU233,$P$3:P233,"W")</f>
        <v>9197.579999999929</v>
      </c>
      <c r="BL232" s="87">
        <f>SUMIFS($AU$3:AU233,$P$3:P233,"R")</f>
        <v>5266</v>
      </c>
      <c r="BM232" s="87">
        <f>SUMIFS($AU$3:AU233,$AQ$3:AQ233,"M")</f>
        <v>5219.3799999995472</v>
      </c>
      <c r="BN232" s="87">
        <f>SUMIFS($AU$3:AU233,$AQ$3:AQ233,"H")</f>
        <v>3251.2000000002595</v>
      </c>
      <c r="BO232" s="87">
        <f>SUMIFS($AU$3:AU233,$AQ$3:AQ233,"D")</f>
        <v>2510.0000000000009</v>
      </c>
      <c r="BP232" s="87">
        <f>SUMIFS($AU$3:AU235,$AQ$3:AQ235,"W")</f>
        <v>5542.4000000000005</v>
      </c>
      <c r="BQ232" s="87">
        <f>SUMIFS($AU$3:AU233,$Q$3:Q233,"O")</f>
        <v>1770.5799999998073</v>
      </c>
      <c r="BR232" s="87">
        <f>SUMIFS($AU$3:AU233,$AA$3:AA233,"*")</f>
        <v>14003.799999999701</v>
      </c>
      <c r="BS232" s="87">
        <f>SUMIFS($AU$3:AU233,$AB$3:AB233,"*")</f>
        <v>4007.1799999999307</v>
      </c>
      <c r="BT232" s="87">
        <f>SUMIFS($AU$3:AU233,$AC$3:AC233,"*")</f>
        <v>7028.4</v>
      </c>
      <c r="BU232" s="87">
        <f>SUMIFS($AU$3:AU233,$AA$3:AA233,"*",$AB$3:AB233,"*")</f>
        <v>1855.9999999998222</v>
      </c>
      <c r="BV232" s="87">
        <f>SUMIFS($AU$3:AU233,$AA$3:AA233,"*",$AC$3:AC233,"*")</f>
        <v>6564.4</v>
      </c>
      <c r="BW232" s="87">
        <f>SUMIFS($AU$3:AU233,$AB$3:AB233,"*",$AC$3:AC233,"*")</f>
        <v>719.99999999999818</v>
      </c>
      <c r="BX232" s="87">
        <f>SUMIFS($AV$3:AV233,$Q$3:Q233,"F")</f>
        <v>221.28119764293677</v>
      </c>
      <c r="BY232" s="87">
        <f>SUMIFS($AV$3:AV233,$Q$3:Q233,"S")</f>
        <v>296.74781249396261</v>
      </c>
      <c r="BZ232" s="87">
        <f>SUMIFS($AV$3:AV233,$Q$3:Q233,"O")</f>
        <v>520.73999999985608</v>
      </c>
    </row>
    <row r="233" spans="1:78" ht="18" customHeight="1">
      <c r="A233" s="45" t="s">
        <v>567</v>
      </c>
      <c r="B233" s="59">
        <v>45344</v>
      </c>
      <c r="C233" s="46" t="s">
        <v>927</v>
      </c>
      <c r="D233" s="46" t="s">
        <v>107</v>
      </c>
      <c r="E233" s="66"/>
      <c r="F233" s="47"/>
      <c r="G233" s="106" t="s">
        <v>377</v>
      </c>
      <c r="H233" s="49"/>
      <c r="I233" s="49"/>
      <c r="J233" s="49"/>
      <c r="K233" s="50"/>
      <c r="L233" s="49">
        <v>1</v>
      </c>
      <c r="M233" s="49"/>
      <c r="N233" s="49"/>
      <c r="O233" s="50" t="s">
        <v>363</v>
      </c>
      <c r="P233" s="50" t="s">
        <v>126</v>
      </c>
      <c r="Q233" s="50"/>
      <c r="R233" s="50">
        <v>2</v>
      </c>
      <c r="S233" s="50">
        <v>2</v>
      </c>
      <c r="T233" s="50">
        <v>1</v>
      </c>
      <c r="U233" s="50" t="s">
        <v>22</v>
      </c>
      <c r="V233" s="50"/>
      <c r="W233" s="50"/>
      <c r="X233" s="50"/>
      <c r="Y233" s="51">
        <f t="shared" si="68"/>
        <v>0.01</v>
      </c>
      <c r="Z233" s="52">
        <f>IF(ISBLANK(O233),"",IF(O233="IB",8.63*200,IF(O233="IR",16*100,IF(O233="YT",20*100,IF(O233="YT-XT",24*200,IF(O233="TED",80*100))))))</f>
        <v>8000</v>
      </c>
      <c r="AA233" s="52" t="s">
        <v>177</v>
      </c>
      <c r="AB233" s="52"/>
      <c r="AC233" s="52"/>
      <c r="AD233" s="231">
        <v>-0.11</v>
      </c>
      <c r="AE233" s="49"/>
      <c r="AF233" s="84"/>
      <c r="AG233" s="49"/>
      <c r="AH233" s="49"/>
      <c r="AI233" s="49"/>
      <c r="AJ233" s="226"/>
      <c r="AK233" s="49"/>
      <c r="AL233" s="113">
        <f t="shared" si="65"/>
        <v>-160</v>
      </c>
      <c r="AM233" s="113">
        <f t="shared" si="69"/>
        <v>0</v>
      </c>
      <c r="AN233" s="218"/>
      <c r="AO233" s="49"/>
      <c r="AP233" s="49" t="s">
        <v>297</v>
      </c>
      <c r="AQ233" s="84" t="s">
        <v>155</v>
      </c>
      <c r="AR233" s="49" t="s">
        <v>928</v>
      </c>
      <c r="AS233" s="55">
        <v>-0.12</v>
      </c>
      <c r="AT233" s="55">
        <f t="shared" si="70"/>
        <v>-9.999999999999995E-3</v>
      </c>
      <c r="AU233" s="54">
        <f t="shared" si="71"/>
        <v>-159.99999999999991</v>
      </c>
      <c r="AV233" s="56">
        <f t="shared" ref="AV233:AV236" si="73">IF(ISBLANK(AS233),,(AT233*Z233))</f>
        <v>-79.999999999999957</v>
      </c>
      <c r="AW233" s="57" t="s">
        <v>121</v>
      </c>
      <c r="AX233" s="96" t="s">
        <v>929</v>
      </c>
      <c r="AY233" s="96" t="s">
        <v>930</v>
      </c>
      <c r="AZ233" s="96"/>
      <c r="BA233" s="96"/>
      <c r="BB233" s="96"/>
      <c r="BC233" s="96"/>
      <c r="BD233" s="96"/>
      <c r="BE233" s="96"/>
      <c r="BF233" s="100"/>
      <c r="BG233" s="94">
        <f>SUM($AV$4:AV233)</f>
        <v>2666.7690101367634</v>
      </c>
      <c r="BH233" s="95">
        <f>SUM($AU$4:AU233)</f>
        <v>16218.979999999814</v>
      </c>
      <c r="BI233" s="80">
        <f>SUMIFS($AU$3:AU234,$Q$3:Q234,"F")</f>
        <v>9348.4000000000015</v>
      </c>
      <c r="BJ233" s="80">
        <f>SUMIFS($AU$3:AU234,$Q$3:Q234,"S")</f>
        <v>3503.9999999999918</v>
      </c>
      <c r="BK233" s="87">
        <f>SUMIFS($AU$3:AU234,$P$3:P234,"W")</f>
        <v>9197.579999999929</v>
      </c>
      <c r="BL233" s="87">
        <f>SUMIFS($AU$3:AU234,$P$3:P234,"R")</f>
        <v>4066</v>
      </c>
      <c r="BM233" s="87">
        <f>SUMIFS($AU$3:AU234,$AQ$3:AQ234,"M")</f>
        <v>5219.3799999995472</v>
      </c>
      <c r="BN233" s="87">
        <f>SUMIFS($AU$3:AU234,$AQ$3:AQ234,"H")</f>
        <v>3251.2000000002595</v>
      </c>
      <c r="BO233" s="87">
        <f>SUMIFS($AU$3:AU234,$AQ$3:AQ234,"D")</f>
        <v>1310.0000000000011</v>
      </c>
      <c r="BP233" s="87">
        <f>SUMIFS($AU$3:AU236,$AQ$3:AQ236,"W")</f>
        <v>5542.4000000000005</v>
      </c>
      <c r="BQ233" s="87">
        <f>SUMIFS($AU$3:AU234,$Q$3:Q234,"O")</f>
        <v>1770.5799999998073</v>
      </c>
      <c r="BR233" s="87">
        <f>SUMIFS($AU$3:AU234,$AA$3:AA234,"*")</f>
        <v>12803.799999999701</v>
      </c>
      <c r="BS233" s="87">
        <f>SUMIFS($AU$3:AU234,$AB$3:AB234,"*")</f>
        <v>4007.1799999999307</v>
      </c>
      <c r="BT233" s="87">
        <f>SUMIFS($AU$3:AU234,$AC$3:AC234,"*")</f>
        <v>7028.4</v>
      </c>
      <c r="BU233" s="87">
        <f>SUMIFS($AU$3:AU234,$AA$3:AA234,"*",$AB$3:AB234,"*")</f>
        <v>1855.9999999998222</v>
      </c>
      <c r="BV233" s="87">
        <f>SUMIFS($AU$3:AU234,$AA$3:AA234,"*",$AC$3:AC234,"*")</f>
        <v>6564.4</v>
      </c>
      <c r="BW233" s="87">
        <f>SUMIFS($AU$3:AU234,$AB$3:AB234,"*",$AC$3:AC234,"*")</f>
        <v>719.99999999999818</v>
      </c>
      <c r="BX233" s="87">
        <f>SUMIFS($AV$3:AV234,$Q$3:Q234,"F")</f>
        <v>221.28119764293677</v>
      </c>
      <c r="BY233" s="87">
        <f>SUMIFS($AV$3:AV234,$Q$3:Q234,"S")</f>
        <v>296.74781249396261</v>
      </c>
      <c r="BZ233" s="87">
        <f>SUMIFS($AV$3:AV234,$Q$3:Q234,"O")</f>
        <v>520.73999999985608</v>
      </c>
    </row>
    <row r="234" spans="1:78" ht="18" customHeight="1">
      <c r="A234" s="45" t="s">
        <v>567</v>
      </c>
      <c r="B234" s="59">
        <v>45344</v>
      </c>
      <c r="C234" s="46" t="s">
        <v>931</v>
      </c>
      <c r="D234" s="46" t="s">
        <v>107</v>
      </c>
      <c r="E234" s="66"/>
      <c r="F234" s="47"/>
      <c r="G234" s="106" t="s">
        <v>377</v>
      </c>
      <c r="H234" s="49"/>
      <c r="I234" s="49"/>
      <c r="J234" s="49"/>
      <c r="K234" s="50"/>
      <c r="L234" s="49">
        <v>1</v>
      </c>
      <c r="M234" s="49"/>
      <c r="N234" s="49"/>
      <c r="O234" s="50" t="s">
        <v>740</v>
      </c>
      <c r="P234" s="50" t="s">
        <v>126</v>
      </c>
      <c r="Q234" s="50"/>
      <c r="R234" s="50">
        <v>1</v>
      </c>
      <c r="S234" s="50">
        <v>0</v>
      </c>
      <c r="T234" s="50">
        <v>1</v>
      </c>
      <c r="U234" s="50" t="s">
        <v>22</v>
      </c>
      <c r="V234" s="50"/>
      <c r="W234" s="50"/>
      <c r="X234" s="50"/>
      <c r="Y234" s="51">
        <f t="shared" si="68"/>
        <v>0.01</v>
      </c>
      <c r="Z234" s="52">
        <f>IF(ISBLANK(O234),"",IF(O234="IB",8.63*200,IF(O234="IR",16*100,IF(O234="YT",20*100,IF(O234="YT-XT",24*200,IF(O234="TED",80*100,IF(O234="IR|YT",300*100)))))))</f>
        <v>30000</v>
      </c>
      <c r="AA234" s="52" t="s">
        <v>932</v>
      </c>
      <c r="AB234" s="52"/>
      <c r="AC234" s="52"/>
      <c r="AD234" s="231">
        <v>-0.11</v>
      </c>
      <c r="AE234" s="49"/>
      <c r="AF234" s="84"/>
      <c r="AG234" s="49"/>
      <c r="AH234" s="49"/>
      <c r="AI234" s="49"/>
      <c r="AJ234" s="226"/>
      <c r="AK234" s="49"/>
      <c r="AL234" s="113">
        <f t="shared" si="63"/>
        <v>-600</v>
      </c>
      <c r="AM234" s="113">
        <f t="shared" si="69"/>
        <v>-600</v>
      </c>
      <c r="AN234" s="218"/>
      <c r="AO234" s="49"/>
      <c r="AP234" s="49" t="s">
        <v>297</v>
      </c>
      <c r="AQ234" s="84" t="s">
        <v>155</v>
      </c>
      <c r="AR234" s="49" t="s">
        <v>933</v>
      </c>
      <c r="AS234" s="55">
        <v>-0.15</v>
      </c>
      <c r="AT234" s="55">
        <f t="shared" si="70"/>
        <v>-3.9999999999999994E-2</v>
      </c>
      <c r="AU234" s="54">
        <f t="shared" si="71"/>
        <v>-1199.9999999999998</v>
      </c>
      <c r="AV234" s="56">
        <f t="shared" si="73"/>
        <v>-1199.9999999999998</v>
      </c>
      <c r="AW234" s="57" t="s">
        <v>121</v>
      </c>
      <c r="AX234" s="96" t="s">
        <v>934</v>
      </c>
      <c r="AY234" s="96" t="s">
        <v>935</v>
      </c>
      <c r="AZ234" s="96" t="s">
        <v>936</v>
      </c>
      <c r="BA234" s="96"/>
      <c r="BB234" s="96"/>
      <c r="BC234" s="96"/>
      <c r="BD234" s="96" t="s">
        <v>937</v>
      </c>
      <c r="BE234" s="96" t="s">
        <v>938</v>
      </c>
      <c r="BF234" s="100" t="s">
        <v>939</v>
      </c>
      <c r="BG234" s="94">
        <f>SUM($AV$4:AV234)</f>
        <v>1466.7690101367637</v>
      </c>
      <c r="BH234" s="95">
        <f>SUM($AU$4:AU234)</f>
        <v>15018.979999999814</v>
      </c>
      <c r="BI234" s="80">
        <f>SUMIFS($AU$3:AU238,$Q$3:Q238,"F")</f>
        <v>9348.4000000000015</v>
      </c>
      <c r="BJ234" s="80">
        <f>SUMIFS($AU$3:AU238,$Q$3:Q238,"S")</f>
        <v>3759.9999999999914</v>
      </c>
      <c r="BK234" s="87">
        <f>SUMIFS($AU$3:AU238,$P$3:P238,"W")</f>
        <v>9197.579999999929</v>
      </c>
      <c r="BL234" s="87">
        <f>SUMIFS($AU$3:AU238,$P$3:P238,"R")</f>
        <v>4021.9999999999991</v>
      </c>
      <c r="BM234" s="87">
        <f>SUMIFS($AU$3:AU238,$AQ$3:AQ238,"M")</f>
        <v>5219.3799999995472</v>
      </c>
      <c r="BN234" s="87">
        <f>SUMIFS($AU$3:AU238,$AQ$3:AQ238,"H")</f>
        <v>3251.2000000002595</v>
      </c>
      <c r="BO234" s="87">
        <f>SUMIFS($AU$3:AU238,$AQ$3:AQ238,"D")</f>
        <v>1266.0000000000005</v>
      </c>
      <c r="BP234" s="87">
        <f>SUMIFS($AU$3:AU237,$AQ$3:AQ237,"W")</f>
        <v>5542.4000000000005</v>
      </c>
      <c r="BQ234" s="87">
        <f>SUMIFS($AU$3:AU238,$Q$3:Q238,"O")</f>
        <v>1770.5799999998073</v>
      </c>
      <c r="BR234" s="87">
        <f>SUMIFS($AU$3:AU238,$AA$3:AA238,"*")</f>
        <v>12759.799999999701</v>
      </c>
      <c r="BS234" s="87">
        <f>SUMIFS($AU$3:AU238,$AB$3:AB238,"*")</f>
        <v>4007.1799999999307</v>
      </c>
      <c r="BT234" s="87">
        <f>SUMIFS($AU$3:AU238,$AC$3:AC238,"*")</f>
        <v>7028.4</v>
      </c>
      <c r="BU234" s="87">
        <f>SUMIFS($AU$3:AU238,$AA$3:AA238,"*",$AB$3:AB238,"*")</f>
        <v>1855.9999999998222</v>
      </c>
      <c r="BV234" s="87">
        <f>SUMIFS($AU$3:AU238,$AA$3:AA238,"*",$AC$3:AC238,"*")</f>
        <v>6564.4</v>
      </c>
      <c r="BW234" s="87">
        <f>SUMIFS($AU$3:AU238,$AB$3:AB238,"*",$AC$3:AC238,"*")</f>
        <v>719.99999999999818</v>
      </c>
      <c r="BX234" s="87">
        <f>SUMIFS($AV$3:AV238,$Q$3:Q238,"F")</f>
        <v>221.28119764293677</v>
      </c>
      <c r="BY234" s="87">
        <f>SUMIFS($AV$3:AV238,$Q$3:Q238,"S")</f>
        <v>312.74781249396256</v>
      </c>
      <c r="BZ234" s="87">
        <f>SUMIFS($AV$3:AV238,$Q$3:Q238,"O")</f>
        <v>520.73999999985608</v>
      </c>
    </row>
    <row r="235" spans="1:78" ht="18" customHeight="1">
      <c r="A235" s="45" t="s">
        <v>567</v>
      </c>
      <c r="B235" s="59">
        <v>45344</v>
      </c>
      <c r="C235" s="46" t="s">
        <v>940</v>
      </c>
      <c r="D235" s="46" t="s">
        <v>107</v>
      </c>
      <c r="E235" s="66"/>
      <c r="F235" s="47"/>
      <c r="G235" s="106" t="s">
        <v>362</v>
      </c>
      <c r="H235" s="49"/>
      <c r="I235" s="49"/>
      <c r="J235" s="49"/>
      <c r="K235" s="50"/>
      <c r="L235" s="49">
        <v>1</v>
      </c>
      <c r="M235" s="49"/>
      <c r="N235" s="49"/>
      <c r="O235" s="50" t="s">
        <v>740</v>
      </c>
      <c r="P235" s="50" t="s">
        <v>126</v>
      </c>
      <c r="Q235" s="50"/>
      <c r="R235" s="50">
        <v>1</v>
      </c>
      <c r="S235" s="50">
        <v>0</v>
      </c>
      <c r="T235" s="50">
        <v>1</v>
      </c>
      <c r="U235" s="50" t="s">
        <v>22</v>
      </c>
      <c r="V235" s="50"/>
      <c r="W235" s="50"/>
      <c r="X235" s="50"/>
      <c r="Y235" s="51">
        <f t="shared" si="68"/>
        <v>0.01</v>
      </c>
      <c r="Z235" s="52">
        <f>IF(ISBLANK(O235),"",IF(O235="IB",8.63*200,IF(O235="IR",16*100,IF(O235="YT",20*100,IF(O235="YT-XT",24*200,IF(O235="TED",80*100,IF(O235="IR|YT",300*100)))))))</f>
        <v>30000</v>
      </c>
      <c r="AA235" s="52" t="s">
        <v>872</v>
      </c>
      <c r="AB235" s="52"/>
      <c r="AC235" s="52"/>
      <c r="AD235" s="231">
        <v>-0.06</v>
      </c>
      <c r="AE235" s="49"/>
      <c r="AF235" s="84"/>
      <c r="AG235" s="49"/>
      <c r="AH235" s="49"/>
      <c r="AI235" s="49"/>
      <c r="AJ235" s="226"/>
      <c r="AK235" s="49"/>
      <c r="AL235" s="113">
        <f t="shared" si="63"/>
        <v>-600</v>
      </c>
      <c r="AM235" s="113">
        <f t="shared" si="69"/>
        <v>-600</v>
      </c>
      <c r="AN235" s="218"/>
      <c r="AO235" s="49"/>
      <c r="AP235" s="49" t="s">
        <v>297</v>
      </c>
      <c r="AQ235" s="84" t="s">
        <v>155</v>
      </c>
      <c r="AR235" s="49" t="s">
        <v>941</v>
      </c>
      <c r="AS235" s="55">
        <v>-7.0000000000000007E-2</v>
      </c>
      <c r="AT235" s="55">
        <f t="shared" si="70"/>
        <v>-1.0000000000000009E-2</v>
      </c>
      <c r="AU235" s="54">
        <f t="shared" si="71"/>
        <v>-300.00000000000028</v>
      </c>
      <c r="AV235" s="56">
        <f t="shared" si="73"/>
        <v>-300.00000000000028</v>
      </c>
      <c r="AW235" s="57" t="s">
        <v>121</v>
      </c>
      <c r="AX235" s="96" t="s">
        <v>942</v>
      </c>
      <c r="AY235" s="96"/>
      <c r="AZ235" s="96"/>
      <c r="BA235" s="96"/>
      <c r="BB235" s="96"/>
      <c r="BC235" s="96"/>
      <c r="BD235" s="96" t="s">
        <v>943</v>
      </c>
      <c r="BE235" s="96" t="s">
        <v>944</v>
      </c>
      <c r="BF235" s="100"/>
      <c r="BG235" s="94">
        <f>SUM($AV$4:AV235)</f>
        <v>1166.7690101367634</v>
      </c>
      <c r="BH235" s="95">
        <f>SUM($AU$4:AU235)</f>
        <v>14718.979999999814</v>
      </c>
      <c r="BI235" s="80">
        <f>SUMIFS($AU$3:AU236,$Q$3:Q236,"F")</f>
        <v>9348.4000000000015</v>
      </c>
      <c r="BJ235" s="80">
        <f>SUMIFS($AU$3:AU236,$Q$3:Q236,"S")</f>
        <v>3759.9999999999914</v>
      </c>
      <c r="BK235" s="87">
        <f>SUMIFS($AU$3:AU236,$P$3:P236,"W")</f>
        <v>9197.579999999929</v>
      </c>
      <c r="BL235" s="87">
        <f>SUMIFS($AU$3:AU236,$P$3:P236,"R")</f>
        <v>4021.9999999999991</v>
      </c>
      <c r="BM235" s="87">
        <f>SUMIFS($AU$3:AU236,$AQ$3:AQ236,"M")</f>
        <v>5219.3799999995472</v>
      </c>
      <c r="BN235" s="87">
        <f>SUMIFS($AU$3:AU236,$AQ$3:AQ236,"H")</f>
        <v>3251.2000000002595</v>
      </c>
      <c r="BO235" s="87">
        <f>SUMIFS($AU$3:AU236,$AQ$3:AQ236,"D")</f>
        <v>1266.0000000000005</v>
      </c>
      <c r="BP235" s="87">
        <f>SUMIFS($AU$3:AU238,$AQ$3:AQ238,"W")</f>
        <v>5542.4000000000005</v>
      </c>
      <c r="BQ235" s="87">
        <f>SUMIFS($AU$3:AU236,$Q$3:Q236,"O")</f>
        <v>1770.5799999998073</v>
      </c>
      <c r="BR235" s="87">
        <f>SUMIFS($AU$3:AU236,$AA$3:AA236,"*")</f>
        <v>12759.799999999701</v>
      </c>
      <c r="BS235" s="87">
        <f>SUMIFS($AU$3:AU236,$AB$3:AB236,"*")</f>
        <v>4007.1799999999307</v>
      </c>
      <c r="BT235" s="87">
        <f>SUMIFS($AU$3:AU236,$AC$3:AC236,"*")</f>
        <v>7028.4</v>
      </c>
      <c r="BU235" s="87">
        <f>SUMIFS($AU$3:AU236,$AA$3:AA236,"*",$AB$3:AB236,"*")</f>
        <v>1855.9999999998222</v>
      </c>
      <c r="BV235" s="87">
        <f>SUMIFS($AU$3:AU236,$AA$3:AA236,"*",$AC$3:AC236,"*")</f>
        <v>6564.4</v>
      </c>
      <c r="BW235" s="87">
        <f>SUMIFS($AU$3:AU236,$AB$3:AB236,"*",$AC$3:AC236,"*")</f>
        <v>719.99999999999818</v>
      </c>
      <c r="BX235" s="87">
        <f>SUMIFS($AV$3:AV236,$Q$3:Q236,"F")</f>
        <v>221.28119764293677</v>
      </c>
      <c r="BY235" s="87">
        <f>SUMIFS($AV$3:AV236,$Q$3:Q236,"S")</f>
        <v>312.74781249396256</v>
      </c>
      <c r="BZ235" s="87">
        <f>SUMIFS($AV$3:AV236,$Q$3:Q236,"O")</f>
        <v>520.73999999985608</v>
      </c>
    </row>
    <row r="236" spans="1:78" ht="18" customHeight="1">
      <c r="A236" s="45" t="s">
        <v>567</v>
      </c>
      <c r="B236" s="59">
        <v>45344</v>
      </c>
      <c r="C236" s="46" t="s">
        <v>945</v>
      </c>
      <c r="D236" s="46" t="s">
        <v>107</v>
      </c>
      <c r="E236" s="66"/>
      <c r="F236" s="47"/>
      <c r="G236" s="106" t="s">
        <v>688</v>
      </c>
      <c r="H236" s="49"/>
      <c r="I236" s="49"/>
      <c r="J236" s="49"/>
      <c r="K236" s="50"/>
      <c r="L236" s="49">
        <v>1</v>
      </c>
      <c r="M236" s="49"/>
      <c r="N236" s="49"/>
      <c r="O236" s="50" t="s">
        <v>100</v>
      </c>
      <c r="P236" s="50" t="s">
        <v>126</v>
      </c>
      <c r="Q236" s="50" t="s">
        <v>102</v>
      </c>
      <c r="R236" s="50">
        <v>16</v>
      </c>
      <c r="S236" s="50">
        <v>0</v>
      </c>
      <c r="T236" s="50">
        <v>16</v>
      </c>
      <c r="U236" s="50" t="s">
        <v>22</v>
      </c>
      <c r="V236" s="50"/>
      <c r="W236" s="50"/>
      <c r="X236" s="50"/>
      <c r="Y236" s="51">
        <f t="shared" si="68"/>
        <v>0.01</v>
      </c>
      <c r="Z236" s="52">
        <f>IF(ISBLANK(O236),"",IF(O236="IB",8.63*200,IF(O236="IR",16*100,IF(O236="YT",20*100,IF(O236="YT-XT",24*200,IF(O236="TED",80*100))))))</f>
        <v>1600</v>
      </c>
      <c r="AA236" s="52" t="s">
        <v>128</v>
      </c>
      <c r="AB236" s="52"/>
      <c r="AC236" s="52"/>
      <c r="AD236" s="231">
        <v>-0.15</v>
      </c>
      <c r="AE236" s="49"/>
      <c r="AF236" s="84"/>
      <c r="AG236" s="49"/>
      <c r="AH236" s="49"/>
      <c r="AI236" s="49"/>
      <c r="AJ236" s="226"/>
      <c r="AK236" s="49"/>
      <c r="AL236" s="113">
        <f t="shared" si="63"/>
        <v>-32</v>
      </c>
      <c r="AM236" s="113">
        <f t="shared" si="69"/>
        <v>-512</v>
      </c>
      <c r="AN236" s="218"/>
      <c r="AO236" s="49"/>
      <c r="AP236" s="49" t="s">
        <v>297</v>
      </c>
      <c r="AQ236" s="84" t="s">
        <v>155</v>
      </c>
      <c r="AR236" s="74">
        <v>45345</v>
      </c>
      <c r="AS236" s="55">
        <v>-0.14000000000000001</v>
      </c>
      <c r="AT236" s="55">
        <f t="shared" si="70"/>
        <v>9.9999999999999811E-3</v>
      </c>
      <c r="AU236" s="54">
        <f t="shared" si="71"/>
        <v>255.99999999999952</v>
      </c>
      <c r="AV236" s="56">
        <f t="shared" si="73"/>
        <v>15.99999999999997</v>
      </c>
      <c r="AW236" s="57" t="s">
        <v>101</v>
      </c>
      <c r="AX236" s="96" t="s">
        <v>443</v>
      </c>
      <c r="AY236" s="96" t="s">
        <v>946</v>
      </c>
      <c r="AZ236" s="96">
        <f>800+600-256</f>
        <v>1144</v>
      </c>
      <c r="BA236" s="96"/>
      <c r="BB236" s="96"/>
      <c r="BC236" s="96"/>
      <c r="BD236" s="96"/>
      <c r="BE236" s="96"/>
      <c r="BF236" s="100"/>
      <c r="BG236" s="94">
        <f>SUM($AV$4:AV236)</f>
        <v>1182.7690101367634</v>
      </c>
      <c r="BH236" s="95">
        <f>SUM($AU$4:AU236)</f>
        <v>14974.979999999814</v>
      </c>
      <c r="BI236" s="80">
        <f>SUMIFS($AU$3:AU237,$Q$3:Q237,"F")</f>
        <v>9348.4000000000015</v>
      </c>
      <c r="BJ236" s="80">
        <f>SUMIFS($AU$3:AU237,$Q$3:Q237,"S")</f>
        <v>3759.9999999999914</v>
      </c>
      <c r="BK236" s="87">
        <f>SUMIFS($AU$3:AU237,$P$3:P237,"W")</f>
        <v>9197.579999999929</v>
      </c>
      <c r="BL236" s="87">
        <f>SUMIFS($AU$3:AU237,$P$3:P237,"R")</f>
        <v>4021.9999999999991</v>
      </c>
      <c r="BM236" s="87">
        <f>SUMIFS($AU$3:AU237,$AQ$3:AQ237,"M")</f>
        <v>5219.3799999995472</v>
      </c>
      <c r="BN236" s="87">
        <f>SUMIFS($AU$3:AU237,$AQ$3:AQ237,"H")</f>
        <v>3251.2000000002595</v>
      </c>
      <c r="BO236" s="87">
        <f>SUMIFS($AU$3:AU237,$AQ$3:AQ237,"D")</f>
        <v>1266.0000000000005</v>
      </c>
      <c r="BP236" s="87">
        <f>SUMIFS($AU$3:AU239,$AQ$3:AQ239,"W")</f>
        <v>5542.4000000000005</v>
      </c>
      <c r="BQ236" s="87">
        <f>SUMIFS($AU$3:AU237,$Q$3:Q237,"O")</f>
        <v>1770.5799999998073</v>
      </c>
      <c r="BR236" s="87">
        <f>SUMIFS($AU$3:AU237,$AA$3:AA237,"*")</f>
        <v>12759.799999999701</v>
      </c>
      <c r="BS236" s="87">
        <f>SUMIFS($AU$3:AU237,$AB$3:AB237,"*")</f>
        <v>4007.1799999999307</v>
      </c>
      <c r="BT236" s="87">
        <f>SUMIFS($AU$3:AU237,$AC$3:AC237,"*")</f>
        <v>7028.4</v>
      </c>
      <c r="BU236" s="87">
        <f>SUMIFS($AU$3:AU237,$AA$3:AA237,"*",$AB$3:AB237,"*")</f>
        <v>1855.9999999998222</v>
      </c>
      <c r="BV236" s="87">
        <f>SUMIFS($AU$3:AU237,$AA$3:AA237,"*",$AC$3:AC237,"*")</f>
        <v>6564.4</v>
      </c>
      <c r="BW236" s="87">
        <f>SUMIFS($AU$3:AU237,$AB$3:AB237,"*",$AC$3:AC237,"*")</f>
        <v>719.99999999999818</v>
      </c>
      <c r="BX236" s="87">
        <f>SUMIFS($AV$3:AV237,$Q$3:Q237,"F")</f>
        <v>221.28119764293677</v>
      </c>
      <c r="BY236" s="87">
        <f>SUMIFS($AV$3:AV237,$Q$3:Q237,"S")</f>
        <v>312.74781249396256</v>
      </c>
      <c r="BZ236" s="87">
        <f>SUMIFS($AV$3:AV237,$Q$3:Q237,"O")</f>
        <v>520.73999999985608</v>
      </c>
    </row>
    <row r="237" spans="1:78" ht="18" customHeight="1">
      <c r="A237" s="45" t="s">
        <v>567</v>
      </c>
      <c r="B237" s="59">
        <v>45344</v>
      </c>
      <c r="C237" s="46" t="s">
        <v>947</v>
      </c>
      <c r="D237" s="46" t="s">
        <v>115</v>
      </c>
      <c r="E237" s="66"/>
      <c r="F237" s="47"/>
      <c r="G237" s="106" t="s">
        <v>362</v>
      </c>
      <c r="H237" s="49"/>
      <c r="I237" s="49"/>
      <c r="J237" s="49"/>
      <c r="K237" s="50"/>
      <c r="L237" s="49">
        <v>1</v>
      </c>
      <c r="M237" s="49"/>
      <c r="N237" s="49"/>
      <c r="O237" s="50" t="s">
        <v>363</v>
      </c>
      <c r="P237" s="50" t="s">
        <v>126</v>
      </c>
      <c r="Q237" s="50"/>
      <c r="R237" s="50">
        <v>2</v>
      </c>
      <c r="S237" s="50">
        <v>0</v>
      </c>
      <c r="T237" s="50">
        <v>2</v>
      </c>
      <c r="U237" s="50" t="s">
        <v>102</v>
      </c>
      <c r="V237" s="50"/>
      <c r="W237" s="50"/>
      <c r="X237" s="50"/>
      <c r="Y237" s="51">
        <f t="shared" si="68"/>
        <v>0.01</v>
      </c>
      <c r="Z237" s="52">
        <f>IF(ISBLANK(O237),"",IF(O237="IB",8.63*200,IF(O237="IR",16*100,IF(O237="YT",20*100,IF(O237="YT-XT",24*200,IF(O237="TED",80*100))))))</f>
        <v>8000</v>
      </c>
      <c r="AA237" s="52" t="s">
        <v>948</v>
      </c>
      <c r="AB237" s="52"/>
      <c r="AC237" s="52"/>
      <c r="AD237" s="231">
        <v>-7.0000000000000007E-2</v>
      </c>
      <c r="AE237" s="49"/>
      <c r="AF237" s="84"/>
      <c r="AG237" s="49"/>
      <c r="AH237" s="49"/>
      <c r="AI237" s="49"/>
      <c r="AJ237" s="226"/>
      <c r="AK237" s="49"/>
      <c r="AL237" s="113">
        <f t="shared" si="63"/>
        <v>-160</v>
      </c>
      <c r="AM237" s="113">
        <f t="shared" si="69"/>
        <v>-320</v>
      </c>
      <c r="AN237" s="218"/>
      <c r="AO237" s="49"/>
      <c r="AP237" s="49" t="s">
        <v>422</v>
      </c>
      <c r="AQ237" s="84" t="s">
        <v>142</v>
      </c>
      <c r="AR237" s="49" t="s">
        <v>949</v>
      </c>
      <c r="AS237" s="55">
        <v>-7.0000000000000007E-2</v>
      </c>
      <c r="AT237" s="55">
        <f t="shared" si="70"/>
        <v>0</v>
      </c>
      <c r="AU237" s="54">
        <f t="shared" si="71"/>
        <v>0</v>
      </c>
      <c r="AV237" s="56">
        <f t="shared" ref="AV237" si="74">IF(ISBLANK(AS237),,(AT237*Z237))</f>
        <v>0</v>
      </c>
      <c r="AW237" s="57" t="s">
        <v>155</v>
      </c>
      <c r="AX237" s="96" t="s">
        <v>950</v>
      </c>
      <c r="AY237" s="96" t="s">
        <v>951</v>
      </c>
      <c r="AZ237" s="97" t="s">
        <v>952</v>
      </c>
      <c r="BA237" s="99" t="s">
        <v>953</v>
      </c>
      <c r="BB237" s="96" t="s">
        <v>954</v>
      </c>
      <c r="BC237" s="96" t="s">
        <v>955</v>
      </c>
      <c r="BD237" s="96" t="s">
        <v>956</v>
      </c>
      <c r="BE237" s="96" t="s">
        <v>957</v>
      </c>
      <c r="BF237" s="100" t="s">
        <v>958</v>
      </c>
      <c r="BG237" s="94">
        <f>SUM($AV$4:AV237)</f>
        <v>1182.7690101367634</v>
      </c>
      <c r="BH237" s="95">
        <f>SUM($AU$4:AU237)</f>
        <v>14974.979999999814</v>
      </c>
      <c r="BI237" s="80">
        <f>SUMIFS($AU$3:AU238,$Q$3:Q238,"F")</f>
        <v>9348.4000000000015</v>
      </c>
      <c r="BJ237" s="80">
        <f>SUMIFS($AU$3:AU238,$Q$3:Q238,"S")</f>
        <v>3759.9999999999914</v>
      </c>
      <c r="BK237" s="87">
        <f>SUMIFS($AU$3:AU238,$P$3:P238,"W")</f>
        <v>9197.579999999929</v>
      </c>
      <c r="BL237" s="87">
        <f>SUMIFS($AU$3:AU238,$P$3:P238,"R")</f>
        <v>4021.9999999999991</v>
      </c>
      <c r="BM237" s="87">
        <f>SUMIFS($AU$3:AU238,$AQ$3:AQ238,"M")</f>
        <v>5219.3799999995472</v>
      </c>
      <c r="BN237" s="87">
        <f>SUMIFS($AU$3:AU238,$AQ$3:AQ238,"H")</f>
        <v>3251.2000000002595</v>
      </c>
      <c r="BO237" s="87">
        <f>SUMIFS($AU$3:AU238,$AQ$3:AQ238,"D")</f>
        <v>1266.0000000000005</v>
      </c>
      <c r="BP237" s="87">
        <f>SUMIFS($AU$3:AU240,$AQ$3:AQ240,"W")</f>
        <v>5542.4000000000005</v>
      </c>
      <c r="BQ237" s="87">
        <f>SUMIFS($AU$3:AU238,$Q$3:Q238,"O")</f>
        <v>1770.5799999998073</v>
      </c>
      <c r="BR237" s="87">
        <f>SUMIFS($AU$3:AU238,$AA$3:AA238,"*")</f>
        <v>12759.799999999701</v>
      </c>
      <c r="BS237" s="87">
        <f>SUMIFS($AU$3:AU238,$AB$3:AB238,"*")</f>
        <v>4007.1799999999307</v>
      </c>
      <c r="BT237" s="87">
        <f>SUMIFS($AU$3:AU238,$AC$3:AC238,"*")</f>
        <v>7028.4</v>
      </c>
      <c r="BU237" s="87">
        <f>SUMIFS($AU$3:AU238,$AA$3:AA238,"*",$AB$3:AB238,"*")</f>
        <v>1855.9999999998222</v>
      </c>
      <c r="BV237" s="87">
        <f>SUMIFS($AU$3:AU238,$AA$3:AA238,"*",$AC$3:AC238,"*")</f>
        <v>6564.4</v>
      </c>
      <c r="BW237" s="87">
        <f>SUMIFS($AU$3:AU238,$AB$3:AB238,"*",$AC$3:AC238,"*")</f>
        <v>719.99999999999818</v>
      </c>
      <c r="BX237" s="87">
        <f>SUMIFS($AV$3:AV238,$Q$3:Q238,"F")</f>
        <v>221.28119764293677</v>
      </c>
      <c r="BY237" s="87">
        <f>SUMIFS($AV$3:AV238,$Q$3:Q238,"S")</f>
        <v>312.74781249396256</v>
      </c>
      <c r="BZ237" s="87">
        <f>SUMIFS($AV$3:AV238,$Q$3:Q238,"O")</f>
        <v>520.73999999985608</v>
      </c>
    </row>
    <row r="238" spans="1:78" ht="18" customHeight="1">
      <c r="A238" s="45" t="s">
        <v>567</v>
      </c>
      <c r="B238" s="59"/>
      <c r="C238" s="46"/>
      <c r="D238" s="46"/>
      <c r="E238" s="66"/>
      <c r="F238" s="47"/>
      <c r="G238" s="48"/>
      <c r="H238" s="49"/>
      <c r="I238" s="49"/>
      <c r="J238" s="49"/>
      <c r="K238" s="50"/>
      <c r="L238" s="49"/>
      <c r="M238" s="49"/>
      <c r="N238" s="49"/>
      <c r="O238" s="50"/>
      <c r="P238" s="50"/>
      <c r="Q238" s="50"/>
      <c r="R238" s="50"/>
      <c r="S238" s="50"/>
      <c r="T238" s="50"/>
      <c r="U238" s="50"/>
      <c r="V238" s="50"/>
      <c r="W238" s="50"/>
      <c r="X238" s="50"/>
      <c r="Y238" s="51"/>
      <c r="Z238" s="52"/>
      <c r="AA238" s="52"/>
      <c r="AB238" s="52"/>
      <c r="AC238" s="52"/>
      <c r="AD238" s="231"/>
      <c r="AE238" s="49"/>
      <c r="AF238" s="84"/>
      <c r="AG238" s="49"/>
      <c r="AH238" s="49"/>
      <c r="AI238" s="49"/>
      <c r="AJ238" s="226"/>
      <c r="AK238" s="49"/>
      <c r="AL238" s="113">
        <f t="shared" si="63"/>
        <v>0</v>
      </c>
      <c r="AM238" s="113">
        <f t="shared" si="69"/>
        <v>0</v>
      </c>
      <c r="AN238" s="218"/>
      <c r="AO238" s="49"/>
      <c r="AP238" s="49"/>
      <c r="AQ238" s="84" t="str">
        <f>UPPER(RIGHT(Journal_Live[[#This Row],[DURATION ]]))</f>
        <v/>
      </c>
      <c r="AR238" s="49"/>
      <c r="AS238" s="55"/>
      <c r="AT238" s="55"/>
      <c r="AU238" s="54"/>
      <c r="AV238" s="56"/>
      <c r="AW238" s="57"/>
      <c r="AX238" s="96" t="s">
        <v>959</v>
      </c>
      <c r="AY238" s="96" t="s">
        <v>960</v>
      </c>
      <c r="AZ238" s="97" t="s">
        <v>952</v>
      </c>
      <c r="BA238" s="96" t="s">
        <v>961</v>
      </c>
      <c r="BB238" s="97" t="s">
        <v>962</v>
      </c>
      <c r="BC238" s="96"/>
      <c r="BD238" s="96" t="s">
        <v>963</v>
      </c>
      <c r="BE238" s="96" t="s">
        <v>964</v>
      </c>
      <c r="BF238" s="150" t="s">
        <v>965</v>
      </c>
      <c r="BG238" s="94">
        <f>SUM($AV$4:AV238)</f>
        <v>1182.7690101367634</v>
      </c>
      <c r="BH238" s="95">
        <f>SUM($AU$4:AU238)</f>
        <v>14974.979999999814</v>
      </c>
      <c r="BI238" s="80">
        <f>SUMIFS($AU$3:AU252,$Q$3:Q252,"F")</f>
        <v>9348.4000000000015</v>
      </c>
      <c r="BJ238" s="80">
        <f>SUMIFS($AU$3:AU252,$Q$3:Q252,"S")</f>
        <v>3279.9999999999918</v>
      </c>
      <c r="BK238" s="87">
        <f>SUMIFS($AU$3:AU252,$P$3:P252,"W")</f>
        <v>8717.579999999929</v>
      </c>
      <c r="BL238" s="87">
        <f>SUMIFS($AU$3:AU252,$P$3:P252,"R")</f>
        <v>4181.9999999999991</v>
      </c>
      <c r="BM238" s="87">
        <f>SUMIFS($AU$3:AU252,$AQ$3:AQ252,"M")</f>
        <v>5219.3799999995472</v>
      </c>
      <c r="BN238" s="87">
        <f>SUMIFS($AU$3:AU252,$AQ$3:AQ252,"H")</f>
        <v>2931.2000000002599</v>
      </c>
      <c r="BO238" s="87">
        <f>SUMIFS($AU$3:AU252,$AQ$3:AQ252,"D")</f>
        <v>1266.0000000000005</v>
      </c>
      <c r="BP238" s="87">
        <f>SUMIFS($AU$3:AU241,$AQ$3:AQ241,"W")</f>
        <v>5542.4000000000005</v>
      </c>
      <c r="BQ238" s="87">
        <f>SUMIFS($AU$3:AU252,$Q$3:Q252,"O")</f>
        <v>1770.5799999998073</v>
      </c>
      <c r="BR238" s="87">
        <f>SUMIFS($AU$3:AU252,$AA$3:AA252,"*")</f>
        <v>12439.799999999701</v>
      </c>
      <c r="BS238" s="87">
        <f>SUMIFS($AU$3:AU252,$AB$3:AB252,"*")</f>
        <v>4007.1799999999307</v>
      </c>
      <c r="BT238" s="87">
        <f>SUMIFS($AU$3:AU252,$AC$3:AC252,"*")</f>
        <v>7028.4</v>
      </c>
      <c r="BU238" s="87">
        <f>SUMIFS($AU$3:AU252,$AA$3:AA252,"*",$AB$3:AB252,"*")</f>
        <v>1855.9999999998222</v>
      </c>
      <c r="BV238" s="87">
        <f>SUMIFS($AU$3:AU252,$AA$3:AA252,"*",$AC$3:AC252,"*")</f>
        <v>6564.4</v>
      </c>
      <c r="BW238" s="87">
        <f>SUMIFS($AU$3:AU252,$AB$3:AB252,"*",$AC$3:AC252,"*")</f>
        <v>719.99999999999818</v>
      </c>
      <c r="BX238" s="87">
        <f>SUMIFS($AV$3:AV252,$Q$3:Q252,"F")</f>
        <v>221.28119764293677</v>
      </c>
      <c r="BY238" s="87">
        <f>SUMIFS($AV$3:AV252,$Q$3:Q252,"S")</f>
        <v>280.74781249396256</v>
      </c>
      <c r="BZ238" s="87">
        <f>SUMIFS($AV$3:AV252,$Q$3:Q252,"O")</f>
        <v>520.73999999985608</v>
      </c>
    </row>
    <row r="239" spans="1:78" ht="18" customHeight="1">
      <c r="A239" s="45" t="s">
        <v>567</v>
      </c>
      <c r="B239" s="59"/>
      <c r="C239" s="46"/>
      <c r="D239" s="46"/>
      <c r="E239" s="66"/>
      <c r="F239" s="47"/>
      <c r="G239" s="48"/>
      <c r="H239" s="49"/>
      <c r="I239" s="49"/>
      <c r="J239" s="49"/>
      <c r="K239" s="50"/>
      <c r="L239" s="49"/>
      <c r="M239" s="49"/>
      <c r="N239" s="49"/>
      <c r="O239" s="50"/>
      <c r="P239" s="50"/>
      <c r="Q239" s="50"/>
      <c r="R239" s="50"/>
      <c r="S239" s="50"/>
      <c r="T239" s="50"/>
      <c r="U239" s="50"/>
      <c r="V239" s="50"/>
      <c r="W239" s="50"/>
      <c r="X239" s="50"/>
      <c r="Y239" s="51"/>
      <c r="Z239" s="52"/>
      <c r="AA239" s="52"/>
      <c r="AB239" s="52"/>
      <c r="AC239" s="52"/>
      <c r="AD239" s="231"/>
      <c r="AE239" s="49"/>
      <c r="AF239" s="84"/>
      <c r="AG239" s="49"/>
      <c r="AH239" s="49"/>
      <c r="AI239" s="49"/>
      <c r="AJ239" s="226"/>
      <c r="AK239" s="49"/>
      <c r="AL239" s="113">
        <f t="shared" si="63"/>
        <v>0</v>
      </c>
      <c r="AM239" s="113">
        <f t="shared" si="69"/>
        <v>0</v>
      </c>
      <c r="AN239" s="218"/>
      <c r="AO239" s="49"/>
      <c r="AP239" s="49"/>
      <c r="AQ239" s="84" t="str">
        <f>UPPER(RIGHT(Journal_Live[[#This Row],[DURATION ]]))</f>
        <v/>
      </c>
      <c r="AR239" s="49"/>
      <c r="AS239" s="55"/>
      <c r="AT239" s="55"/>
      <c r="AU239" s="54"/>
      <c r="AV239" s="56"/>
      <c r="AW239" s="57"/>
      <c r="AX239" s="96" t="s">
        <v>445</v>
      </c>
      <c r="AY239" s="96" t="s">
        <v>966</v>
      </c>
      <c r="AZ239" s="96" t="s">
        <v>967</v>
      </c>
      <c r="BA239" s="97" t="s">
        <v>968</v>
      </c>
      <c r="BB239" s="97" t="s">
        <v>969</v>
      </c>
      <c r="BC239" s="96" t="s">
        <v>970</v>
      </c>
      <c r="BD239" s="97" t="s">
        <v>971</v>
      </c>
      <c r="BE239" s="97" t="s">
        <v>972</v>
      </c>
      <c r="BF239" s="100"/>
      <c r="BG239" s="94">
        <f>SUM($AV$4:AV239)</f>
        <v>1182.7690101367634</v>
      </c>
      <c r="BH239" s="95">
        <f>SUM($AU$4:AU239)</f>
        <v>14974.979999999814</v>
      </c>
      <c r="BI239" s="80">
        <f>SUMIFS($AU$3:AU240,$Q$3:Q240,"F")</f>
        <v>9348.4000000000015</v>
      </c>
      <c r="BJ239" s="80">
        <f>SUMIFS($AU$3:AU240,$Q$3:Q240,"S")</f>
        <v>3759.9999999999914</v>
      </c>
      <c r="BK239" s="87">
        <f>SUMIFS($AU$3:AU240,$P$3:P240,"W")</f>
        <v>9197.579999999929</v>
      </c>
      <c r="BL239" s="87">
        <f>SUMIFS($AU$3:AU240,$P$3:P240,"R")</f>
        <v>4021.9999999999991</v>
      </c>
      <c r="BM239" s="87">
        <f>SUMIFS($AU$3:AU240,$AQ$3:AQ240,"M")</f>
        <v>5219.3799999995472</v>
      </c>
      <c r="BN239" s="87">
        <f>SUMIFS($AU$3:AU240,$AQ$3:AQ240,"H")</f>
        <v>3251.2000000002595</v>
      </c>
      <c r="BO239" s="87">
        <f>SUMIFS($AU$3:AU240,$AQ$3:AQ240,"D")</f>
        <v>1266.0000000000005</v>
      </c>
      <c r="BP239" s="87">
        <f>SUMIFS($AU$3:AU242,$AQ$3:AQ242,"W")</f>
        <v>5542.4000000000005</v>
      </c>
      <c r="BQ239" s="87">
        <f>SUMIFS($AU$3:AU240,$Q$3:Q240,"O")</f>
        <v>1770.5799999998073</v>
      </c>
      <c r="BR239" s="87">
        <f>SUMIFS($AU$3:AU240,$AA$3:AA240,"*")</f>
        <v>12759.799999999701</v>
      </c>
      <c r="BS239" s="87">
        <f>SUMIFS($AU$3:AU240,$AB$3:AB240,"*")</f>
        <v>4007.1799999999307</v>
      </c>
      <c r="BT239" s="87">
        <f>SUMIFS($AU$3:AU240,$AC$3:AC240,"*")</f>
        <v>7028.4</v>
      </c>
      <c r="BU239" s="87">
        <f>SUMIFS($AU$3:AU240,$AA$3:AA240,"*",$AB$3:AB240,"*")</f>
        <v>1855.9999999998222</v>
      </c>
      <c r="BV239" s="87">
        <f>SUMIFS($AU$3:AU240,$AA$3:AA240,"*",$AC$3:AC240,"*")</f>
        <v>6564.4</v>
      </c>
      <c r="BW239" s="87">
        <f>SUMIFS($AU$3:AU240,$AB$3:AB240,"*",$AC$3:AC240,"*")</f>
        <v>719.99999999999818</v>
      </c>
      <c r="BX239" s="87">
        <f>SUMIFS($AV$3:AV240,$Q$3:Q240,"F")</f>
        <v>221.28119764293677</v>
      </c>
      <c r="BY239" s="87">
        <f>SUMIFS($AV$3:AV240,$Q$3:Q240,"S")</f>
        <v>312.74781249396256</v>
      </c>
      <c r="BZ239" s="87">
        <f>SUMIFS($AV$3:AV240,$Q$3:Q240,"O")</f>
        <v>520.73999999985608</v>
      </c>
    </row>
    <row r="240" spans="1:78" ht="18" customHeight="1">
      <c r="A240" s="45" t="s">
        <v>567</v>
      </c>
      <c r="B240" s="59"/>
      <c r="C240" s="46"/>
      <c r="D240" s="46"/>
      <c r="E240" s="66"/>
      <c r="F240" s="47"/>
      <c r="G240" s="48"/>
      <c r="H240" s="49"/>
      <c r="I240" s="49"/>
      <c r="J240" s="49"/>
      <c r="K240" s="50"/>
      <c r="L240" s="49"/>
      <c r="M240" s="49"/>
      <c r="N240" s="49"/>
      <c r="O240" s="50"/>
      <c r="P240" s="50"/>
      <c r="Q240" s="50"/>
      <c r="R240" s="50"/>
      <c r="S240" s="50"/>
      <c r="T240" s="50"/>
      <c r="U240" s="50"/>
      <c r="V240" s="50"/>
      <c r="W240" s="50"/>
      <c r="X240" s="50"/>
      <c r="Y240" s="51"/>
      <c r="Z240" s="52"/>
      <c r="AA240" s="52"/>
      <c r="AB240" s="52"/>
      <c r="AC240" s="52"/>
      <c r="AD240" s="231"/>
      <c r="AE240" s="49"/>
      <c r="AF240" s="84"/>
      <c r="AG240" s="49"/>
      <c r="AH240" s="49"/>
      <c r="AI240" s="49"/>
      <c r="AJ240" s="226"/>
      <c r="AK240" s="49"/>
      <c r="AL240" s="113">
        <f t="shared" si="63"/>
        <v>0</v>
      </c>
      <c r="AM240" s="113">
        <f t="shared" si="69"/>
        <v>0</v>
      </c>
      <c r="AN240" s="218"/>
      <c r="AO240" s="49"/>
      <c r="AP240" s="49"/>
      <c r="AQ240" s="84" t="str">
        <f>UPPER(RIGHT(Journal_Live[[#This Row],[DURATION ]]))</f>
        <v/>
      </c>
      <c r="AR240" s="49"/>
      <c r="AS240" s="55"/>
      <c r="AT240" s="55"/>
      <c r="AU240" s="54"/>
      <c r="AV240" s="56"/>
      <c r="AW240" s="57"/>
      <c r="AX240" s="97" t="s">
        <v>973</v>
      </c>
      <c r="AY240" s="97" t="s">
        <v>974</v>
      </c>
      <c r="AZ240" s="97" t="s">
        <v>975</v>
      </c>
      <c r="BA240" s="97" t="s">
        <v>976</v>
      </c>
      <c r="BB240" s="97" t="s">
        <v>977</v>
      </c>
      <c r="BC240" s="96"/>
      <c r="BD240" s="97" t="s">
        <v>978</v>
      </c>
      <c r="BE240" s="96"/>
      <c r="BF240" s="100"/>
      <c r="BG240" s="94">
        <f>SUM($AV$4:AV240)</f>
        <v>1182.7690101367634</v>
      </c>
      <c r="BH240" s="95">
        <f>SUM($AU$4:AU240)</f>
        <v>14974.979999999814</v>
      </c>
      <c r="BI240" s="80">
        <f>SUMIFS($AU$3:AU251,$Q$3:Q251,"F")</f>
        <v>9348.4000000000015</v>
      </c>
      <c r="BJ240" s="80">
        <f>SUMIFS($AU$3:AU251,$Q$3:Q251,"S")</f>
        <v>3279.9999999999918</v>
      </c>
      <c r="BK240" s="87">
        <f>SUMIFS($AU$3:AU251,$P$3:P251,"W")</f>
        <v>8717.579999999929</v>
      </c>
      <c r="BL240" s="87">
        <f>SUMIFS($AU$3:AU251,$P$3:P251,"R")</f>
        <v>4021.9999999999991</v>
      </c>
      <c r="BM240" s="87">
        <f>SUMIFS($AU$3:AU251,$AQ$3:AQ251,"M")</f>
        <v>5219.3799999995472</v>
      </c>
      <c r="BN240" s="87">
        <f>SUMIFS($AU$3:AU251,$AQ$3:AQ251,"H")</f>
        <v>2771.2000000002599</v>
      </c>
      <c r="BO240" s="87">
        <f>SUMIFS($AU$3:AU251,$AQ$3:AQ251,"D")</f>
        <v>1266.0000000000005</v>
      </c>
      <c r="BP240" s="87">
        <f>SUMIFS($AU$3:AU243,$AQ$3:AQ243,"W")</f>
        <v>5542.4000000000005</v>
      </c>
      <c r="BQ240" s="87">
        <f>SUMIFS($AU$3:AU251,$Q$3:Q251,"O")</f>
        <v>1770.5799999998073</v>
      </c>
      <c r="BR240" s="87">
        <f>SUMIFS($AU$3:AU251,$AA$3:AA251,"*")</f>
        <v>12279.799999999701</v>
      </c>
      <c r="BS240" s="87">
        <f>SUMIFS($AU$3:AU251,$AB$3:AB251,"*")</f>
        <v>4007.1799999999307</v>
      </c>
      <c r="BT240" s="87">
        <f>SUMIFS($AU$3:AU251,$AC$3:AC251,"*")</f>
        <v>7028.4</v>
      </c>
      <c r="BU240" s="87">
        <f>SUMIFS($AU$3:AU251,$AA$3:AA251,"*",$AB$3:AB251,"*")</f>
        <v>1855.9999999998222</v>
      </c>
      <c r="BV240" s="87">
        <f>SUMIFS($AU$3:AU251,$AA$3:AA251,"*",$AC$3:AC251,"*")</f>
        <v>6564.4</v>
      </c>
      <c r="BW240" s="87">
        <f>SUMIFS($AU$3:AU251,$AB$3:AB251,"*",$AC$3:AC251,"*")</f>
        <v>719.99999999999818</v>
      </c>
      <c r="BX240" s="87">
        <f>SUMIFS($AV$3:AV251,$Q$3:Q251,"F")</f>
        <v>221.28119764293677</v>
      </c>
      <c r="BY240" s="87">
        <f>SUMIFS($AV$3:AV251,$Q$3:Q251,"S")</f>
        <v>280.74781249396256</v>
      </c>
      <c r="BZ240" s="87">
        <f>SUMIFS($AV$3:AV251,$Q$3:Q251,"O")</f>
        <v>520.73999999985608</v>
      </c>
    </row>
    <row r="241" spans="1:78" ht="18" customHeight="1">
      <c r="A241" s="45" t="s">
        <v>567</v>
      </c>
      <c r="B241" s="59"/>
      <c r="C241" s="46"/>
      <c r="D241" s="46"/>
      <c r="E241" s="66"/>
      <c r="F241" s="47"/>
      <c r="G241" s="48"/>
      <c r="H241" s="49"/>
      <c r="I241" s="49"/>
      <c r="J241" s="49"/>
      <c r="K241" s="50"/>
      <c r="L241" s="49"/>
      <c r="M241" s="49"/>
      <c r="N241" s="49"/>
      <c r="O241" s="50"/>
      <c r="P241" s="50"/>
      <c r="Q241" s="50"/>
      <c r="R241" s="50"/>
      <c r="S241" s="50"/>
      <c r="T241" s="50"/>
      <c r="U241" s="50"/>
      <c r="V241" s="50"/>
      <c r="W241" s="50"/>
      <c r="X241" s="50"/>
      <c r="Y241" s="51"/>
      <c r="Z241" s="52"/>
      <c r="AA241" s="52"/>
      <c r="AB241" s="52"/>
      <c r="AC241" s="52"/>
      <c r="AD241" s="231"/>
      <c r="AE241" s="49"/>
      <c r="AF241" s="84"/>
      <c r="AG241" s="49"/>
      <c r="AH241" s="49"/>
      <c r="AI241" s="49"/>
      <c r="AJ241" s="226"/>
      <c r="AK241" s="49"/>
      <c r="AL241" s="113">
        <f t="shared" ref="AL241:AL250" si="75">-0.02*Z241</f>
        <v>0</v>
      </c>
      <c r="AM241" s="113">
        <f t="shared" si="69"/>
        <v>0</v>
      </c>
      <c r="AN241" s="218"/>
      <c r="AO241" s="49"/>
      <c r="AP241" s="49"/>
      <c r="AQ241" s="84" t="str">
        <f>UPPER(RIGHT(Journal_Live[[#This Row],[DURATION ]]))</f>
        <v/>
      </c>
      <c r="AR241" s="49"/>
      <c r="AS241" s="55"/>
      <c r="AT241" s="55"/>
      <c r="AU241" s="54"/>
      <c r="AV241" s="56"/>
      <c r="AW241" s="57"/>
      <c r="AX241" s="97"/>
      <c r="AY241" s="97"/>
      <c r="AZ241" s="97"/>
      <c r="BA241" s="97"/>
      <c r="BB241" s="97"/>
      <c r="BC241" s="97"/>
      <c r="BD241" s="96"/>
      <c r="BE241" s="96"/>
      <c r="BF241" s="100"/>
      <c r="BG241" s="94">
        <f>SUM($AV$4:AV241)</f>
        <v>1182.7690101367634</v>
      </c>
      <c r="BH241" s="95">
        <f>SUM($AU$4:AU241)</f>
        <v>14974.979999999814</v>
      </c>
      <c r="BI241" s="80">
        <f>SUMIFS($AU$3:AU242,$Q$3:Q242,"F")</f>
        <v>9348.4000000000015</v>
      </c>
      <c r="BJ241" s="80">
        <f>SUMIFS($AU$3:AU242,$Q$3:Q242,"S")</f>
        <v>3759.9999999999914</v>
      </c>
      <c r="BK241" s="87">
        <f>SUMIFS($AU$3:AU242,$P$3:P242,"W")</f>
        <v>9197.579999999929</v>
      </c>
      <c r="BL241" s="87">
        <f>SUMIFS($AU$3:AU242,$P$3:P242,"R")</f>
        <v>4021.9999999999991</v>
      </c>
      <c r="BM241" s="87">
        <f>SUMIFS($AU$3:AU242,$AQ$3:AQ242,"M")</f>
        <v>5219.3799999995472</v>
      </c>
      <c r="BN241" s="87">
        <f>SUMIFS($AU$3:AU242,$AQ$3:AQ242,"H")</f>
        <v>3251.2000000002595</v>
      </c>
      <c r="BO241" s="87">
        <f>SUMIFS($AU$3:AU242,$AQ$3:AQ242,"D")</f>
        <v>1266.0000000000005</v>
      </c>
      <c r="BP241" s="87">
        <f>SUMIFS($AU$3:AU244,$AQ$3:AQ244,"W")</f>
        <v>5542.4000000000005</v>
      </c>
      <c r="BQ241" s="87">
        <f>SUMIFS($AU$3:AU242,$Q$3:Q242,"O")</f>
        <v>1770.5799999998073</v>
      </c>
      <c r="BR241" s="87">
        <f>SUMIFS($AU$3:AU242,$AA$3:AA242,"*")</f>
        <v>12759.799999999701</v>
      </c>
      <c r="BS241" s="87">
        <f>SUMIFS($AU$3:AU242,$AB$3:AB242,"*")</f>
        <v>4007.1799999999307</v>
      </c>
      <c r="BT241" s="87">
        <f>SUMIFS($AU$3:AU242,$AC$3:AC242,"*")</f>
        <v>7028.4</v>
      </c>
      <c r="BU241" s="87">
        <f>SUMIFS($AU$3:AU242,$AA$3:AA242,"*",$AB$3:AB242,"*")</f>
        <v>1855.9999999998222</v>
      </c>
      <c r="BV241" s="87">
        <f>SUMIFS($AU$3:AU242,$AA$3:AA242,"*",$AC$3:AC242,"*")</f>
        <v>6564.4</v>
      </c>
      <c r="BW241" s="87">
        <f>SUMIFS($AU$3:AU242,$AB$3:AB242,"*",$AC$3:AC242,"*")</f>
        <v>719.99999999999818</v>
      </c>
      <c r="BX241" s="87">
        <f>SUMIFS($AV$3:AV242,$Q$3:Q242,"F")</f>
        <v>221.28119764293677</v>
      </c>
      <c r="BY241" s="87">
        <f>SUMIFS($AV$3:AV242,$Q$3:Q242,"S")</f>
        <v>312.74781249396256</v>
      </c>
      <c r="BZ241" s="87">
        <f>SUMIFS($AV$3:AV242,$Q$3:Q242,"O")</f>
        <v>520.73999999985608</v>
      </c>
    </row>
    <row r="242" spans="1:78" ht="18" customHeight="1">
      <c r="A242" s="45" t="s">
        <v>567</v>
      </c>
      <c r="B242" s="59"/>
      <c r="C242" s="46"/>
      <c r="D242" s="46"/>
      <c r="E242" s="66"/>
      <c r="F242" s="47"/>
      <c r="G242" s="48"/>
      <c r="H242" s="49"/>
      <c r="I242" s="49"/>
      <c r="J242" s="49"/>
      <c r="K242" s="50"/>
      <c r="L242" s="49"/>
      <c r="M242" s="49"/>
      <c r="N242" s="49"/>
      <c r="O242" s="50"/>
      <c r="P242" s="50"/>
      <c r="Q242" s="50"/>
      <c r="R242" s="50"/>
      <c r="S242" s="50"/>
      <c r="T242" s="50"/>
      <c r="U242" s="50"/>
      <c r="V242" s="50"/>
      <c r="W242" s="50"/>
      <c r="X242" s="50"/>
      <c r="Y242" s="51"/>
      <c r="Z242" s="52"/>
      <c r="AA242" s="52"/>
      <c r="AB242" s="52"/>
      <c r="AC242" s="52"/>
      <c r="AD242" s="231"/>
      <c r="AE242" s="49"/>
      <c r="AF242" s="84"/>
      <c r="AG242" s="49"/>
      <c r="AH242" s="49"/>
      <c r="AI242" s="49"/>
      <c r="AJ242" s="226"/>
      <c r="AK242" s="49"/>
      <c r="AL242" s="113">
        <f t="shared" si="75"/>
        <v>0</v>
      </c>
      <c r="AM242" s="113">
        <f t="shared" si="69"/>
        <v>0</v>
      </c>
      <c r="AN242" s="218"/>
      <c r="AO242" s="49"/>
      <c r="AP242" s="49"/>
      <c r="AQ242" s="84" t="str">
        <f>UPPER(RIGHT(Journal_Live[[#This Row],[DURATION ]]))</f>
        <v/>
      </c>
      <c r="AR242" s="49"/>
      <c r="AS242" s="55"/>
      <c r="AT242" s="55"/>
      <c r="AU242" s="54"/>
      <c r="AV242" s="56"/>
      <c r="AW242" s="57"/>
      <c r="AX242" s="99" t="s">
        <v>979</v>
      </c>
      <c r="AY242" s="97" t="s">
        <v>980</v>
      </c>
      <c r="AZ242" s="140" t="s">
        <v>981</v>
      </c>
      <c r="BA242" s="140" t="s">
        <v>982</v>
      </c>
      <c r="BB242" s="140" t="s">
        <v>983</v>
      </c>
      <c r="BC242" s="97" t="s">
        <v>984</v>
      </c>
      <c r="BD242" s="96" t="s">
        <v>985</v>
      </c>
      <c r="BE242" s="96" t="s">
        <v>986</v>
      </c>
      <c r="BF242" s="100"/>
      <c r="BG242" s="94">
        <f>SUM($AV$4:AV242)</f>
        <v>1182.7690101367634</v>
      </c>
      <c r="BH242" s="95">
        <f>SUM($AU$4:AU242)</f>
        <v>14974.979999999814</v>
      </c>
      <c r="BI242" s="80">
        <f>SUMIFS($AU$3:AU243,$Q$3:Q243,"F")</f>
        <v>9348.4000000000015</v>
      </c>
      <c r="BJ242" s="80">
        <f>SUMIFS($AU$3:AU243,$Q$3:Q243,"S")</f>
        <v>3759.9999999999914</v>
      </c>
      <c r="BK242" s="87">
        <f>SUMIFS($AU$3:AU243,$P$3:P243,"W")</f>
        <v>9197.579999999929</v>
      </c>
      <c r="BL242" s="87">
        <f>SUMIFS($AU$3:AU243,$P$3:P243,"R")</f>
        <v>4021.9999999999991</v>
      </c>
      <c r="BM242" s="87">
        <f>SUMIFS($AU$3:AU243,$AQ$3:AQ243,"M")</f>
        <v>5219.3799999995472</v>
      </c>
      <c r="BN242" s="87">
        <f>SUMIFS($AU$3:AU243,$AQ$3:AQ243,"H")</f>
        <v>3251.2000000002595</v>
      </c>
      <c r="BO242" s="87">
        <f>SUMIFS($AU$3:AU243,$AQ$3:AQ243,"D")</f>
        <v>1266.0000000000005</v>
      </c>
      <c r="BP242" s="87">
        <f>SUMIFS($AU$3:AU245,$AQ$3:AQ245,"W")</f>
        <v>5542.4000000000005</v>
      </c>
      <c r="BQ242" s="87">
        <f>SUMIFS($AU$3:AU243,$Q$3:Q243,"O")</f>
        <v>1770.5799999998073</v>
      </c>
      <c r="BR242" s="87">
        <f>SUMIFS($AU$3:AU243,$AA$3:AA243,"*")</f>
        <v>12759.799999999701</v>
      </c>
      <c r="BS242" s="87">
        <f>SUMIFS($AU$3:AU243,$AB$3:AB243,"*")</f>
        <v>4007.1799999999307</v>
      </c>
      <c r="BT242" s="87">
        <f>SUMIFS($AU$3:AU243,$AC$3:AC243,"*")</f>
        <v>7028.4</v>
      </c>
      <c r="BU242" s="87">
        <f>SUMIFS($AU$3:AU243,$AA$3:AA243,"*",$AB$3:AB243,"*")</f>
        <v>1855.9999999998222</v>
      </c>
      <c r="BV242" s="87">
        <f>SUMIFS($AU$3:AU243,$AA$3:AA243,"*",$AC$3:AC243,"*")</f>
        <v>6564.4</v>
      </c>
      <c r="BW242" s="87">
        <f>SUMIFS($AU$3:AU243,$AB$3:AB243,"*",$AC$3:AC243,"*")</f>
        <v>719.99999999999818</v>
      </c>
      <c r="BX242" s="87">
        <f>SUMIFS($AV$3:AV243,$Q$3:Q243,"F")</f>
        <v>221.28119764293677</v>
      </c>
      <c r="BY242" s="87">
        <f>SUMIFS($AV$3:AV243,$Q$3:Q243,"S")</f>
        <v>312.74781249396256</v>
      </c>
      <c r="BZ242" s="87">
        <f>SUMIFS($AV$3:AV243,$Q$3:Q243,"O")</f>
        <v>520.73999999985608</v>
      </c>
    </row>
    <row r="243" spans="1:78" ht="18" customHeight="1">
      <c r="A243" s="45" t="s">
        <v>567</v>
      </c>
      <c r="B243" s="59"/>
      <c r="C243" s="46"/>
      <c r="D243" s="46"/>
      <c r="E243" s="66"/>
      <c r="F243" s="47"/>
      <c r="G243" s="48"/>
      <c r="H243" s="49"/>
      <c r="I243" s="49"/>
      <c r="J243" s="49"/>
      <c r="K243" s="50"/>
      <c r="L243" s="49"/>
      <c r="M243" s="49"/>
      <c r="N243" s="49"/>
      <c r="O243" s="50"/>
      <c r="P243" s="50"/>
      <c r="Q243" s="50"/>
      <c r="R243" s="50"/>
      <c r="S243" s="50"/>
      <c r="T243" s="50"/>
      <c r="U243" s="50"/>
      <c r="V243" s="50"/>
      <c r="W243" s="50"/>
      <c r="X243" s="50"/>
      <c r="Y243" s="51"/>
      <c r="Z243" s="52"/>
      <c r="AA243" s="52"/>
      <c r="AB243" s="52"/>
      <c r="AC243" s="52"/>
      <c r="AD243" s="231"/>
      <c r="AE243" s="49"/>
      <c r="AF243" s="84"/>
      <c r="AG243" s="49"/>
      <c r="AH243" s="49"/>
      <c r="AI243" s="49"/>
      <c r="AJ243" s="226"/>
      <c r="AK243" s="49"/>
      <c r="AL243" s="113">
        <f t="shared" si="75"/>
        <v>0</v>
      </c>
      <c r="AM243" s="113">
        <f t="shared" si="69"/>
        <v>0</v>
      </c>
      <c r="AN243" s="218"/>
      <c r="AO243" s="49"/>
      <c r="AP243" s="49"/>
      <c r="AQ243" s="84" t="str">
        <f>UPPER(RIGHT(Journal_Live[[#This Row],[DURATION ]]))</f>
        <v/>
      </c>
      <c r="AR243" s="49"/>
      <c r="AS243" s="55"/>
      <c r="AT243" s="55"/>
      <c r="AU243" s="54"/>
      <c r="AV243" s="56"/>
      <c r="AW243" s="57"/>
      <c r="AX243" s="99" t="s">
        <v>987</v>
      </c>
      <c r="AY243" s="97" t="s">
        <v>988</v>
      </c>
      <c r="AZ243" s="150" t="s">
        <v>989</v>
      </c>
      <c r="BA243" s="97" t="s">
        <v>990</v>
      </c>
      <c r="BB243" s="150" t="s">
        <v>965</v>
      </c>
      <c r="BC243" s="97" t="s">
        <v>991</v>
      </c>
      <c r="BD243" s="96"/>
      <c r="BE243" s="96"/>
      <c r="BF243" s="100"/>
      <c r="BG243" s="94">
        <f>SUM($AV$4:AV243)</f>
        <v>1182.7690101367634</v>
      </c>
      <c r="BH243" s="95">
        <f>SUM($AU$4:AU243)</f>
        <v>14974.979999999814</v>
      </c>
      <c r="BI243" s="80">
        <f>SUMIFS($AU$3:AU250,$Q$3:Q250,"F")</f>
        <v>9348.4000000000015</v>
      </c>
      <c r="BJ243" s="80">
        <f>SUMIFS($AU$3:AU250,$Q$3:Q250,"S")</f>
        <v>3759.9999999999914</v>
      </c>
      <c r="BK243" s="87">
        <f>SUMIFS($AU$3:AU250,$P$3:P250,"W")</f>
        <v>9197.579999999929</v>
      </c>
      <c r="BL243" s="87">
        <f>SUMIFS($AU$3:AU250,$P$3:P250,"R")</f>
        <v>4021.9999999999991</v>
      </c>
      <c r="BM243" s="87">
        <f>SUMIFS($AU$3:AU250,$AQ$3:AQ250,"M")</f>
        <v>5219.3799999995472</v>
      </c>
      <c r="BN243" s="87">
        <f>SUMIFS($AU$3:AU250,$AQ$3:AQ250,"H")</f>
        <v>3251.2000000002595</v>
      </c>
      <c r="BO243" s="87">
        <f>SUMIFS($AU$3:AU250,$AQ$3:AQ250,"D")</f>
        <v>1266.0000000000005</v>
      </c>
      <c r="BP243" s="87">
        <f>SUMIFS($AU$3:AU246,$AQ$3:AQ246,"W")</f>
        <v>5542.4000000000005</v>
      </c>
      <c r="BQ243" s="87">
        <f>SUMIFS($AU$3:AU250,$Q$3:Q250,"O")</f>
        <v>1770.5799999998073</v>
      </c>
      <c r="BR243" s="87">
        <f>SUMIFS($AU$3:AU250,$AA$3:AA250,"*")</f>
        <v>12759.799999999701</v>
      </c>
      <c r="BS243" s="87">
        <f>SUMIFS($AU$3:AU250,$AB$3:AB250,"*")</f>
        <v>4007.1799999999307</v>
      </c>
      <c r="BT243" s="87">
        <f>SUMIFS($AU$3:AU250,$AC$3:AC250,"*")</f>
        <v>7028.4</v>
      </c>
      <c r="BU243" s="87">
        <f>SUMIFS($AU$3:AU250,$AA$3:AA250,"*",$AB$3:AB250,"*")</f>
        <v>1855.9999999998222</v>
      </c>
      <c r="BV243" s="87">
        <f>SUMIFS($AU$3:AU250,$AA$3:AA250,"*",$AC$3:AC250,"*")</f>
        <v>6564.4</v>
      </c>
      <c r="BW243" s="87">
        <f>SUMIFS($AU$3:AU250,$AB$3:AB250,"*",$AC$3:AC250,"*")</f>
        <v>719.99999999999818</v>
      </c>
      <c r="BX243" s="87">
        <f>SUMIFS($AV$3:AV250,$Q$3:Q250,"F")</f>
        <v>221.28119764293677</v>
      </c>
      <c r="BY243" s="87">
        <f>SUMIFS($AV$3:AV250,$Q$3:Q250,"S")</f>
        <v>312.74781249396256</v>
      </c>
      <c r="BZ243" s="87">
        <f>SUMIFS($AV$3:AV250,$Q$3:Q250,"O")</f>
        <v>520.73999999985608</v>
      </c>
    </row>
    <row r="244" spans="1:78" ht="18" customHeight="1">
      <c r="A244" s="45" t="s">
        <v>567</v>
      </c>
      <c r="B244" s="59"/>
      <c r="C244" s="46"/>
      <c r="D244" s="46"/>
      <c r="E244" s="66"/>
      <c r="F244" s="47"/>
      <c r="G244" s="48"/>
      <c r="H244" s="49"/>
      <c r="I244" s="49"/>
      <c r="J244" s="49"/>
      <c r="K244" s="50"/>
      <c r="L244" s="49"/>
      <c r="M244" s="49"/>
      <c r="N244" s="49"/>
      <c r="O244" s="50"/>
      <c r="P244" s="50"/>
      <c r="Q244" s="50"/>
      <c r="R244" s="50"/>
      <c r="S244" s="50"/>
      <c r="T244" s="50"/>
      <c r="U244" s="50"/>
      <c r="V244" s="50"/>
      <c r="W244" s="50"/>
      <c r="X244" s="50"/>
      <c r="Y244" s="51"/>
      <c r="Z244" s="52"/>
      <c r="AA244" s="52"/>
      <c r="AB244" s="52"/>
      <c r="AC244" s="52"/>
      <c r="AD244" s="231"/>
      <c r="AE244" s="49"/>
      <c r="AF244" s="84"/>
      <c r="AG244" s="49"/>
      <c r="AH244" s="49"/>
      <c r="AI244" s="49"/>
      <c r="AJ244" s="226"/>
      <c r="AK244" s="49"/>
      <c r="AL244" s="113">
        <f t="shared" ref="AL244:AL249" si="76">-0.02*Z244</f>
        <v>0</v>
      </c>
      <c r="AM244" s="113">
        <f t="shared" si="69"/>
        <v>0</v>
      </c>
      <c r="AN244" s="218"/>
      <c r="AO244" s="49"/>
      <c r="AP244" s="49"/>
      <c r="AQ244" s="84" t="str">
        <f>UPPER(RIGHT(Journal_Live[[#This Row],[DURATION ]]))</f>
        <v/>
      </c>
      <c r="AR244" s="49"/>
      <c r="AS244" s="55"/>
      <c r="AT244" s="55"/>
      <c r="AU244" s="54"/>
      <c r="AV244" s="56"/>
      <c r="AW244" s="57"/>
      <c r="AX244" s="99" t="s">
        <v>992</v>
      </c>
      <c r="AY244" s="97" t="s">
        <v>993</v>
      </c>
      <c r="AZ244" s="97" t="s">
        <v>994</v>
      </c>
      <c r="BA244" s="97" t="s">
        <v>995</v>
      </c>
      <c r="BB244" s="97" t="s">
        <v>996</v>
      </c>
      <c r="BC244" s="97" t="s">
        <v>997</v>
      </c>
      <c r="BD244" s="96" t="s">
        <v>998</v>
      </c>
      <c r="BE244" s="96"/>
      <c r="BF244" s="100"/>
      <c r="BG244" s="94">
        <f>SUM($AV$4:AV244)</f>
        <v>1182.7690101367634</v>
      </c>
      <c r="BH244" s="95">
        <f>SUM($AU$4:AU244)</f>
        <v>14974.979999999814</v>
      </c>
      <c r="BI244" s="80">
        <f>SUMIFS($AU$3:AU245,$Q$3:Q245,"F")</f>
        <v>9348.4000000000015</v>
      </c>
      <c r="BJ244" s="80">
        <f>SUMIFS($AU$3:AU245,$Q$3:Q245,"S")</f>
        <v>3759.9999999999914</v>
      </c>
      <c r="BK244" s="87">
        <f>SUMIFS($AU$3:AU245,$P$3:P245,"W")</f>
        <v>9197.579999999929</v>
      </c>
      <c r="BL244" s="87">
        <f>SUMIFS($AU$3:AU245,$P$3:P245,"R")</f>
        <v>4021.9999999999991</v>
      </c>
      <c r="BM244" s="87">
        <f>SUMIFS($AU$3:AU245,$AQ$3:AQ245,"M")</f>
        <v>5219.3799999995472</v>
      </c>
      <c r="BN244" s="87">
        <f>SUMIFS($AU$3:AU245,$AQ$3:AQ245,"H")</f>
        <v>3251.2000000002595</v>
      </c>
      <c r="BO244" s="87">
        <f>SUMIFS($AU$3:AU245,$AQ$3:AQ245,"D")</f>
        <v>1266.0000000000005</v>
      </c>
      <c r="BP244" s="87">
        <f>SUMIFS($AU$3:AU247,$AQ$3:AQ247,"W")</f>
        <v>5542.4000000000005</v>
      </c>
      <c r="BQ244" s="87">
        <f>SUMIFS($AU$3:AU245,$Q$3:Q245,"O")</f>
        <v>1770.5799999998073</v>
      </c>
      <c r="BR244" s="87">
        <f>SUMIFS($AU$3:AU245,$AA$3:AA245,"*")</f>
        <v>12759.799999999701</v>
      </c>
      <c r="BS244" s="87">
        <f>SUMIFS($AU$3:AU245,$AB$3:AB245,"*")</f>
        <v>4007.1799999999307</v>
      </c>
      <c r="BT244" s="87">
        <f>SUMIFS($AU$3:AU245,$AC$3:AC245,"*")</f>
        <v>7028.4</v>
      </c>
      <c r="BU244" s="87">
        <f>SUMIFS($AU$3:AU245,$AA$3:AA245,"*",$AB$3:AB245,"*")</f>
        <v>1855.9999999998222</v>
      </c>
      <c r="BV244" s="87">
        <f>SUMIFS($AU$3:AU245,$AA$3:AA245,"*",$AC$3:AC245,"*")</f>
        <v>6564.4</v>
      </c>
      <c r="BW244" s="87">
        <f>SUMIFS($AU$3:AU245,$AB$3:AB245,"*",$AC$3:AC245,"*")</f>
        <v>719.99999999999818</v>
      </c>
      <c r="BX244" s="87">
        <f>SUMIFS($AV$3:AV245,$Q$3:Q245,"F")</f>
        <v>221.28119764293677</v>
      </c>
      <c r="BY244" s="87">
        <f>SUMIFS($AV$3:AV245,$Q$3:Q245,"S")</f>
        <v>312.74781249396256</v>
      </c>
      <c r="BZ244" s="87">
        <f>SUMIFS($AV$3:AV245,$Q$3:Q245,"O")</f>
        <v>520.73999999985608</v>
      </c>
    </row>
    <row r="245" spans="1:78" ht="18" customHeight="1">
      <c r="A245" s="45" t="s">
        <v>567</v>
      </c>
      <c r="B245" s="59"/>
      <c r="C245" s="46"/>
      <c r="D245" s="46"/>
      <c r="E245" s="66"/>
      <c r="F245" s="47"/>
      <c r="G245" s="48"/>
      <c r="H245" s="49"/>
      <c r="I245" s="49"/>
      <c r="J245" s="49"/>
      <c r="K245" s="50"/>
      <c r="L245" s="49"/>
      <c r="M245" s="49"/>
      <c r="N245" s="49"/>
      <c r="O245" s="50"/>
      <c r="P245" s="50"/>
      <c r="Q245" s="50"/>
      <c r="R245" s="50"/>
      <c r="S245" s="50"/>
      <c r="T245" s="50"/>
      <c r="U245" s="50"/>
      <c r="V245" s="50"/>
      <c r="W245" s="50"/>
      <c r="X245" s="50"/>
      <c r="Y245" s="51"/>
      <c r="Z245" s="52"/>
      <c r="AA245" s="52"/>
      <c r="AB245" s="52"/>
      <c r="AC245" s="52"/>
      <c r="AD245" s="231"/>
      <c r="AE245" s="49"/>
      <c r="AF245" s="84"/>
      <c r="AG245" s="49"/>
      <c r="AH245" s="49"/>
      <c r="AI245" s="49"/>
      <c r="AJ245" s="226"/>
      <c r="AK245" s="49"/>
      <c r="AL245" s="113">
        <f t="shared" si="76"/>
        <v>0</v>
      </c>
      <c r="AM245" s="113">
        <f t="shared" si="69"/>
        <v>0</v>
      </c>
      <c r="AN245" s="218"/>
      <c r="AO245" s="49"/>
      <c r="AP245" s="49"/>
      <c r="AQ245" s="84" t="str">
        <f>UPPER(RIGHT(Journal_Live[[#This Row],[DURATION ]]))</f>
        <v/>
      </c>
      <c r="AR245" s="49"/>
      <c r="AS245" s="55"/>
      <c r="AT245" s="55"/>
      <c r="AU245" s="54"/>
      <c r="AV245" s="56"/>
      <c r="AW245" s="57"/>
      <c r="AX245" s="96" t="s">
        <v>999</v>
      </c>
      <c r="AY245" s="96" t="s">
        <v>1000</v>
      </c>
      <c r="AZ245" s="96" t="s">
        <v>1001</v>
      </c>
      <c r="BA245" s="96" t="s">
        <v>1002</v>
      </c>
      <c r="BB245" s="96"/>
      <c r="BC245" s="96"/>
      <c r="BD245" s="96" t="s">
        <v>1003</v>
      </c>
      <c r="BE245" s="96"/>
      <c r="BF245" s="100"/>
      <c r="BG245" s="94">
        <f>SUM($AV$4:AV245)</f>
        <v>1182.7690101367634</v>
      </c>
      <c r="BH245" s="95">
        <f>SUM($AU$4:AU245)</f>
        <v>14974.979999999814</v>
      </c>
      <c r="BI245" s="80">
        <f>SUMIFS($AU$3:AU246,$Q$3:Q246,"F")</f>
        <v>9348.4000000000015</v>
      </c>
      <c r="BJ245" s="80">
        <f>SUMIFS($AU$3:AU246,$Q$3:Q246,"S")</f>
        <v>3759.9999999999914</v>
      </c>
      <c r="BK245" s="87">
        <f>SUMIFS($AU$3:AU246,$P$3:P246,"W")</f>
        <v>9197.579999999929</v>
      </c>
      <c r="BL245" s="87">
        <f>SUMIFS($AU$3:AU246,$P$3:P246,"R")</f>
        <v>4021.9999999999991</v>
      </c>
      <c r="BM245" s="87">
        <f>SUMIFS($AU$3:AU246,$AQ$3:AQ246,"M")</f>
        <v>5219.3799999995472</v>
      </c>
      <c r="BN245" s="87">
        <f>SUMIFS($AU$3:AU246,$AQ$3:AQ246,"H")</f>
        <v>3251.2000000002595</v>
      </c>
      <c r="BO245" s="87">
        <f>SUMIFS($AU$3:AU246,$AQ$3:AQ246,"D")</f>
        <v>1266.0000000000005</v>
      </c>
      <c r="BP245" s="87">
        <f>SUMIFS($AU$3:AU248,$AQ$3:AQ248,"W")</f>
        <v>5542.4000000000005</v>
      </c>
      <c r="BQ245" s="87">
        <f>SUMIFS($AU$3:AU246,$Q$3:Q246,"O")</f>
        <v>1770.5799999998073</v>
      </c>
      <c r="BR245" s="87">
        <f>SUMIFS($AU$3:AU246,$AA$3:AA246,"*")</f>
        <v>12759.799999999701</v>
      </c>
      <c r="BS245" s="87">
        <f>SUMIFS($AU$3:AU246,$AB$3:AB246,"*")</f>
        <v>4007.1799999999307</v>
      </c>
      <c r="BT245" s="87">
        <f>SUMIFS($AU$3:AU246,$AC$3:AC246,"*")</f>
        <v>7028.4</v>
      </c>
      <c r="BU245" s="87">
        <f>SUMIFS($AU$3:AU246,$AA$3:AA246,"*",$AB$3:AB246,"*")</f>
        <v>1855.9999999998222</v>
      </c>
      <c r="BV245" s="87">
        <f>SUMIFS($AU$3:AU246,$AA$3:AA246,"*",$AC$3:AC246,"*")</f>
        <v>6564.4</v>
      </c>
      <c r="BW245" s="87">
        <f>SUMIFS($AU$3:AU246,$AB$3:AB246,"*",$AC$3:AC246,"*")</f>
        <v>719.99999999999818</v>
      </c>
      <c r="BX245" s="87">
        <f>SUMIFS($AV$3:AV246,$Q$3:Q246,"F")</f>
        <v>221.28119764293677</v>
      </c>
      <c r="BY245" s="87">
        <f>SUMIFS($AV$3:AV246,$Q$3:Q246,"S")</f>
        <v>312.74781249396256</v>
      </c>
      <c r="BZ245" s="87">
        <f>SUMIFS($AV$3:AV246,$Q$3:Q246,"O")</f>
        <v>520.73999999985608</v>
      </c>
    </row>
    <row r="246" spans="1:78" ht="18" customHeight="1">
      <c r="A246" s="45" t="s">
        <v>567</v>
      </c>
      <c r="B246" s="59"/>
      <c r="C246" s="46"/>
      <c r="D246" s="46"/>
      <c r="E246" s="66"/>
      <c r="F246" s="47"/>
      <c r="G246" s="48"/>
      <c r="H246" s="49"/>
      <c r="I246" s="49"/>
      <c r="J246" s="49"/>
      <c r="K246" s="50"/>
      <c r="L246" s="49"/>
      <c r="M246" s="49"/>
      <c r="N246" s="49"/>
      <c r="O246" s="50"/>
      <c r="P246" s="50"/>
      <c r="Q246" s="50"/>
      <c r="R246" s="50"/>
      <c r="S246" s="50"/>
      <c r="T246" s="50"/>
      <c r="U246" s="50"/>
      <c r="V246" s="50"/>
      <c r="W246" s="50"/>
      <c r="X246" s="50"/>
      <c r="Y246" s="51"/>
      <c r="Z246" s="52"/>
      <c r="AA246" s="52"/>
      <c r="AB246" s="52"/>
      <c r="AC246" s="52"/>
      <c r="AD246" s="231"/>
      <c r="AE246" s="49"/>
      <c r="AF246" s="84"/>
      <c r="AG246" s="49"/>
      <c r="AH246" s="49"/>
      <c r="AI246" s="49"/>
      <c r="AJ246" s="226"/>
      <c r="AK246" s="49"/>
      <c r="AL246" s="113">
        <f t="shared" si="76"/>
        <v>0</v>
      </c>
      <c r="AM246" s="113">
        <f t="shared" si="69"/>
        <v>0</v>
      </c>
      <c r="AN246" s="218"/>
      <c r="AO246" s="49"/>
      <c r="AP246" s="49"/>
      <c r="AQ246" s="84" t="str">
        <f>UPPER(RIGHT(Journal_Live[[#This Row],[DURATION ]]))</f>
        <v/>
      </c>
      <c r="AR246" s="49"/>
      <c r="AS246" s="55"/>
      <c r="AT246" s="55"/>
      <c r="AU246" s="54"/>
      <c r="AV246" s="56"/>
      <c r="AW246" s="57"/>
      <c r="AX246" s="97" t="s">
        <v>1004</v>
      </c>
      <c r="AY246" s="97" t="s">
        <v>1005</v>
      </c>
      <c r="AZ246" s="96" t="s">
        <v>1006</v>
      </c>
      <c r="BA246" s="96"/>
      <c r="BB246" s="96"/>
      <c r="BC246" s="96"/>
      <c r="BD246" s="96"/>
      <c r="BE246" s="96"/>
      <c r="BF246" s="100"/>
      <c r="BG246" s="94">
        <f>SUM($AV$4:AV246)</f>
        <v>1182.7690101367634</v>
      </c>
      <c r="BH246" s="95">
        <f>SUM($AU$4:AU246)</f>
        <v>14974.979999999814</v>
      </c>
      <c r="BI246" s="80">
        <f>SUMIFS($AU$3:AU247,$Q$3:Q247,"F")</f>
        <v>9348.4000000000015</v>
      </c>
      <c r="BJ246" s="80">
        <f>SUMIFS($AU$3:AU247,$Q$3:Q247,"S")</f>
        <v>3759.9999999999914</v>
      </c>
      <c r="BK246" s="87">
        <f>SUMIFS($AU$3:AU247,$P$3:P247,"W")</f>
        <v>9197.579999999929</v>
      </c>
      <c r="BL246" s="87">
        <f>SUMIFS($AU$3:AU247,$P$3:P247,"R")</f>
        <v>4021.9999999999991</v>
      </c>
      <c r="BM246" s="87">
        <f>SUMIFS($AU$3:AU247,$AQ$3:AQ247,"M")</f>
        <v>5219.3799999995472</v>
      </c>
      <c r="BN246" s="87">
        <f>SUMIFS($AU$3:AU247,$AQ$3:AQ247,"H")</f>
        <v>3251.2000000002595</v>
      </c>
      <c r="BO246" s="87">
        <f>SUMIFS($AU$3:AU247,$AQ$3:AQ247,"D")</f>
        <v>1266.0000000000005</v>
      </c>
      <c r="BP246" s="87">
        <f>SUMIFS($AU$3:AU249,$AQ$3:AQ249,"W")</f>
        <v>5542.4000000000005</v>
      </c>
      <c r="BQ246" s="87">
        <f>SUMIFS($AU$3:AU247,$Q$3:Q247,"O")</f>
        <v>1770.5799999998073</v>
      </c>
      <c r="BR246" s="87">
        <f>SUMIFS($AU$3:AU247,$AA$3:AA247,"*")</f>
        <v>12759.799999999701</v>
      </c>
      <c r="BS246" s="87">
        <f>SUMIFS($AU$3:AU247,$AB$3:AB247,"*")</f>
        <v>4007.1799999999307</v>
      </c>
      <c r="BT246" s="87">
        <f>SUMIFS($AU$3:AU247,$AC$3:AC247,"*")</f>
        <v>7028.4</v>
      </c>
      <c r="BU246" s="87">
        <f>SUMIFS($AU$3:AU247,$AA$3:AA247,"*",$AB$3:AB247,"*")</f>
        <v>1855.9999999998222</v>
      </c>
      <c r="BV246" s="87">
        <f>SUMIFS($AU$3:AU247,$AA$3:AA247,"*",$AC$3:AC247,"*")</f>
        <v>6564.4</v>
      </c>
      <c r="BW246" s="87">
        <f>SUMIFS($AU$3:AU247,$AB$3:AB247,"*",$AC$3:AC247,"*")</f>
        <v>719.99999999999818</v>
      </c>
      <c r="BX246" s="87">
        <f>SUMIFS($AV$3:AV247,$Q$3:Q247,"F")</f>
        <v>221.28119764293677</v>
      </c>
      <c r="BY246" s="87">
        <f>SUMIFS($AV$3:AV247,$Q$3:Q247,"S")</f>
        <v>312.74781249396256</v>
      </c>
      <c r="BZ246" s="87">
        <f>SUMIFS($AV$3:AV247,$Q$3:Q247,"O")</f>
        <v>520.73999999985608</v>
      </c>
    </row>
    <row r="247" spans="1:78" ht="18" customHeight="1">
      <c r="A247" s="45" t="s">
        <v>567</v>
      </c>
      <c r="B247" s="59">
        <v>45350</v>
      </c>
      <c r="C247" s="46" t="s">
        <v>179</v>
      </c>
      <c r="D247" s="46" t="s">
        <v>186</v>
      </c>
      <c r="E247" s="66" t="s">
        <v>1007</v>
      </c>
      <c r="F247" s="47" t="s">
        <v>1008</v>
      </c>
      <c r="G247" s="48"/>
      <c r="H247" s="49"/>
      <c r="I247" s="49"/>
      <c r="J247" s="49">
        <v>1</v>
      </c>
      <c r="K247" s="50" t="s">
        <v>155</v>
      </c>
      <c r="L247" s="49"/>
      <c r="M247" s="49"/>
      <c r="N247" s="49"/>
      <c r="O247" s="50"/>
      <c r="P247" s="50"/>
      <c r="Q247" s="50"/>
      <c r="R247" s="50"/>
      <c r="S247" s="50"/>
      <c r="T247" s="50"/>
      <c r="U247" s="50"/>
      <c r="V247" s="50"/>
      <c r="W247" s="50"/>
      <c r="X247" s="50"/>
      <c r="Y247" s="51"/>
      <c r="Z247" s="52"/>
      <c r="AA247" s="52"/>
      <c r="AB247" s="52"/>
      <c r="AC247" s="52"/>
      <c r="AD247" s="231"/>
      <c r="AE247" s="49"/>
      <c r="AF247" s="84"/>
      <c r="AG247" s="49"/>
      <c r="AH247" s="49"/>
      <c r="AI247" s="49"/>
      <c r="AJ247" s="226"/>
      <c r="AK247" s="49"/>
      <c r="AL247" s="113">
        <f t="shared" si="76"/>
        <v>0</v>
      </c>
      <c r="AM247" s="113">
        <f t="shared" si="69"/>
        <v>0</v>
      </c>
      <c r="AN247" s="218"/>
      <c r="AO247" s="49"/>
      <c r="AP247" s="49"/>
      <c r="AQ247" s="84" t="str">
        <f>UPPER(RIGHT(Journal_Live[[#This Row],[DURATION ]]))</f>
        <v/>
      </c>
      <c r="AR247" s="49"/>
      <c r="AS247" s="55"/>
      <c r="AT247" s="55"/>
      <c r="AU247" s="54"/>
      <c r="AV247" s="56"/>
      <c r="AW247" s="57"/>
      <c r="AX247" s="97" t="s">
        <v>1009</v>
      </c>
      <c r="AY247" s="96" t="s">
        <v>1010</v>
      </c>
      <c r="AZ247" s="97" t="s">
        <v>1011</v>
      </c>
      <c r="BA247" s="97" t="s">
        <v>1012</v>
      </c>
      <c r="BB247" s="97" t="s">
        <v>1013</v>
      </c>
      <c r="BC247" s="97" t="s">
        <v>1014</v>
      </c>
      <c r="BD247" s="96" t="s">
        <v>1015</v>
      </c>
      <c r="BE247" s="96"/>
      <c r="BF247" s="100"/>
      <c r="BG247" s="94">
        <f>SUM($AV$4:AV247)</f>
        <v>1182.7690101367634</v>
      </c>
      <c r="BH247" s="95">
        <f>SUM($AU$4:AU247)</f>
        <v>14974.979999999814</v>
      </c>
      <c r="BI247" s="80">
        <f>SUMIFS($AU$3:AU248,$Q$3:Q248,"F")</f>
        <v>9348.4000000000015</v>
      </c>
      <c r="BJ247" s="80">
        <f>SUMIFS($AU$3:AU248,$Q$3:Q248,"S")</f>
        <v>3759.9999999999914</v>
      </c>
      <c r="BK247" s="87">
        <f>SUMIFS($AU$3:AU248,$P$3:P248,"W")</f>
        <v>9197.579999999929</v>
      </c>
      <c r="BL247" s="87">
        <f>SUMIFS($AU$3:AU248,$P$3:P248,"R")</f>
        <v>4021.9999999999991</v>
      </c>
      <c r="BM247" s="87">
        <f>SUMIFS($AU$3:AU248,$AQ$3:AQ248,"M")</f>
        <v>5219.3799999995472</v>
      </c>
      <c r="BN247" s="87">
        <f>SUMIFS($AU$3:AU248,$AQ$3:AQ248,"H")</f>
        <v>3251.2000000002595</v>
      </c>
      <c r="BO247" s="87">
        <f>SUMIFS($AU$3:AU248,$AQ$3:AQ248,"D")</f>
        <v>1266.0000000000005</v>
      </c>
      <c r="BP247" s="87">
        <f>SUMIFS($AU$3:AU250,$AQ$3:AQ250,"W")</f>
        <v>5542.4000000000005</v>
      </c>
      <c r="BQ247" s="87">
        <f>SUMIFS($AU$3:AU248,$Q$3:Q248,"O")</f>
        <v>1770.5799999998073</v>
      </c>
      <c r="BR247" s="87">
        <f>SUMIFS($AU$3:AU248,$AA$3:AA248,"*")</f>
        <v>12759.799999999701</v>
      </c>
      <c r="BS247" s="87">
        <f>SUMIFS($AU$3:AU248,$AB$3:AB248,"*")</f>
        <v>4007.1799999999307</v>
      </c>
      <c r="BT247" s="87">
        <f>SUMIFS($AU$3:AU248,$AC$3:AC248,"*")</f>
        <v>7028.4</v>
      </c>
      <c r="BU247" s="87">
        <f>SUMIFS($AU$3:AU248,$AA$3:AA248,"*",$AB$3:AB248,"*")</f>
        <v>1855.9999999998222</v>
      </c>
      <c r="BV247" s="87">
        <f>SUMIFS($AU$3:AU248,$AA$3:AA248,"*",$AC$3:AC248,"*")</f>
        <v>6564.4</v>
      </c>
      <c r="BW247" s="87">
        <f>SUMIFS($AU$3:AU248,$AB$3:AB248,"*",$AC$3:AC248,"*")</f>
        <v>719.99999999999818</v>
      </c>
      <c r="BX247" s="87">
        <f>SUMIFS($AV$3:AV248,$Q$3:Q248,"F")</f>
        <v>221.28119764293677</v>
      </c>
      <c r="BY247" s="87">
        <f>SUMIFS($AV$3:AV248,$Q$3:Q248,"S")</f>
        <v>312.74781249396256</v>
      </c>
      <c r="BZ247" s="87">
        <f>SUMIFS($AV$3:AV248,$Q$3:Q248,"O")</f>
        <v>520.73999999985608</v>
      </c>
    </row>
    <row r="248" spans="1:78" ht="18" customHeight="1">
      <c r="A248" s="45" t="s">
        <v>567</v>
      </c>
      <c r="B248" s="59"/>
      <c r="C248" s="46" t="s">
        <v>351</v>
      </c>
      <c r="D248" s="46" t="s">
        <v>186</v>
      </c>
      <c r="E248" s="66" t="s">
        <v>1016</v>
      </c>
      <c r="F248" s="47"/>
      <c r="G248" s="48"/>
      <c r="H248" s="49"/>
      <c r="I248" s="49"/>
      <c r="J248" s="49"/>
      <c r="K248" s="50"/>
      <c r="L248" s="49"/>
      <c r="M248" s="49"/>
      <c r="N248" s="49"/>
      <c r="O248" s="50"/>
      <c r="P248" s="50"/>
      <c r="Q248" s="50"/>
      <c r="R248" s="50"/>
      <c r="S248" s="50"/>
      <c r="T248" s="50"/>
      <c r="U248" s="50"/>
      <c r="V248" s="50"/>
      <c r="W248" s="50"/>
      <c r="X248" s="50"/>
      <c r="Y248" s="51"/>
      <c r="Z248" s="52"/>
      <c r="AA248" s="52"/>
      <c r="AB248" s="52"/>
      <c r="AC248" s="52"/>
      <c r="AD248" s="231"/>
      <c r="AE248" s="49"/>
      <c r="AF248" s="84"/>
      <c r="AG248" s="49"/>
      <c r="AH248" s="49"/>
      <c r="AI248" s="49"/>
      <c r="AJ248" s="226"/>
      <c r="AK248" s="49"/>
      <c r="AL248" s="113">
        <f t="shared" si="76"/>
        <v>0</v>
      </c>
      <c r="AM248" s="113">
        <f t="shared" si="69"/>
        <v>0</v>
      </c>
      <c r="AN248" s="218"/>
      <c r="AO248" s="49"/>
      <c r="AP248" s="49"/>
      <c r="AQ248" s="84" t="str">
        <f>UPPER(RIGHT(Journal_Live[[#This Row],[DURATION ]]))</f>
        <v/>
      </c>
      <c r="AR248" s="49"/>
      <c r="AS248" s="55"/>
      <c r="AT248" s="55"/>
      <c r="AU248" s="54"/>
      <c r="AV248" s="56"/>
      <c r="AW248" s="57"/>
      <c r="AX248" s="96"/>
      <c r="AY248" s="96"/>
      <c r="AZ248" s="96"/>
      <c r="BA248" s="96"/>
      <c r="BB248" s="96"/>
      <c r="BC248" s="96"/>
      <c r="BD248" s="96"/>
      <c r="BE248" s="96"/>
      <c r="BF248" s="100"/>
      <c r="BG248" s="94">
        <f>SUM($AV$4:AV248)</f>
        <v>1182.7690101367634</v>
      </c>
      <c r="BH248" s="95">
        <f>SUM($AU$4:AU248)</f>
        <v>14974.979999999814</v>
      </c>
      <c r="BI248" s="80">
        <f>SUMIFS($AU$3:AU249,$Q$3:Q249,"F")</f>
        <v>9348.4000000000015</v>
      </c>
      <c r="BJ248" s="80">
        <f>SUMIFS($AU$3:AU249,$Q$3:Q249,"S")</f>
        <v>3759.9999999999914</v>
      </c>
      <c r="BK248" s="87">
        <f>SUMIFS($AU$3:AU249,$P$3:P249,"W")</f>
        <v>9197.579999999929</v>
      </c>
      <c r="BL248" s="87">
        <f>SUMIFS($AU$3:AU249,$P$3:P249,"R")</f>
        <v>4021.9999999999991</v>
      </c>
      <c r="BM248" s="87">
        <f>SUMIFS($AU$3:AU249,$AQ$3:AQ249,"M")</f>
        <v>5219.3799999995472</v>
      </c>
      <c r="BN248" s="87">
        <f>SUMIFS($AU$3:AU249,$AQ$3:AQ249,"H")</f>
        <v>3251.2000000002595</v>
      </c>
      <c r="BO248" s="87">
        <f>SUMIFS($AU$3:AU249,$AQ$3:AQ249,"D")</f>
        <v>1266.0000000000005</v>
      </c>
      <c r="BP248" s="87">
        <f>SUMIFS($AU$3:AU251,$AQ$3:AQ251,"W")</f>
        <v>5542.4000000000005</v>
      </c>
      <c r="BQ248" s="87">
        <f>SUMIFS($AU$3:AU249,$Q$3:Q249,"O")</f>
        <v>1770.5799999998073</v>
      </c>
      <c r="BR248" s="87">
        <f>SUMIFS($AU$3:AU249,$AA$3:AA249,"*")</f>
        <v>12759.799999999701</v>
      </c>
      <c r="BS248" s="87">
        <f>SUMIFS($AU$3:AU249,$AB$3:AB249,"*")</f>
        <v>4007.1799999999307</v>
      </c>
      <c r="BT248" s="87">
        <f>SUMIFS($AU$3:AU249,$AC$3:AC249,"*")</f>
        <v>7028.4</v>
      </c>
      <c r="BU248" s="87">
        <f>SUMIFS($AU$3:AU249,$AA$3:AA249,"*",$AB$3:AB249,"*")</f>
        <v>1855.9999999998222</v>
      </c>
      <c r="BV248" s="87">
        <f>SUMIFS($AU$3:AU249,$AA$3:AA249,"*",$AC$3:AC249,"*")</f>
        <v>6564.4</v>
      </c>
      <c r="BW248" s="87">
        <f>SUMIFS($AU$3:AU249,$AB$3:AB249,"*",$AC$3:AC249,"*")</f>
        <v>719.99999999999818</v>
      </c>
      <c r="BX248" s="87">
        <f>SUMIFS($AV$3:AV249,$Q$3:Q249,"F")</f>
        <v>221.28119764293677</v>
      </c>
      <c r="BY248" s="87">
        <f>SUMIFS($AV$3:AV249,$Q$3:Q249,"S")</f>
        <v>312.74781249396256</v>
      </c>
      <c r="BZ248" s="87">
        <f>SUMIFS($AV$3:AV249,$Q$3:Q249,"O")</f>
        <v>520.73999999985608</v>
      </c>
    </row>
    <row r="249" spans="1:78" ht="18" customHeight="1">
      <c r="A249" s="45" t="s">
        <v>567</v>
      </c>
      <c r="B249" s="59">
        <v>45350</v>
      </c>
      <c r="C249" s="46" t="s">
        <v>147</v>
      </c>
      <c r="D249" s="46"/>
      <c r="E249" s="66"/>
      <c r="F249" s="47"/>
      <c r="G249" s="106" t="s">
        <v>195</v>
      </c>
      <c r="H249" s="49"/>
      <c r="I249" s="49"/>
      <c r="J249" s="49"/>
      <c r="K249" s="50"/>
      <c r="L249" s="49">
        <v>1</v>
      </c>
      <c r="M249" s="49"/>
      <c r="N249" s="49"/>
      <c r="O249" s="50" t="s">
        <v>196</v>
      </c>
      <c r="P249" s="50" t="s">
        <v>197</v>
      </c>
      <c r="Q249" s="50" t="s">
        <v>198</v>
      </c>
      <c r="R249" s="50">
        <v>6</v>
      </c>
      <c r="S249" s="50">
        <v>0</v>
      </c>
      <c r="T249" s="50">
        <v>2</v>
      </c>
      <c r="U249" s="50" t="s">
        <v>22</v>
      </c>
      <c r="V249" s="50"/>
      <c r="W249" s="50"/>
      <c r="X249" s="50"/>
      <c r="Y249" s="51">
        <f>IF(ISBLANK(O249),"",(IF(O249=UPPER("IB"),0.005,0.01)))</f>
        <v>0.01</v>
      </c>
      <c r="Z249" s="52">
        <f>IF(ISBLANK(O249),"",IF(O249="IB",8.63*200,IF(O249="IR",16*100,IF(O249="YT",20*100,IF(O249="YT-XT",24*200,IF(O249="TED",80*100,IF(O249="XT",29*200)))))))</f>
        <v>5800</v>
      </c>
      <c r="AA249" s="52" t="s">
        <v>1017</v>
      </c>
      <c r="AB249" s="52"/>
      <c r="AC249" s="52"/>
      <c r="AD249" s="231">
        <v>95.819000000000003</v>
      </c>
      <c r="AE249" s="49"/>
      <c r="AF249" s="84"/>
      <c r="AG249" s="49"/>
      <c r="AH249" s="49"/>
      <c r="AI249" s="49"/>
      <c r="AJ249" s="226"/>
      <c r="AK249" s="49"/>
      <c r="AL249" s="113">
        <f t="shared" si="76"/>
        <v>-116</v>
      </c>
      <c r="AM249" s="113">
        <f t="shared" si="69"/>
        <v>-696</v>
      </c>
      <c r="AN249" s="218"/>
      <c r="AO249" s="49"/>
      <c r="AP249" s="49" t="s">
        <v>909</v>
      </c>
      <c r="AQ249" s="84" t="s">
        <v>350</v>
      </c>
      <c r="AR249" s="49"/>
      <c r="AS249" s="55">
        <v>95.819000000000003</v>
      </c>
      <c r="AT249" s="55">
        <f>IF(ISBLANK(AS249),,IF(U249="S",AD249-AS249,AS249-AD249))</f>
        <v>0</v>
      </c>
      <c r="AU249" s="54">
        <f>AV249*R249</f>
        <v>0</v>
      </c>
      <c r="AV249" s="56">
        <f t="shared" ref="AV249" si="77">IF(ISBLANK(AS249),,(AT249*Z249))</f>
        <v>0</v>
      </c>
      <c r="AW249" s="57" t="s">
        <v>155</v>
      </c>
      <c r="AX249" s="96" t="s">
        <v>1018</v>
      </c>
      <c r="AY249" s="96" t="s">
        <v>1019</v>
      </c>
      <c r="AZ249" s="96" t="s">
        <v>1020</v>
      </c>
      <c r="BA249" s="96" t="s">
        <v>1021</v>
      </c>
      <c r="BB249" s="96" t="s">
        <v>1022</v>
      </c>
      <c r="BC249" s="96"/>
      <c r="BD249" s="96"/>
      <c r="BE249" s="96"/>
      <c r="BF249" s="100"/>
      <c r="BG249" s="94">
        <f>SUM($AV$4:AV249)</f>
        <v>1182.7690101367634</v>
      </c>
      <c r="BH249" s="95">
        <f>SUM($AU$4:AU249)</f>
        <v>14974.979999999814</v>
      </c>
      <c r="BI249" s="80">
        <f>SUMIFS($AU$3:AU250,$Q$3:Q250,"F")</f>
        <v>9348.4000000000015</v>
      </c>
      <c r="BJ249" s="80">
        <f>SUMIFS($AU$3:AU250,$Q$3:Q250,"S")</f>
        <v>3759.9999999999914</v>
      </c>
      <c r="BK249" s="87">
        <f>SUMIFS($AU$3:AU250,$P$3:P250,"W")</f>
        <v>9197.579999999929</v>
      </c>
      <c r="BL249" s="87">
        <f>SUMIFS($AU$3:AU250,$P$3:P250,"R")</f>
        <v>4021.9999999999991</v>
      </c>
      <c r="BM249" s="87">
        <f>SUMIFS($AU$3:AU250,$AQ$3:AQ250,"M")</f>
        <v>5219.3799999995472</v>
      </c>
      <c r="BN249" s="87">
        <f>SUMIFS($AU$3:AU250,$AQ$3:AQ250,"H")</f>
        <v>3251.2000000002595</v>
      </c>
      <c r="BO249" s="87">
        <f>SUMIFS($AU$3:AU250,$AQ$3:AQ250,"D")</f>
        <v>1266.0000000000005</v>
      </c>
      <c r="BP249" s="87">
        <f>SUMIFS($AU$3:AU252,$AQ$3:AQ252,"W")</f>
        <v>5542.4000000000005</v>
      </c>
      <c r="BQ249" s="87">
        <f>SUMIFS($AU$3:AU250,$Q$3:Q250,"O")</f>
        <v>1770.5799999998073</v>
      </c>
      <c r="BR249" s="87">
        <f>SUMIFS($AU$3:AU250,$AA$3:AA250,"*")</f>
        <v>12759.799999999701</v>
      </c>
      <c r="BS249" s="87">
        <f>SUMIFS($AU$3:AU250,$AB$3:AB250,"*")</f>
        <v>4007.1799999999307</v>
      </c>
      <c r="BT249" s="87">
        <f>SUMIFS($AU$3:AU250,$AC$3:AC250,"*")</f>
        <v>7028.4</v>
      </c>
      <c r="BU249" s="87">
        <f>SUMIFS($AU$3:AU250,$AA$3:AA250,"*",$AB$3:AB250,"*")</f>
        <v>1855.9999999998222</v>
      </c>
      <c r="BV249" s="87">
        <f>SUMIFS($AU$3:AU250,$AA$3:AA250,"*",$AC$3:AC250,"*")</f>
        <v>6564.4</v>
      </c>
      <c r="BW249" s="87">
        <f>SUMIFS($AU$3:AU250,$AB$3:AB250,"*",$AC$3:AC250,"*")</f>
        <v>719.99999999999818</v>
      </c>
      <c r="BX249" s="87">
        <f>SUMIFS($AV$3:AV250,$Q$3:Q250,"F")</f>
        <v>221.28119764293677</v>
      </c>
      <c r="BY249" s="87">
        <f>SUMIFS($AV$3:AV250,$Q$3:Q250,"S")</f>
        <v>312.74781249396256</v>
      </c>
      <c r="BZ249" s="87">
        <f>SUMIFS($AV$3:AV250,$Q$3:Q250,"O")</f>
        <v>520.73999999985608</v>
      </c>
    </row>
    <row r="250" spans="1:78" ht="18" customHeight="1">
      <c r="A250" s="45" t="s">
        <v>567</v>
      </c>
      <c r="B250" s="59"/>
      <c r="C250" s="46"/>
      <c r="D250" s="46"/>
      <c r="E250" s="66"/>
      <c r="F250" s="47"/>
      <c r="G250" s="48"/>
      <c r="H250" s="49"/>
      <c r="I250" s="49"/>
      <c r="J250" s="49"/>
      <c r="K250" s="50"/>
      <c r="L250" s="49"/>
      <c r="M250" s="49"/>
      <c r="N250" s="49"/>
      <c r="O250" s="50"/>
      <c r="P250" s="50"/>
      <c r="Q250" s="50"/>
      <c r="R250" s="50"/>
      <c r="S250" s="50"/>
      <c r="T250" s="50"/>
      <c r="U250" s="50"/>
      <c r="V250" s="50"/>
      <c r="W250" s="50"/>
      <c r="X250" s="50"/>
      <c r="Y250" s="51"/>
      <c r="Z250" s="52"/>
      <c r="AA250" s="52"/>
      <c r="AB250" s="52"/>
      <c r="AC250" s="52"/>
      <c r="AD250" s="231"/>
      <c r="AE250" s="49"/>
      <c r="AF250" s="84"/>
      <c r="AG250" s="49"/>
      <c r="AH250" s="49"/>
      <c r="AI250" s="49"/>
      <c r="AJ250" s="226"/>
      <c r="AK250" s="49"/>
      <c r="AL250" s="113">
        <f t="shared" si="75"/>
        <v>0</v>
      </c>
      <c r="AM250" s="113">
        <f t="shared" si="69"/>
        <v>0</v>
      </c>
      <c r="AN250" s="218"/>
      <c r="AO250" s="49"/>
      <c r="AP250" s="49"/>
      <c r="AQ250" s="84" t="str">
        <f>UPPER(RIGHT(Journal_Live[[#This Row],[DURATION ]]))</f>
        <v/>
      </c>
      <c r="AR250" s="49"/>
      <c r="AS250" s="55"/>
      <c r="AT250" s="55"/>
      <c r="AU250" s="54"/>
      <c r="AV250" s="56"/>
      <c r="AW250" s="57"/>
      <c r="AX250" s="97" t="s">
        <v>1023</v>
      </c>
      <c r="AY250" s="97" t="s">
        <v>1024</v>
      </c>
      <c r="AZ250" s="96" t="s">
        <v>1025</v>
      </c>
      <c r="BA250" s="96" t="s">
        <v>1026</v>
      </c>
      <c r="BB250" s="96" t="s">
        <v>1027</v>
      </c>
      <c r="BC250" s="96"/>
      <c r="BD250" s="96"/>
      <c r="BE250" s="96"/>
      <c r="BF250" s="100"/>
      <c r="BG250" s="94">
        <f>SUM($AV$4:AV250)</f>
        <v>1182.7690101367634</v>
      </c>
      <c r="BH250" s="95">
        <f>SUM($AU$4:AU250)</f>
        <v>14974.979999999814</v>
      </c>
      <c r="BI250" s="80">
        <f>SUMIFS($AU$3:AU251,$Q$3:Q251,"F")</f>
        <v>9348.4000000000015</v>
      </c>
      <c r="BJ250" s="80">
        <f>SUMIFS($AU$3:AU251,$Q$3:Q251,"S")</f>
        <v>3279.9999999999918</v>
      </c>
      <c r="BK250" s="87">
        <f>SUMIFS($AU$3:AU251,$P$3:P251,"W")</f>
        <v>8717.579999999929</v>
      </c>
      <c r="BL250" s="87">
        <f>SUMIFS($AU$3:AU251,$P$3:P251,"R")</f>
        <v>4021.9999999999991</v>
      </c>
      <c r="BM250" s="87">
        <f>SUMIFS($AU$3:AU251,$AQ$3:AQ251,"M")</f>
        <v>5219.3799999995472</v>
      </c>
      <c r="BN250" s="87">
        <f>SUMIFS($AU$3:AU251,$AQ$3:AQ251,"H")</f>
        <v>2771.2000000002599</v>
      </c>
      <c r="BO250" s="87">
        <f>SUMIFS($AU$3:AU251,$AQ$3:AQ251,"D")</f>
        <v>1266.0000000000005</v>
      </c>
      <c r="BP250" s="87">
        <f>SUMIFS($AU$3:AU253,$AQ$3:AQ253,"W")</f>
        <v>5542.4000000000005</v>
      </c>
      <c r="BQ250" s="87">
        <f>SUMIFS($AU$3:AU251,$Q$3:Q251,"O")</f>
        <v>1770.5799999998073</v>
      </c>
      <c r="BR250" s="87">
        <f>SUMIFS($AU$3:AU251,$AA$3:AA251,"*")</f>
        <v>12279.799999999701</v>
      </c>
      <c r="BS250" s="87">
        <f>SUMIFS($AU$3:AU251,$AB$3:AB251,"*")</f>
        <v>4007.1799999999307</v>
      </c>
      <c r="BT250" s="87">
        <f>SUMIFS($AU$3:AU251,$AC$3:AC251,"*")</f>
        <v>7028.4</v>
      </c>
      <c r="BU250" s="87">
        <f>SUMIFS($AU$3:AU251,$AA$3:AA251,"*",$AB$3:AB251,"*")</f>
        <v>1855.9999999998222</v>
      </c>
      <c r="BV250" s="87">
        <f>SUMIFS($AU$3:AU251,$AA$3:AA251,"*",$AC$3:AC251,"*")</f>
        <v>6564.4</v>
      </c>
      <c r="BW250" s="87">
        <f>SUMIFS($AU$3:AU251,$AB$3:AB251,"*",$AC$3:AC251,"*")</f>
        <v>719.99999999999818</v>
      </c>
      <c r="BX250" s="87">
        <f>SUMIFS($AV$3:AV251,$Q$3:Q251,"F")</f>
        <v>221.28119764293677</v>
      </c>
      <c r="BY250" s="87">
        <f>SUMIFS($AV$3:AV251,$Q$3:Q251,"S")</f>
        <v>280.74781249396256</v>
      </c>
      <c r="BZ250" s="87">
        <f>SUMIFS($AV$3:AV251,$Q$3:Q251,"O")</f>
        <v>520.73999999985608</v>
      </c>
    </row>
    <row r="251" spans="1:78" ht="18" customHeight="1">
      <c r="A251" s="45" t="s">
        <v>567</v>
      </c>
      <c r="B251" s="59">
        <v>45350</v>
      </c>
      <c r="C251" s="46" t="s">
        <v>1028</v>
      </c>
      <c r="D251" s="46" t="s">
        <v>186</v>
      </c>
      <c r="E251" s="66"/>
      <c r="F251" s="47"/>
      <c r="G251" s="106" t="s">
        <v>111</v>
      </c>
      <c r="H251" s="49"/>
      <c r="I251" s="49"/>
      <c r="J251" s="49"/>
      <c r="K251" s="50"/>
      <c r="L251" s="49">
        <v>1</v>
      </c>
      <c r="M251" s="49"/>
      <c r="N251" s="49"/>
      <c r="O251" s="50" t="s">
        <v>100</v>
      </c>
      <c r="P251" s="50" t="s">
        <v>101</v>
      </c>
      <c r="Q251" s="50" t="s">
        <v>102</v>
      </c>
      <c r="R251" s="50">
        <v>15</v>
      </c>
      <c r="S251" s="50">
        <v>0</v>
      </c>
      <c r="T251" s="50">
        <v>15</v>
      </c>
      <c r="U251" s="50" t="s">
        <v>22</v>
      </c>
      <c r="V251" s="50"/>
      <c r="W251" s="50"/>
      <c r="X251" s="50"/>
      <c r="Y251" s="51">
        <f>IF(ISBLANK(O251),"",(IF(O251=UPPER("IB"),0.005,0.01)))</f>
        <v>0.01</v>
      </c>
      <c r="Z251" s="52">
        <f>IF(ISBLANK(O251),"",IF(O251="IB",8.63*200,IF(O251="IR",16*100,IF(O251="YT",20*100,IF(O251="YT-XT",24*200,IF(O251="TED",80*100))))))</f>
        <v>1600</v>
      </c>
      <c r="AA251" s="52" t="s">
        <v>1029</v>
      </c>
      <c r="AB251" s="52"/>
      <c r="AC251" s="52"/>
      <c r="AD251" s="231">
        <v>-0.1</v>
      </c>
      <c r="AE251" s="49"/>
      <c r="AF251" s="84"/>
      <c r="AG251" s="49"/>
      <c r="AH251" s="49"/>
      <c r="AI251" s="49"/>
      <c r="AJ251" s="226" t="s">
        <v>1030</v>
      </c>
      <c r="AK251" s="49"/>
      <c r="AL251" s="113">
        <f t="shared" si="63"/>
        <v>-32</v>
      </c>
      <c r="AM251" s="113">
        <f t="shared" si="69"/>
        <v>-480</v>
      </c>
      <c r="AN251" s="218"/>
      <c r="AO251" s="49"/>
      <c r="AP251" s="49" t="s">
        <v>283</v>
      </c>
      <c r="AQ251" s="84" t="s">
        <v>142</v>
      </c>
      <c r="AR251" s="49" t="s">
        <v>1031</v>
      </c>
      <c r="AS251" s="55">
        <v>-0.12</v>
      </c>
      <c r="AT251" s="55">
        <f>IF(ISBLANK(AS251),,IF(U251="S",AD251-AS251,AS251-AD251))</f>
        <v>-1.999999999999999E-2</v>
      </c>
      <c r="AU251" s="54">
        <f>AV251*R251</f>
        <v>-479.99999999999977</v>
      </c>
      <c r="AV251" s="56">
        <f t="shared" ref="AV251:AV252" si="78">IF(ISBLANK(AS251),,(AT251*Z251))</f>
        <v>-31.999999999999986</v>
      </c>
      <c r="AW251" s="57" t="s">
        <v>121</v>
      </c>
      <c r="AX251" s="96" t="s">
        <v>1032</v>
      </c>
      <c r="AY251" s="96" t="s">
        <v>1033</v>
      </c>
      <c r="AZ251" s="96" t="s">
        <v>1034</v>
      </c>
      <c r="BA251" s="96"/>
      <c r="BB251" s="96"/>
      <c r="BC251" s="96"/>
      <c r="BD251" s="97" t="s">
        <v>991</v>
      </c>
      <c r="BE251" s="96"/>
      <c r="BF251" s="100"/>
      <c r="BG251" s="94">
        <f>SUM($AV$4:AV251)</f>
        <v>1150.7690101367634</v>
      </c>
      <c r="BH251" s="95">
        <f>SUM($AU$4:AU251)</f>
        <v>14494.979999999814</v>
      </c>
      <c r="BI251" s="80">
        <f>SUMIFS($AU$3:AU252,$Q$3:Q252,"F")</f>
        <v>9348.4000000000015</v>
      </c>
      <c r="BJ251" s="80">
        <f>SUMIFS($AU$3:AU252,$Q$3:Q252,"S")</f>
        <v>3279.9999999999918</v>
      </c>
      <c r="BK251" s="87">
        <f>SUMIFS($AU$3:AU252,$P$3:P252,"W")</f>
        <v>8717.579999999929</v>
      </c>
      <c r="BL251" s="87">
        <f>SUMIFS($AU$3:AU252,$P$3:P252,"R")</f>
        <v>4181.9999999999991</v>
      </c>
      <c r="BM251" s="87">
        <f>SUMIFS($AU$3:AU252,$AQ$3:AQ252,"M")</f>
        <v>5219.3799999995472</v>
      </c>
      <c r="BN251" s="87">
        <f>SUMIFS($AU$3:AU252,$AQ$3:AQ252,"H")</f>
        <v>2931.2000000002599</v>
      </c>
      <c r="BO251" s="87">
        <f>SUMIFS($AU$3:AU252,$AQ$3:AQ252,"D")</f>
        <v>1266.0000000000005</v>
      </c>
      <c r="BP251" s="87">
        <f>SUMIFS($AU$3:AU255,$AQ$3:AQ255,"W")</f>
        <v>5542.4000000000005</v>
      </c>
      <c r="BQ251" s="87">
        <f>SUMIFS($AU$3:AU252,$Q$3:Q252,"O")</f>
        <v>1770.5799999998073</v>
      </c>
      <c r="BR251" s="87">
        <f>SUMIFS($AU$3:AU252,$AA$3:AA252,"*")</f>
        <v>12439.799999999701</v>
      </c>
      <c r="BS251" s="87">
        <f>SUMIFS($AU$3:AU252,$AB$3:AB252,"*")</f>
        <v>4007.1799999999307</v>
      </c>
      <c r="BT251" s="87">
        <f>SUMIFS($AU$3:AU252,$AC$3:AC252,"*")</f>
        <v>7028.4</v>
      </c>
      <c r="BU251" s="87">
        <f>SUMIFS($AU$3:AU252,$AA$3:AA252,"*",$AB$3:AB252,"*")</f>
        <v>1855.9999999998222</v>
      </c>
      <c r="BV251" s="87">
        <f>SUMIFS($AU$3:AU252,$AA$3:AA252,"*",$AC$3:AC252,"*")</f>
        <v>6564.4</v>
      </c>
      <c r="BW251" s="87">
        <f>SUMIFS($AU$3:AU252,$AB$3:AB252,"*",$AC$3:AC252,"*")</f>
        <v>719.99999999999818</v>
      </c>
      <c r="BX251" s="87">
        <f>SUMIFS($AV$3:AV252,$Q$3:Q252,"F")</f>
        <v>221.28119764293677</v>
      </c>
      <c r="BY251" s="87">
        <f>SUMIFS($AV$3:AV252,$Q$3:Q252,"S")</f>
        <v>280.74781249396256</v>
      </c>
      <c r="BZ251" s="87">
        <f>SUMIFS($AV$3:AV252,$Q$3:Q252,"O")</f>
        <v>520.73999999985608</v>
      </c>
    </row>
    <row r="252" spans="1:78" ht="18" customHeight="1">
      <c r="A252" s="45" t="s">
        <v>567</v>
      </c>
      <c r="B252" s="59">
        <v>45350</v>
      </c>
      <c r="C252" s="46" t="s">
        <v>1035</v>
      </c>
      <c r="D252" s="46" t="s">
        <v>186</v>
      </c>
      <c r="E252" s="66"/>
      <c r="F252" s="47"/>
      <c r="G252" s="106" t="s">
        <v>362</v>
      </c>
      <c r="H252" s="49"/>
      <c r="I252" s="49"/>
      <c r="J252" s="49"/>
      <c r="K252" s="50"/>
      <c r="L252" s="49">
        <v>1</v>
      </c>
      <c r="M252" s="49"/>
      <c r="N252" s="49"/>
      <c r="O252" s="50" t="s">
        <v>363</v>
      </c>
      <c r="P252" s="50" t="s">
        <v>126</v>
      </c>
      <c r="Q252" s="50"/>
      <c r="R252" s="50">
        <v>2</v>
      </c>
      <c r="S252" s="50">
        <v>0</v>
      </c>
      <c r="T252" s="50">
        <v>1</v>
      </c>
      <c r="U252" s="50" t="s">
        <v>102</v>
      </c>
      <c r="V252" s="50"/>
      <c r="W252" s="50"/>
      <c r="X252" s="50"/>
      <c r="Y252" s="51">
        <f>IF(ISBLANK(O252),"",(IF(O252=UPPER("IB"),0.005,0.01)))</f>
        <v>0.01</v>
      </c>
      <c r="Z252" s="52">
        <f>IF(ISBLANK(O252),"",IF(O252="IB",8.63*200,IF(O252="IR",16*100,IF(O252="YT",20*100,IF(O252="YT-XT",24*200,IF(O252="TED",80*100))))))</f>
        <v>8000</v>
      </c>
      <c r="AA252" s="52" t="s">
        <v>1036</v>
      </c>
      <c r="AB252" s="52"/>
      <c r="AC252" s="52"/>
      <c r="AD252" s="231">
        <v>-0.06</v>
      </c>
      <c r="AE252" s="49"/>
      <c r="AF252" s="84"/>
      <c r="AG252" s="49"/>
      <c r="AH252" s="49"/>
      <c r="AI252" s="49"/>
      <c r="AJ252" s="226"/>
      <c r="AK252" s="49"/>
      <c r="AL252" s="113">
        <f t="shared" si="53"/>
        <v>-160</v>
      </c>
      <c r="AM252" s="113">
        <f t="shared" si="69"/>
        <v>-320</v>
      </c>
      <c r="AN252" s="218"/>
      <c r="AO252" s="49"/>
      <c r="AP252" s="49" t="s">
        <v>1037</v>
      </c>
      <c r="AQ252" s="84" t="s">
        <v>142</v>
      </c>
      <c r="AR252" s="49" t="s">
        <v>1038</v>
      </c>
      <c r="AS252" s="55">
        <v>-7.0000000000000007E-2</v>
      </c>
      <c r="AT252" s="55">
        <f>IF(ISBLANK(AS252),,IF(U252="S",AD252-AS252,AS252-AD252))</f>
        <v>1.0000000000000009E-2</v>
      </c>
      <c r="AU252" s="54">
        <f>AV252*R252</f>
        <v>160.00000000000014</v>
      </c>
      <c r="AV252" s="56">
        <f t="shared" si="78"/>
        <v>80.000000000000071</v>
      </c>
      <c r="AW252" s="57" t="s">
        <v>101</v>
      </c>
      <c r="AX252" s="96" t="s">
        <v>1039</v>
      </c>
      <c r="AY252" s="96" t="s">
        <v>1040</v>
      </c>
      <c r="AZ252" s="96" t="s">
        <v>1041</v>
      </c>
      <c r="BA252" s="96"/>
      <c r="BB252" s="96"/>
      <c r="BC252" s="96"/>
      <c r="BD252" s="96" t="s">
        <v>411</v>
      </c>
      <c r="BE252" s="96" t="s">
        <v>412</v>
      </c>
      <c r="BF252" s="100" t="s">
        <v>413</v>
      </c>
      <c r="BG252" s="94">
        <f>SUM($AV$4:AV252)</f>
        <v>1230.7690101367634</v>
      </c>
      <c r="BH252" s="95">
        <f>SUM($AU$4:AU252)</f>
        <v>14654.979999999814</v>
      </c>
      <c r="BI252" s="80">
        <f>SUMIFS($AU$3:AU253,$Q$3:Q253,"F")</f>
        <v>9348.4000000000015</v>
      </c>
      <c r="BJ252" s="80">
        <f>SUMIFS($AU$3:AU253,$Q$3:Q253,"S")</f>
        <v>3279.9999999999918</v>
      </c>
      <c r="BK252" s="87">
        <f>SUMIFS($AU$3:AU253,$P$3:P253,"W")</f>
        <v>8717.579999999929</v>
      </c>
      <c r="BL252" s="87">
        <f>SUMIFS($AU$3:AU253,$P$3:P253,"R")</f>
        <v>4181.9999999999991</v>
      </c>
      <c r="BM252" s="87">
        <f>SUMIFS($AU$3:AU253,$AQ$3:AQ253,"M")</f>
        <v>5219.3799999995472</v>
      </c>
      <c r="BN252" s="87">
        <f>SUMIFS($AU$3:AU253,$AQ$3:AQ253,"H")</f>
        <v>2931.2000000002599</v>
      </c>
      <c r="BO252" s="87">
        <f>SUMIFS($AU$3:AU253,$AQ$3:AQ253,"D")</f>
        <v>1266.0000000000005</v>
      </c>
      <c r="BP252" s="87">
        <f>SUMIFS($AU$3:AU256,$AQ$3:AQ256,"W")</f>
        <v>5542.4000000000005</v>
      </c>
      <c r="BQ252" s="87">
        <f>SUMIFS($AU$3:AU253,$Q$3:Q253,"O")</f>
        <v>1770.5799999998073</v>
      </c>
      <c r="BR252" s="87">
        <f>SUMIFS($AU$3:AU253,$AA$3:AA253,"*")</f>
        <v>12439.799999999701</v>
      </c>
      <c r="BS252" s="87">
        <f>SUMIFS($AU$3:AU253,$AB$3:AB253,"*")</f>
        <v>4007.1799999999307</v>
      </c>
      <c r="BT252" s="87">
        <f>SUMIFS($AU$3:AU253,$AC$3:AC253,"*")</f>
        <v>7028.4</v>
      </c>
      <c r="BU252" s="87">
        <f>SUMIFS($AU$3:AU253,$AA$3:AA253,"*",$AB$3:AB253,"*")</f>
        <v>1855.9999999998222</v>
      </c>
      <c r="BV252" s="87">
        <f>SUMIFS($AU$3:AU253,$AA$3:AA253,"*",$AC$3:AC253,"*")</f>
        <v>6564.4</v>
      </c>
      <c r="BW252" s="87">
        <f>SUMIFS($AU$3:AU253,$AB$3:AB253,"*",$AC$3:AC253,"*")</f>
        <v>719.99999999999818</v>
      </c>
      <c r="BX252" s="87">
        <f>SUMIFS($AV$3:AV253,$Q$3:Q253,"F")</f>
        <v>221.28119764293677</v>
      </c>
      <c r="BY252" s="87">
        <f>SUMIFS($AV$3:AV253,$Q$3:Q253,"S")</f>
        <v>280.74781249396256</v>
      </c>
      <c r="BZ252" s="87">
        <f>SUMIFS($AV$3:AV253,$Q$3:Q253,"O")</f>
        <v>520.73999999985608</v>
      </c>
    </row>
    <row r="253" spans="1:78" ht="18" customHeight="1">
      <c r="A253" s="45" t="s">
        <v>567</v>
      </c>
      <c r="B253" s="59"/>
      <c r="C253" s="46"/>
      <c r="D253" s="46"/>
      <c r="E253" s="66"/>
      <c r="F253" s="47"/>
      <c r="G253" s="48"/>
      <c r="H253" s="49"/>
      <c r="I253" s="49"/>
      <c r="J253" s="49"/>
      <c r="K253" s="50"/>
      <c r="L253" s="49"/>
      <c r="M253" s="49"/>
      <c r="N253" s="49"/>
      <c r="O253" s="50"/>
      <c r="P253" s="50"/>
      <c r="Q253" s="50"/>
      <c r="R253" s="50"/>
      <c r="S253" s="50"/>
      <c r="T253" s="50"/>
      <c r="U253" s="50"/>
      <c r="V253" s="50"/>
      <c r="W253" s="50"/>
      <c r="X253" s="50"/>
      <c r="Y253" s="51"/>
      <c r="Z253" s="52"/>
      <c r="AA253" s="52"/>
      <c r="AB253" s="52"/>
      <c r="AC253" s="52"/>
      <c r="AD253" s="231"/>
      <c r="AE253" s="49"/>
      <c r="AF253" s="84"/>
      <c r="AG253" s="49"/>
      <c r="AH253" s="49"/>
      <c r="AI253" s="49"/>
      <c r="AJ253" s="226"/>
      <c r="AK253" s="49"/>
      <c r="AL253" s="113">
        <f t="shared" si="47"/>
        <v>0</v>
      </c>
      <c r="AM253" s="113">
        <f t="shared" si="69"/>
        <v>0</v>
      </c>
      <c r="AN253" s="218"/>
      <c r="AO253" s="49"/>
      <c r="AP253" s="49"/>
      <c r="AQ253" s="84" t="str">
        <f>UPPER(RIGHT(Journal_Live[[#This Row],[DURATION ]]))</f>
        <v/>
      </c>
      <c r="AR253" s="49"/>
      <c r="AS253" s="55"/>
      <c r="AT253" s="55"/>
      <c r="AU253" s="54"/>
      <c r="AV253" s="56"/>
      <c r="AW253" s="57"/>
      <c r="AX253" s="96" t="s">
        <v>1042</v>
      </c>
      <c r="AY253" s="96" t="s">
        <v>1043</v>
      </c>
      <c r="AZ253" s="96" t="s">
        <v>1044</v>
      </c>
      <c r="BA253" s="96"/>
      <c r="BB253" s="96"/>
      <c r="BC253" s="96"/>
      <c r="BD253" s="97" t="s">
        <v>1045</v>
      </c>
      <c r="BE253" s="96"/>
      <c r="BF253" s="100"/>
      <c r="BG253" s="94">
        <f>SUM($AV$4:AV253)</f>
        <v>1230.7690101367634</v>
      </c>
      <c r="BH253" s="95">
        <f>SUM($AU$4:AU253)</f>
        <v>14654.979999999814</v>
      </c>
      <c r="BI253" s="80">
        <f>SUMIFS($AU$3:AU255,$Q$3:Q255,"F")</f>
        <v>9348.4000000000015</v>
      </c>
      <c r="BJ253" s="80">
        <f>SUMIFS($AU$3:AU255,$Q$3:Q255,"S")</f>
        <v>3279.9999999999918</v>
      </c>
      <c r="BK253" s="87">
        <f>SUMIFS($AU$3:AU255,$P$3:P255,"W")</f>
        <v>8717.579999999929</v>
      </c>
      <c r="BL253" s="87">
        <f>SUMIFS($AU$3:AU255,$P$3:P255,"R")</f>
        <v>4181.9999999999991</v>
      </c>
      <c r="BM253" s="87">
        <f>SUMIFS($AU$3:AU255,$AQ$3:AQ255,"M")</f>
        <v>5219.3799999995472</v>
      </c>
      <c r="BN253" s="87">
        <f>SUMIFS($AU$3:AU255,$AQ$3:AQ255,"H")</f>
        <v>2931.2000000002599</v>
      </c>
      <c r="BO253" s="87">
        <f>SUMIFS($AU$3:AU255,$AQ$3:AQ255,"D")</f>
        <v>1266.0000000000005</v>
      </c>
      <c r="BP253" s="87">
        <f>SUMIFS($AU$3:AU257,$AQ$3:AQ257,"W")</f>
        <v>5542.4000000000005</v>
      </c>
      <c r="BQ253" s="87">
        <f>SUMIFS($AU$3:AU255,$Q$3:Q255,"O")</f>
        <v>1770.5799999998073</v>
      </c>
      <c r="BR253" s="87">
        <f>SUMIFS($AU$3:AU255,$AA$3:AA255,"*")</f>
        <v>12439.799999999701</v>
      </c>
      <c r="BS253" s="87">
        <f>SUMIFS($AU$3:AU255,$AB$3:AB255,"*")</f>
        <v>4007.1799999999307</v>
      </c>
      <c r="BT253" s="87">
        <f>SUMIFS($AU$3:AU255,$AC$3:AC255,"*")</f>
        <v>7028.4</v>
      </c>
      <c r="BU253" s="87">
        <f>SUMIFS($AU$3:AU255,$AA$3:AA255,"*",$AB$3:AB255,"*")</f>
        <v>1855.9999999998222</v>
      </c>
      <c r="BV253" s="87">
        <f>SUMIFS($AU$3:AU255,$AA$3:AA255,"*",$AC$3:AC255,"*")</f>
        <v>6564.4</v>
      </c>
      <c r="BW253" s="87">
        <f>SUMIFS($AU$3:AU255,$AB$3:AB255,"*",$AC$3:AC255,"*")</f>
        <v>719.99999999999818</v>
      </c>
      <c r="BX253" s="87">
        <f>SUMIFS($AV$3:AV255,$Q$3:Q255,"F")</f>
        <v>221.28119764293677</v>
      </c>
      <c r="BY253" s="87">
        <f>SUMIFS($AV$3:AV255,$Q$3:Q255,"S")</f>
        <v>280.74781249396256</v>
      </c>
      <c r="BZ253" s="87">
        <f>SUMIFS($AV$3:AV255,$Q$3:Q255,"O")</f>
        <v>520.73999999985608</v>
      </c>
    </row>
    <row r="254" spans="1:78" ht="18" customHeight="1">
      <c r="A254" s="45" t="s">
        <v>567</v>
      </c>
      <c r="B254" s="59"/>
      <c r="C254" s="46"/>
      <c r="D254" s="46"/>
      <c r="E254" s="66"/>
      <c r="F254" s="47"/>
      <c r="G254" s="48"/>
      <c r="H254" s="49"/>
      <c r="I254" s="49"/>
      <c r="J254" s="49"/>
      <c r="K254" s="50"/>
      <c r="L254" s="49"/>
      <c r="M254" s="49"/>
      <c r="N254" s="49"/>
      <c r="O254" s="50"/>
      <c r="P254" s="50"/>
      <c r="Q254" s="50"/>
      <c r="R254" s="50"/>
      <c r="S254" s="50"/>
      <c r="T254" s="50"/>
      <c r="U254" s="50"/>
      <c r="V254" s="50"/>
      <c r="W254" s="50"/>
      <c r="X254" s="50"/>
      <c r="Y254" s="51"/>
      <c r="Z254" s="52"/>
      <c r="AA254" s="52"/>
      <c r="AB254" s="52"/>
      <c r="AC254" s="52"/>
      <c r="AD254" s="231"/>
      <c r="AE254" s="49"/>
      <c r="AF254" s="84"/>
      <c r="AG254" s="49"/>
      <c r="AH254" s="49"/>
      <c r="AI254" s="49"/>
      <c r="AJ254" s="226"/>
      <c r="AK254" s="49"/>
      <c r="AL254" s="113">
        <f t="shared" ref="AL254" si="79">-0.02*Z254</f>
        <v>0</v>
      </c>
      <c r="AM254" s="113">
        <f t="shared" si="69"/>
        <v>0</v>
      </c>
      <c r="AN254" s="218"/>
      <c r="AO254" s="49"/>
      <c r="AP254" s="49"/>
      <c r="AQ254" s="84" t="str">
        <f>UPPER(RIGHT(Journal_Live[[#This Row],[DURATION ]]))</f>
        <v/>
      </c>
      <c r="AR254" s="49"/>
      <c r="AS254" s="55"/>
      <c r="AT254" s="55"/>
      <c r="AU254" s="54"/>
      <c r="AV254" s="56"/>
      <c r="AW254" s="57"/>
      <c r="AX254" s="96" t="s">
        <v>539</v>
      </c>
      <c r="AY254" s="96"/>
      <c r="AZ254" s="96"/>
      <c r="BA254" s="96"/>
      <c r="BB254" s="96"/>
      <c r="BC254" s="96"/>
      <c r="BD254" s="96"/>
      <c r="BE254" s="96"/>
      <c r="BF254" s="100"/>
      <c r="BG254" s="94">
        <f>SUM($AV$4:AV254)</f>
        <v>1230.7690101367634</v>
      </c>
      <c r="BH254" s="95">
        <f>SUM($AU$4:AU254)</f>
        <v>14654.979999999814</v>
      </c>
      <c r="BI254" s="80">
        <f>SUMIFS($AU$3:AU255,$Q$3:Q255,"F")</f>
        <v>9348.4000000000015</v>
      </c>
      <c r="BJ254" s="80">
        <f>SUMIFS($AU$3:AU255,$Q$3:Q255,"S")</f>
        <v>3279.9999999999918</v>
      </c>
      <c r="BK254" s="87">
        <f>SUMIFS($AU$3:AU255,$P$3:P255,"W")</f>
        <v>8717.579999999929</v>
      </c>
      <c r="BL254" s="87">
        <f>SUMIFS($AU$3:AU255,$P$3:P255,"R")</f>
        <v>4181.9999999999991</v>
      </c>
      <c r="BM254" s="87">
        <f>SUMIFS($AU$3:AU255,$AQ$3:AQ255,"M")</f>
        <v>5219.3799999995472</v>
      </c>
      <c r="BN254" s="87">
        <f>SUMIFS($AU$3:AU255,$AQ$3:AQ255,"H")</f>
        <v>2931.2000000002599</v>
      </c>
      <c r="BO254" s="87">
        <f>SUMIFS($AU$3:AU255,$AQ$3:AQ255,"D")</f>
        <v>1266.0000000000005</v>
      </c>
      <c r="BP254" s="87">
        <f>SUMIFS($AU$3:AU257,$AQ$3:AQ257,"W")</f>
        <v>5542.4000000000005</v>
      </c>
      <c r="BQ254" s="87">
        <f>SUMIFS($AU$3:AU255,$Q$3:Q255,"O")</f>
        <v>1770.5799999998073</v>
      </c>
      <c r="BR254" s="87">
        <f>SUMIFS($AU$3:AU255,$AA$3:AA255,"*")</f>
        <v>12439.799999999701</v>
      </c>
      <c r="BS254" s="87">
        <f>SUMIFS($AU$3:AU255,$AB$3:AB255,"*")</f>
        <v>4007.1799999999307</v>
      </c>
      <c r="BT254" s="87">
        <f>SUMIFS($AU$3:AU255,$AC$3:AC255,"*")</f>
        <v>7028.4</v>
      </c>
      <c r="BU254" s="87">
        <f>SUMIFS($AU$3:AU255,$AA$3:AA255,"*",$AB$3:AB255,"*")</f>
        <v>1855.9999999998222</v>
      </c>
      <c r="BV254" s="87">
        <f>SUMIFS($AU$3:AU255,$AA$3:AA255,"*",$AC$3:AC255,"*")</f>
        <v>6564.4</v>
      </c>
      <c r="BW254" s="87">
        <f>SUMIFS($AU$3:AU255,$AB$3:AB255,"*",$AC$3:AC255,"*")</f>
        <v>719.99999999999818</v>
      </c>
      <c r="BX254" s="87">
        <f>SUMIFS($AV$3:AV255,$Q$3:Q255,"F")</f>
        <v>221.28119764293677</v>
      </c>
      <c r="BY254" s="87">
        <f>SUMIFS($AV$3:AV255,$Q$3:Q255,"S")</f>
        <v>280.74781249396256</v>
      </c>
      <c r="BZ254" s="87">
        <f>SUMIFS($AV$3:AV255,$Q$3:Q255,"O")</f>
        <v>520.73999999985608</v>
      </c>
    </row>
    <row r="255" spans="1:78" ht="18" customHeight="1">
      <c r="A255" s="45" t="s">
        <v>567</v>
      </c>
      <c r="B255" s="59"/>
      <c r="C255" s="46"/>
      <c r="D255" s="46"/>
      <c r="E255" s="66"/>
      <c r="F255" s="47"/>
      <c r="G255" s="48"/>
      <c r="H255" s="49"/>
      <c r="I255" s="49"/>
      <c r="J255" s="49"/>
      <c r="K255" s="50"/>
      <c r="L255" s="49"/>
      <c r="M255" s="49"/>
      <c r="N255" s="49"/>
      <c r="O255" s="50"/>
      <c r="P255" s="50"/>
      <c r="Q255" s="50"/>
      <c r="R255" s="50"/>
      <c r="S255" s="50"/>
      <c r="T255" s="50"/>
      <c r="U255" s="50"/>
      <c r="V255" s="50"/>
      <c r="W255" s="50"/>
      <c r="X255" s="50"/>
      <c r="Y255" s="51"/>
      <c r="Z255" s="52"/>
      <c r="AA255" s="52"/>
      <c r="AB255" s="52"/>
      <c r="AC255" s="52"/>
      <c r="AD255" s="231"/>
      <c r="AE255" s="49"/>
      <c r="AF255" s="84"/>
      <c r="AG255" s="49"/>
      <c r="AH255" s="49"/>
      <c r="AI255" s="49"/>
      <c r="AJ255" s="226"/>
      <c r="AK255" s="49"/>
      <c r="AL255" s="113">
        <f t="shared" si="47"/>
        <v>0</v>
      </c>
      <c r="AM255" s="113">
        <f t="shared" si="69"/>
        <v>0</v>
      </c>
      <c r="AN255" s="218"/>
      <c r="AO255" s="49"/>
      <c r="AP255" s="49"/>
      <c r="AQ255" s="84" t="str">
        <f>UPPER(RIGHT(Journal_Live[[#This Row],[DURATION ]]))</f>
        <v/>
      </c>
      <c r="AR255" s="49"/>
      <c r="AS255" s="55"/>
      <c r="AT255" s="55"/>
      <c r="AU255" s="54"/>
      <c r="AV255" s="56"/>
      <c r="AW255" s="57"/>
      <c r="AX255" s="96"/>
      <c r="AY255" s="96"/>
      <c r="AZ255" s="96"/>
      <c r="BA255" s="96"/>
      <c r="BB255" s="96"/>
      <c r="BC255" s="96"/>
      <c r="BD255" s="96"/>
      <c r="BE255" s="96"/>
      <c r="BF255" s="100"/>
      <c r="BG255" s="94">
        <f>SUM($AV$4:AV255)</f>
        <v>1230.7690101367634</v>
      </c>
      <c r="BH255" s="95">
        <f>SUM($AU$4:AU255)</f>
        <v>14654.979999999814</v>
      </c>
      <c r="BI255" s="80">
        <f>SUMIFS($AU$3:AU256,$Q$3:Q256,"F")</f>
        <v>9348.4000000000015</v>
      </c>
      <c r="BJ255" s="80">
        <f>SUMIFS($AU$3:AU256,$Q$3:Q256,"S")</f>
        <v>3279.9999999999918</v>
      </c>
      <c r="BK255" s="87">
        <f>SUMIFS($AU$3:AU256,$P$3:P256,"W")</f>
        <v>8717.579999999929</v>
      </c>
      <c r="BL255" s="87">
        <f>SUMIFS($AU$3:AU256,$P$3:P256,"R")</f>
        <v>4181.9999999999991</v>
      </c>
      <c r="BM255" s="87">
        <f>SUMIFS($AU$3:AU256,$AQ$3:AQ256,"M")</f>
        <v>5219.3799999995472</v>
      </c>
      <c r="BN255" s="87">
        <f>SUMIFS($AU$3:AU256,$AQ$3:AQ256,"H")</f>
        <v>2931.2000000002599</v>
      </c>
      <c r="BO255" s="87">
        <f>SUMIFS($AU$3:AU256,$AQ$3:AQ256,"D")</f>
        <v>1266.0000000000005</v>
      </c>
      <c r="BP255" s="87">
        <f>SUMIFS($AU$3:AU258,$AQ$3:AQ258,"W")</f>
        <v>5542.4000000000005</v>
      </c>
      <c r="BQ255" s="87">
        <f>SUMIFS($AU$3:AU256,$Q$3:Q256,"O")</f>
        <v>1770.5799999998073</v>
      </c>
      <c r="BR255" s="87">
        <f>SUMIFS($AU$3:AU256,$AA$3:AA256,"*")</f>
        <v>12439.799999999701</v>
      </c>
      <c r="BS255" s="87">
        <f>SUMIFS($AU$3:AU256,$AB$3:AB256,"*")</f>
        <v>4007.1799999999307</v>
      </c>
      <c r="BT255" s="87">
        <f>SUMIFS($AU$3:AU256,$AC$3:AC256,"*")</f>
        <v>7028.4</v>
      </c>
      <c r="BU255" s="87">
        <f>SUMIFS($AU$3:AU256,$AA$3:AA256,"*",$AB$3:AB256,"*")</f>
        <v>1855.9999999998222</v>
      </c>
      <c r="BV255" s="87">
        <f>SUMIFS($AU$3:AU256,$AA$3:AA256,"*",$AC$3:AC256,"*")</f>
        <v>6564.4</v>
      </c>
      <c r="BW255" s="87">
        <f>SUMIFS($AU$3:AU256,$AB$3:AB256,"*",$AC$3:AC256,"*")</f>
        <v>719.99999999999818</v>
      </c>
      <c r="BX255" s="87">
        <f>SUMIFS($AV$3:AV256,$Q$3:Q256,"F")</f>
        <v>221.28119764293677</v>
      </c>
      <c r="BY255" s="87">
        <f>SUMIFS($AV$3:AV256,$Q$3:Q256,"S")</f>
        <v>280.74781249396256</v>
      </c>
      <c r="BZ255" s="87">
        <f>SUMIFS($AV$3:AV256,$Q$3:Q256,"O")</f>
        <v>520.73999999985608</v>
      </c>
    </row>
    <row r="256" spans="1:78" ht="18" customHeight="1">
      <c r="A256" s="45" t="s">
        <v>567</v>
      </c>
      <c r="B256" s="59"/>
      <c r="C256" s="46"/>
      <c r="D256" s="46"/>
      <c r="E256" s="66"/>
      <c r="F256" s="47"/>
      <c r="G256" s="48"/>
      <c r="H256" s="49"/>
      <c r="I256" s="49"/>
      <c r="J256" s="49"/>
      <c r="K256" s="50"/>
      <c r="L256" s="49"/>
      <c r="M256" s="49"/>
      <c r="N256" s="49"/>
      <c r="O256" s="50"/>
      <c r="P256" s="50"/>
      <c r="Q256" s="50"/>
      <c r="R256" s="50"/>
      <c r="S256" s="50"/>
      <c r="T256" s="50"/>
      <c r="U256" s="50"/>
      <c r="V256" s="50"/>
      <c r="W256" s="50"/>
      <c r="X256" s="50"/>
      <c r="Y256" s="51"/>
      <c r="Z256" s="52"/>
      <c r="AA256" s="52"/>
      <c r="AB256" s="52"/>
      <c r="AC256" s="52"/>
      <c r="AD256" s="231"/>
      <c r="AE256" s="49"/>
      <c r="AF256" s="84"/>
      <c r="AG256" s="49"/>
      <c r="AH256" s="49"/>
      <c r="AI256" s="49"/>
      <c r="AJ256" s="226"/>
      <c r="AK256" s="49"/>
      <c r="AL256" s="113">
        <f t="shared" si="47"/>
        <v>0</v>
      </c>
      <c r="AM256" s="113">
        <f t="shared" si="69"/>
        <v>0</v>
      </c>
      <c r="AN256" s="218"/>
      <c r="AO256" s="49"/>
      <c r="AP256" s="49"/>
      <c r="AQ256" s="84" t="str">
        <f>UPPER(RIGHT(Journal_Live[[#This Row],[DURATION ]]))</f>
        <v/>
      </c>
      <c r="AR256" s="49"/>
      <c r="AS256" s="55"/>
      <c r="AT256" s="55"/>
      <c r="AU256" s="54"/>
      <c r="AV256" s="56"/>
      <c r="AW256" s="57"/>
      <c r="AX256" s="99"/>
      <c r="AY256" s="134"/>
      <c r="AZ256" s="99"/>
      <c r="BA256" s="99"/>
      <c r="BB256" s="134"/>
      <c r="BC256" s="96"/>
      <c r="BD256" s="96"/>
      <c r="BE256" s="96"/>
      <c r="BF256" s="100"/>
      <c r="BG256" s="94">
        <f>SUM($AV$4:AV256)</f>
        <v>1230.7690101367634</v>
      </c>
      <c r="BH256" s="95">
        <f>SUM($AU$4:AU256)</f>
        <v>14654.979999999814</v>
      </c>
      <c r="BI256" s="80">
        <f>SUMIFS($AU$3:AU257,$Q$3:Q257,"F")</f>
        <v>9348.4000000000015</v>
      </c>
      <c r="BJ256" s="80">
        <f>SUMIFS($AU$3:AU257,$Q$3:Q257,"S")</f>
        <v>3279.9999999999918</v>
      </c>
      <c r="BK256" s="87">
        <f>SUMIFS($AU$3:AU257,$P$3:P257,"W")</f>
        <v>8717.579999999929</v>
      </c>
      <c r="BL256" s="87">
        <f>SUMIFS($AU$3:AU257,$P$3:P257,"R")</f>
        <v>4181.9999999999991</v>
      </c>
      <c r="BM256" s="87">
        <f>SUMIFS($AU$3:AU257,$AQ$3:AQ257,"M")</f>
        <v>5219.3799999995472</v>
      </c>
      <c r="BN256" s="87">
        <f>SUMIFS($AU$3:AU257,$AQ$3:AQ257,"H")</f>
        <v>2931.2000000002599</v>
      </c>
      <c r="BO256" s="87">
        <f>SUMIFS($AU$3:AU257,$AQ$3:AQ257,"D")</f>
        <v>1266.0000000000005</v>
      </c>
      <c r="BP256" s="87">
        <f>SUMIFS($AU$3:AU259,$AQ$3:AQ259,"W")</f>
        <v>5542.4000000000005</v>
      </c>
      <c r="BQ256" s="87">
        <f>SUMIFS($AU$3:AU257,$Q$3:Q257,"O")</f>
        <v>1770.5799999998073</v>
      </c>
      <c r="BR256" s="87">
        <f>SUMIFS($AU$3:AU257,$AA$3:AA257,"*")</f>
        <v>12439.799999999701</v>
      </c>
      <c r="BS256" s="87">
        <f>SUMIFS($AU$3:AU257,$AB$3:AB257,"*")</f>
        <v>4007.1799999999307</v>
      </c>
      <c r="BT256" s="87">
        <f>SUMIFS($AU$3:AU257,$AC$3:AC257,"*")</f>
        <v>7028.4</v>
      </c>
      <c r="BU256" s="87">
        <f>SUMIFS($AU$3:AU257,$AA$3:AA257,"*",$AB$3:AB257,"*")</f>
        <v>1855.9999999998222</v>
      </c>
      <c r="BV256" s="87">
        <f>SUMIFS($AU$3:AU257,$AA$3:AA257,"*",$AC$3:AC257,"*")</f>
        <v>6564.4</v>
      </c>
      <c r="BW256" s="87">
        <f>SUMIFS($AU$3:AU257,$AB$3:AB257,"*",$AC$3:AC257,"*")</f>
        <v>719.99999999999818</v>
      </c>
      <c r="BX256" s="87">
        <f>SUMIFS($AV$3:AV257,$Q$3:Q257,"F")</f>
        <v>221.28119764293677</v>
      </c>
      <c r="BY256" s="87">
        <f>SUMIFS($AV$3:AV257,$Q$3:Q257,"S")</f>
        <v>280.74781249396256</v>
      </c>
      <c r="BZ256" s="87">
        <f>SUMIFS($AV$3:AV257,$Q$3:Q257,"O")</f>
        <v>520.73999999985608</v>
      </c>
    </row>
    <row r="257" spans="1:78" ht="18" customHeight="1">
      <c r="A257" s="45" t="s">
        <v>567</v>
      </c>
      <c r="B257" s="59"/>
      <c r="C257" s="46"/>
      <c r="D257" s="46"/>
      <c r="E257" s="66"/>
      <c r="F257" s="47"/>
      <c r="G257" s="48"/>
      <c r="H257" s="49"/>
      <c r="I257" s="49"/>
      <c r="J257" s="49"/>
      <c r="K257" s="50"/>
      <c r="L257" s="49"/>
      <c r="M257" s="49"/>
      <c r="N257" s="49"/>
      <c r="O257" s="50"/>
      <c r="P257" s="50"/>
      <c r="Q257" s="50"/>
      <c r="R257" s="50"/>
      <c r="S257" s="50"/>
      <c r="T257" s="50"/>
      <c r="U257" s="50"/>
      <c r="V257" s="50"/>
      <c r="W257" s="50"/>
      <c r="X257" s="50"/>
      <c r="Y257" s="51"/>
      <c r="Z257" s="52"/>
      <c r="AA257" s="52"/>
      <c r="AB257" s="52"/>
      <c r="AC257" s="52"/>
      <c r="AD257" s="231"/>
      <c r="AE257" s="49"/>
      <c r="AF257" s="84"/>
      <c r="AG257" s="49"/>
      <c r="AH257" s="49"/>
      <c r="AI257" s="49"/>
      <c r="AJ257" s="226"/>
      <c r="AK257" s="49"/>
      <c r="AL257" s="113">
        <f t="shared" si="47"/>
        <v>0</v>
      </c>
      <c r="AM257" s="113">
        <f t="shared" si="69"/>
        <v>0</v>
      </c>
      <c r="AN257" s="218"/>
      <c r="AO257" s="49"/>
      <c r="AP257" s="49"/>
      <c r="AQ257" s="84" t="str">
        <f>UPPER(RIGHT(Journal_Live[[#This Row],[DURATION ]]))</f>
        <v/>
      </c>
      <c r="AR257" s="49"/>
      <c r="AS257" s="55"/>
      <c r="AT257" s="55"/>
      <c r="AU257" s="54"/>
      <c r="AV257" s="56"/>
      <c r="AW257" s="57"/>
      <c r="AX257" s="99"/>
      <c r="AY257" s="134"/>
      <c r="AZ257" s="99"/>
      <c r="BA257" s="134"/>
      <c r="BB257" s="134"/>
      <c r="BC257" s="99"/>
      <c r="BD257" s="99"/>
      <c r="BE257" s="99"/>
      <c r="BF257" s="99"/>
      <c r="BG257" s="94">
        <f>SUM($AV$4:AV257)</f>
        <v>1230.7690101367634</v>
      </c>
      <c r="BH257" s="95">
        <f>SUM($AU$4:AU257)</f>
        <v>14654.979999999814</v>
      </c>
      <c r="BI257" s="80">
        <f>SUMIFS($AU$3:AU258,$Q$3:Q258,"F")</f>
        <v>9348.4000000000015</v>
      </c>
      <c r="BJ257" s="80">
        <f>SUMIFS($AU$3:AU258,$Q$3:Q258,"S")</f>
        <v>3279.9999999999918</v>
      </c>
      <c r="BK257" s="87">
        <f>SUMIFS($AU$3:AU258,$P$3:P258,"W")</f>
        <v>8717.579999999929</v>
      </c>
      <c r="BL257" s="87">
        <f>SUMIFS($AU$3:AU258,$P$3:P258,"R")</f>
        <v>4181.9999999999991</v>
      </c>
      <c r="BM257" s="87">
        <f>SUMIFS($AU$3:AU258,$AQ$3:AQ258,"M")</f>
        <v>5219.3799999995472</v>
      </c>
      <c r="BN257" s="87">
        <f>SUMIFS($AU$3:AU258,$AQ$3:AQ258,"H")</f>
        <v>2931.2000000002599</v>
      </c>
      <c r="BO257" s="87">
        <f>SUMIFS($AU$3:AU258,$AQ$3:AQ258,"D")</f>
        <v>1266.0000000000005</v>
      </c>
      <c r="BP257" s="87">
        <f>SUMIFS($AU$3:AU260,$AQ$3:AQ260,"W")</f>
        <v>5542.4000000000005</v>
      </c>
      <c r="BQ257" s="87">
        <f>SUMIFS($AU$3:AU258,$Q$3:Q258,"O")</f>
        <v>1770.5799999998073</v>
      </c>
      <c r="BR257" s="87">
        <f>SUMIFS($AU$3:AU258,$AA$3:AA258,"*")</f>
        <v>12439.799999999701</v>
      </c>
      <c r="BS257" s="87">
        <f>SUMIFS($AU$3:AU258,$AB$3:AB258,"*")</f>
        <v>4007.1799999999307</v>
      </c>
      <c r="BT257" s="87">
        <f>SUMIFS($AU$3:AU258,$AC$3:AC258,"*")</f>
        <v>7028.4</v>
      </c>
      <c r="BU257" s="87">
        <f>SUMIFS($AU$3:AU258,$AA$3:AA258,"*",$AB$3:AB258,"*")</f>
        <v>1855.9999999998222</v>
      </c>
      <c r="BV257" s="87">
        <f>SUMIFS($AU$3:AU258,$AA$3:AA258,"*",$AC$3:AC258,"*")</f>
        <v>6564.4</v>
      </c>
      <c r="BW257" s="87">
        <f>SUMIFS($AU$3:AU258,$AB$3:AB258,"*",$AC$3:AC258,"*")</f>
        <v>719.99999999999818</v>
      </c>
      <c r="BX257" s="87">
        <f>SUMIFS($AV$3:AV258,$Q$3:Q258,"F")</f>
        <v>221.28119764293677</v>
      </c>
      <c r="BY257" s="87">
        <f>SUMIFS($AV$3:AV258,$Q$3:Q258,"S")</f>
        <v>280.74781249396256</v>
      </c>
      <c r="BZ257" s="87">
        <f>SUMIFS($AV$3:AV258,$Q$3:Q258,"O")</f>
        <v>520.73999999985608</v>
      </c>
    </row>
    <row r="258" spans="1:78" ht="18" customHeight="1">
      <c r="A258" s="45" t="s">
        <v>567</v>
      </c>
      <c r="B258" s="59"/>
      <c r="C258" s="46"/>
      <c r="D258" s="46"/>
      <c r="E258" s="66"/>
      <c r="F258" s="47"/>
      <c r="G258" s="48"/>
      <c r="H258" s="49"/>
      <c r="I258" s="49"/>
      <c r="J258" s="49"/>
      <c r="K258" s="50"/>
      <c r="L258" s="49"/>
      <c r="M258" s="49"/>
      <c r="N258" s="49"/>
      <c r="O258" s="50"/>
      <c r="P258" s="50"/>
      <c r="Q258" s="50"/>
      <c r="R258" s="50"/>
      <c r="S258" s="50"/>
      <c r="T258" s="50"/>
      <c r="U258" s="50"/>
      <c r="V258" s="50"/>
      <c r="W258" s="50"/>
      <c r="X258" s="50"/>
      <c r="Y258" s="50"/>
      <c r="Z258" s="50"/>
      <c r="AA258" s="52"/>
      <c r="AB258" s="52"/>
      <c r="AC258" s="52"/>
      <c r="AD258" s="231"/>
      <c r="AE258" s="49"/>
      <c r="AF258" s="84"/>
      <c r="AG258" s="49"/>
      <c r="AH258" s="49"/>
      <c r="AI258" s="49"/>
      <c r="AJ258" s="226"/>
      <c r="AK258" s="49"/>
      <c r="AL258" s="113">
        <f t="shared" si="47"/>
        <v>0</v>
      </c>
      <c r="AM258" s="113">
        <f t="shared" si="69"/>
        <v>0</v>
      </c>
      <c r="AN258" s="218"/>
      <c r="AO258" s="49"/>
      <c r="AP258" s="49"/>
      <c r="AQ258" s="84" t="str">
        <f>UPPER(RIGHT(Journal_Live[[#This Row],[DURATION ]]))</f>
        <v/>
      </c>
      <c r="AR258" s="49"/>
      <c r="AS258" s="55"/>
      <c r="AT258" s="55"/>
      <c r="AU258" s="54"/>
      <c r="AV258" s="56"/>
      <c r="AW258" s="57"/>
      <c r="AX258" s="99"/>
      <c r="AY258" s="134"/>
      <c r="AZ258" s="99"/>
      <c r="BA258" s="99"/>
      <c r="BB258" s="134"/>
      <c r="BC258" s="99"/>
      <c r="BD258" s="99"/>
      <c r="BE258" s="97"/>
      <c r="BF258" s="99"/>
      <c r="BG258" s="94">
        <f>SUM($AV$4:AV258)</f>
        <v>1230.7690101367634</v>
      </c>
      <c r="BH258" s="95">
        <f>SUM($AU$4:AU258)</f>
        <v>14654.979999999814</v>
      </c>
      <c r="BI258" s="80">
        <f>SUMIFS($AU$3:AU259,$Q$3:Q259,"F")</f>
        <v>9348.4000000000015</v>
      </c>
      <c r="BJ258" s="80">
        <f>SUMIFS($AU$3:AU259,$Q$3:Q259,"S")</f>
        <v>3279.9999999999918</v>
      </c>
      <c r="BK258" s="87">
        <f>SUMIFS($AU$3:AU259,$P$3:P259,"W")</f>
        <v>8717.579999999929</v>
      </c>
      <c r="BL258" s="87">
        <f>SUMIFS($AU$3:AU259,$P$3:P259,"R")</f>
        <v>4181.9999999999991</v>
      </c>
      <c r="BM258" s="87">
        <f>SUMIFS($AU$3:AU259,$AQ$3:AQ259,"M")</f>
        <v>5219.3799999995472</v>
      </c>
      <c r="BN258" s="87">
        <f>SUMIFS($AU$3:AU259,$AQ$3:AQ259,"H")</f>
        <v>2931.2000000002599</v>
      </c>
      <c r="BO258" s="87">
        <f>SUMIFS($AU$3:AU259,$AQ$3:AQ259,"D")</f>
        <v>1266.0000000000005</v>
      </c>
      <c r="BP258" s="87">
        <f>SUMIFS($AU$3:AU261,$AQ$3:AQ261,"W")</f>
        <v>5542.4000000000005</v>
      </c>
      <c r="BQ258" s="87">
        <f>SUMIFS($AU$3:AU259,$Q$3:Q259,"O")</f>
        <v>1770.5799999998073</v>
      </c>
      <c r="BR258" s="87">
        <f>SUMIFS($AU$3:AU259,$AA$3:AA259,"*")</f>
        <v>12439.799999999701</v>
      </c>
      <c r="BS258" s="87">
        <f>SUMIFS($AU$3:AU259,$AB$3:AB259,"*")</f>
        <v>4007.1799999999307</v>
      </c>
      <c r="BT258" s="87">
        <f>SUMIFS($AU$3:AU259,$AC$3:AC259,"*")</f>
        <v>7028.4</v>
      </c>
      <c r="BU258" s="87">
        <f>SUMIFS($AU$3:AU259,$AA$3:AA259,"*",$AB$3:AB259,"*")</f>
        <v>1855.9999999998222</v>
      </c>
      <c r="BV258" s="87">
        <f>SUMIFS($AU$3:AU259,$AA$3:AA259,"*",$AC$3:AC259,"*")</f>
        <v>6564.4</v>
      </c>
      <c r="BW258" s="87">
        <f>SUMIFS($AU$3:AU259,$AB$3:AB259,"*",$AC$3:AC259,"*")</f>
        <v>719.99999999999818</v>
      </c>
      <c r="BX258" s="87">
        <f>SUMIFS($AV$3:AV259,$Q$3:Q259,"F")</f>
        <v>221.28119764293677</v>
      </c>
      <c r="BY258" s="87">
        <f>SUMIFS($AV$3:AV259,$Q$3:Q259,"S")</f>
        <v>280.74781249396256</v>
      </c>
      <c r="BZ258" s="87">
        <f>SUMIFS($AV$3:AV259,$Q$3:Q259,"O")</f>
        <v>520.73999999985608</v>
      </c>
    </row>
    <row r="259" spans="1:78" ht="18" customHeight="1">
      <c r="A259" s="45" t="s">
        <v>567</v>
      </c>
      <c r="B259" s="59"/>
      <c r="C259" s="46"/>
      <c r="D259" s="46"/>
      <c r="E259" s="66"/>
      <c r="F259" s="47"/>
      <c r="G259" s="48"/>
      <c r="H259" s="49"/>
      <c r="I259" s="49"/>
      <c r="J259" s="49"/>
      <c r="K259" s="50"/>
      <c r="L259" s="49"/>
      <c r="M259" s="49"/>
      <c r="N259" s="49"/>
      <c r="O259" s="50"/>
      <c r="P259" s="50"/>
      <c r="Q259" s="50"/>
      <c r="R259" s="50"/>
      <c r="S259" s="50"/>
      <c r="T259" s="50"/>
      <c r="U259" s="50"/>
      <c r="V259" s="50"/>
      <c r="W259" s="50"/>
      <c r="X259" s="50"/>
      <c r="Y259" s="50"/>
      <c r="Z259" s="50"/>
      <c r="AA259" s="52"/>
      <c r="AB259" s="52"/>
      <c r="AC259" s="52"/>
      <c r="AD259" s="231"/>
      <c r="AE259" s="49"/>
      <c r="AF259" s="84"/>
      <c r="AG259" s="49"/>
      <c r="AH259" s="49"/>
      <c r="AI259" s="49"/>
      <c r="AJ259" s="226"/>
      <c r="AK259" s="49"/>
      <c r="AL259" s="113">
        <f t="shared" si="47"/>
        <v>0</v>
      </c>
      <c r="AM259" s="113">
        <f t="shared" si="69"/>
        <v>0</v>
      </c>
      <c r="AN259" s="218"/>
      <c r="AO259" s="49"/>
      <c r="AP259" s="49"/>
      <c r="AQ259" s="84" t="str">
        <f>UPPER(RIGHT(Journal_Live[[#This Row],[DURATION ]]))</f>
        <v/>
      </c>
      <c r="AR259" s="49"/>
      <c r="AS259" s="55"/>
      <c r="AT259" s="55"/>
      <c r="AU259" s="54"/>
      <c r="AV259" s="56"/>
      <c r="AW259" s="57"/>
      <c r="AX259" s="99"/>
      <c r="AY259" s="99"/>
      <c r="AZ259" s="99"/>
      <c r="BA259" s="99"/>
      <c r="BB259" s="99"/>
      <c r="BC259" s="99"/>
      <c r="BD259" s="99"/>
      <c r="BE259" s="99"/>
      <c r="BF259" s="99"/>
      <c r="BG259" s="94">
        <f>SUM($AV$4:AV259)</f>
        <v>1230.7690101367634</v>
      </c>
      <c r="BH259" s="95">
        <f>SUM($AU$4:AU259)</f>
        <v>14654.979999999814</v>
      </c>
      <c r="BI259" s="80">
        <f>SUMIFS($AU$3:AU260,$Q$3:Q260,"F")</f>
        <v>9348.4000000000015</v>
      </c>
      <c r="BJ259" s="80">
        <f>SUMIFS($AU$3:AU260,$Q$3:Q260,"S")</f>
        <v>3279.9999999999918</v>
      </c>
      <c r="BK259" s="87">
        <f>SUMIFS($AU$3:AU260,$P$3:P260,"W")</f>
        <v>8717.579999999929</v>
      </c>
      <c r="BL259" s="87">
        <f>SUMIFS($AU$3:AU260,$P$3:P260,"R")</f>
        <v>4181.9999999999991</v>
      </c>
      <c r="BM259" s="87">
        <f>SUMIFS($AU$3:AU260,$AQ$3:AQ260,"M")</f>
        <v>5219.3799999995472</v>
      </c>
      <c r="BN259" s="87">
        <f>SUMIFS($AU$3:AU260,$AQ$3:AQ260,"H")</f>
        <v>2931.2000000002599</v>
      </c>
      <c r="BO259" s="87">
        <f>SUMIFS($AU$3:AU260,$AQ$3:AQ260,"D")</f>
        <v>1266.0000000000005</v>
      </c>
      <c r="BP259" s="87">
        <f>SUMIFS($AU$3:AU262,$AQ$3:AQ262,"W")</f>
        <v>5542.4000000000005</v>
      </c>
      <c r="BQ259" s="87">
        <f>SUMIFS($AU$3:AU260,$Q$3:Q260,"O")</f>
        <v>1770.5799999998073</v>
      </c>
      <c r="BR259" s="87">
        <f>SUMIFS($AU$3:AU260,$AA$3:AA260,"*")</f>
        <v>12439.799999999701</v>
      </c>
      <c r="BS259" s="87">
        <f>SUMIFS($AU$3:AU260,$AB$3:AB260,"*")</f>
        <v>4007.1799999999307</v>
      </c>
      <c r="BT259" s="87">
        <f>SUMIFS($AU$3:AU260,$AC$3:AC260,"*")</f>
        <v>7028.4</v>
      </c>
      <c r="BU259" s="87">
        <f>SUMIFS($AU$3:AU260,$AA$3:AA260,"*",$AB$3:AB260,"*")</f>
        <v>1855.9999999998222</v>
      </c>
      <c r="BV259" s="87">
        <f>SUMIFS($AU$3:AU260,$AA$3:AA260,"*",$AC$3:AC260,"*")</f>
        <v>6564.4</v>
      </c>
      <c r="BW259" s="87">
        <f>SUMIFS($AU$3:AU260,$AB$3:AB260,"*",$AC$3:AC260,"*")</f>
        <v>719.99999999999818</v>
      </c>
      <c r="BX259" s="87">
        <f>SUMIFS($AV$3:AV260,$Q$3:Q260,"F")</f>
        <v>221.28119764293677</v>
      </c>
      <c r="BY259" s="87">
        <f>SUMIFS($AV$3:AV260,$Q$3:Q260,"S")</f>
        <v>280.74781249396256</v>
      </c>
      <c r="BZ259" s="87">
        <f>SUMIFS($AV$3:AV260,$Q$3:Q260,"O")</f>
        <v>520.73999999985608</v>
      </c>
    </row>
    <row r="260" spans="1:78" ht="18" customHeight="1">
      <c r="A260" s="111" t="s">
        <v>1046</v>
      </c>
      <c r="B260" s="68"/>
      <c r="C260" s="60"/>
      <c r="D260" s="60"/>
      <c r="E260" s="61"/>
      <c r="F260" s="62"/>
      <c r="G260" s="60"/>
      <c r="H260" s="60"/>
      <c r="I260" s="60"/>
      <c r="J260" s="60"/>
      <c r="K260" s="63"/>
      <c r="L260" s="60"/>
      <c r="M260" s="60"/>
      <c r="N260" s="60"/>
      <c r="O260" s="63"/>
      <c r="P260" s="63"/>
      <c r="Q260" s="63"/>
      <c r="R260" s="63"/>
      <c r="S260" s="63"/>
      <c r="T260" s="63"/>
      <c r="U260" s="63"/>
      <c r="V260" s="63"/>
      <c r="W260" s="63"/>
      <c r="X260" s="63"/>
      <c r="Y260" s="63"/>
      <c r="Z260" s="64" t="str">
        <f>IF(ISBLANK(O260),"",IF(O260="IB",8.63*200,IF(O260="IR",16*100,IF(O260="YT",20*100,IF(O260="YT-XT",24*200,IF(O260="TED",80*100))))))</f>
        <v/>
      </c>
      <c r="AA260" s="64"/>
      <c r="AB260" s="64"/>
      <c r="AC260" s="64"/>
      <c r="AD260" s="232"/>
      <c r="AE260" s="60"/>
      <c r="AF260" s="88"/>
      <c r="AG260" s="87"/>
      <c r="AH260" s="60"/>
      <c r="AI260" s="60"/>
      <c r="AJ260" s="227"/>
      <c r="AK260" s="60"/>
      <c r="AL260" s="60"/>
      <c r="AM260" s="60"/>
      <c r="AN260" s="219"/>
      <c r="AO260" s="60"/>
      <c r="AP260" s="60"/>
      <c r="AQ260" s="85" t="str">
        <f>UPPER(RIGHT(Journal_Live[[#This Row],[DURATION ]]))</f>
        <v/>
      </c>
      <c r="AR260" s="60"/>
      <c r="AS260" s="60"/>
      <c r="AT260" s="60"/>
      <c r="AU260" s="60"/>
      <c r="AV260" s="60"/>
      <c r="AW260" s="65"/>
      <c r="AX260" s="99"/>
      <c r="AY260" s="98"/>
      <c r="AZ260" s="98"/>
      <c r="BA260" s="98"/>
      <c r="BB260" s="98"/>
      <c r="BC260" s="98"/>
      <c r="BD260" s="98"/>
      <c r="BE260" s="98"/>
      <c r="BF260" s="98"/>
      <c r="BG260" s="94">
        <f>SUM($AV$4:AV260)</f>
        <v>1230.7690101367634</v>
      </c>
      <c r="BH260" s="95">
        <f>SUM($AU$4:AU260)</f>
        <v>14654.979999999814</v>
      </c>
      <c r="BI260" s="80">
        <f>SUMIFS($AU$3:AU261,$Q$3:Q261,"F")</f>
        <v>9348.4000000000015</v>
      </c>
      <c r="BJ260" s="80">
        <f>SUMIFS($AU$3:AU261,$Q$3:Q261,"S")</f>
        <v>3279.9999999999918</v>
      </c>
      <c r="BK260" s="87">
        <f>SUMIFS($AU$3:AU261,$P$3:P261,"W")</f>
        <v>8717.579999999929</v>
      </c>
      <c r="BL260" s="87">
        <f>SUMIFS($AU$3:AU261,$P$3:P261,"R")</f>
        <v>4181.9999999999991</v>
      </c>
      <c r="BM260" s="87">
        <f>SUMIFS($AU$3:AU261,$AQ$3:AQ261,"M")</f>
        <v>5219.3799999995472</v>
      </c>
      <c r="BN260" s="87">
        <f>SUMIFS($AU$3:AU261,$AQ$3:AQ261,"H")</f>
        <v>2931.2000000002599</v>
      </c>
      <c r="BO260" s="87">
        <f>SUMIFS($AU$3:AU261,$AQ$3:AQ261,"D")</f>
        <v>1266.0000000000005</v>
      </c>
      <c r="BP260" s="87">
        <f>SUMIFS($AU$3:AU263,$AQ$3:AQ263,"W")</f>
        <v>5542.4000000000005</v>
      </c>
      <c r="BQ260" s="87">
        <f>SUMIFS($AU$3:AU261,$Q$3:Q261,"O")</f>
        <v>1770.5799999998073</v>
      </c>
      <c r="BR260" s="87">
        <f>SUMIFS($AU$3:AU261,$AA$3:AA261,"*")</f>
        <v>12439.799999999701</v>
      </c>
      <c r="BS260" s="87">
        <f>SUMIFS($AU$3:AU261,$AB$3:AB261,"*")</f>
        <v>4007.1799999999307</v>
      </c>
      <c r="BT260" s="87">
        <f>SUMIFS($AU$3:AU261,$AC$3:AC261,"*")</f>
        <v>7028.4</v>
      </c>
      <c r="BU260" s="87">
        <f>SUMIFS($AU$3:AU261,$AA$3:AA261,"*",$AB$3:AB261,"*")</f>
        <v>1855.9999999998222</v>
      </c>
      <c r="BV260" s="87">
        <f>SUMIFS($AU$3:AU261,$AA$3:AA261,"*",$AC$3:AC261,"*")</f>
        <v>6564.4</v>
      </c>
      <c r="BW260" s="87">
        <f>SUMIFS($AU$3:AU261,$AB$3:AB261,"*",$AC$3:AC261,"*")</f>
        <v>719.99999999999818</v>
      </c>
      <c r="BX260" s="87">
        <f>SUMIFS($AV$3:AV261,$Q$3:Q261,"F")</f>
        <v>221.28119764293677</v>
      </c>
      <c r="BY260" s="87">
        <f>SUMIFS($AV$3:AV261,$Q$3:Q261,"S")</f>
        <v>280.74781249396256</v>
      </c>
      <c r="BZ260" s="87">
        <f>SUMIFS($AV$3:AV261,$Q$3:Q261,"O")</f>
        <v>520.73999999985608</v>
      </c>
    </row>
    <row r="261" spans="1:78" ht="18" customHeight="1">
      <c r="A261" s="45" t="s">
        <v>1047</v>
      </c>
      <c r="B261" s="59"/>
      <c r="C261" s="46"/>
      <c r="D261" s="46"/>
      <c r="E261" s="66"/>
      <c r="F261" s="47"/>
      <c r="G261" s="48"/>
      <c r="H261" s="49"/>
      <c r="I261" s="49"/>
      <c r="J261" s="49"/>
      <c r="K261" s="50"/>
      <c r="L261" s="49"/>
      <c r="M261" s="49"/>
      <c r="N261" s="49"/>
      <c r="O261" s="50"/>
      <c r="P261" s="50"/>
      <c r="Q261" s="50"/>
      <c r="R261" s="50"/>
      <c r="S261" s="50"/>
      <c r="T261" s="50"/>
      <c r="U261" s="50"/>
      <c r="V261" s="50"/>
      <c r="W261" s="50"/>
      <c r="X261" s="50"/>
      <c r="Y261" s="50"/>
      <c r="Z261" s="50"/>
      <c r="AA261" s="52"/>
      <c r="AB261" s="52"/>
      <c r="AC261" s="52"/>
      <c r="AD261" s="231"/>
      <c r="AE261" s="49"/>
      <c r="AF261" s="84"/>
      <c r="AG261" s="49"/>
      <c r="AH261" s="49"/>
      <c r="AI261" s="49"/>
      <c r="AJ261" s="226"/>
      <c r="AK261" s="49"/>
      <c r="AL261" s="113">
        <f t="shared" ref="AL261:AL265" si="80">-0.02*Z261</f>
        <v>0</v>
      </c>
      <c r="AM261" s="113">
        <f t="shared" ref="AM261:AM292" si="81">AL261*(R261-S261)</f>
        <v>0</v>
      </c>
      <c r="AN261" s="218"/>
      <c r="AO261" s="49"/>
      <c r="AP261" s="49"/>
      <c r="AQ261" s="84" t="str">
        <f>UPPER(RIGHT(Journal_Live[[#This Row],[DURATION ]]))</f>
        <v/>
      </c>
      <c r="AR261" s="49"/>
      <c r="AS261" s="55"/>
      <c r="AT261" s="55"/>
      <c r="AU261" s="54"/>
      <c r="AV261" s="56"/>
      <c r="AW261" s="57"/>
      <c r="AX261" s="97" t="s">
        <v>1048</v>
      </c>
      <c r="AY261" s="96" t="s">
        <v>1049</v>
      </c>
      <c r="AZ261" s="96" t="s">
        <v>1050</v>
      </c>
      <c r="BA261" s="96" t="s">
        <v>1051</v>
      </c>
      <c r="BB261" s="96" t="s">
        <v>1052</v>
      </c>
      <c r="BC261" s="96"/>
      <c r="BD261" s="96"/>
      <c r="BE261" s="96"/>
      <c r="BF261" s="96"/>
      <c r="BG261" s="94">
        <f>SUM($AV$4:AV261)</f>
        <v>1230.7690101367634</v>
      </c>
      <c r="BH261" s="95">
        <f>SUM($AU$4:AU261)</f>
        <v>14654.979999999814</v>
      </c>
      <c r="BI261" s="80">
        <f>SUMIFS($AU$3:AU262,$Q$3:Q262,"F")</f>
        <v>9348.4000000000015</v>
      </c>
      <c r="BJ261" s="80">
        <f>SUMIFS($AU$3:AU262,$Q$3:Q262,"S")</f>
        <v>3279.9999999999918</v>
      </c>
      <c r="BK261" s="87">
        <f>SUMIFS($AU$3:AU262,$P$3:P262,"W")</f>
        <v>8717.579999999929</v>
      </c>
      <c r="BL261" s="87">
        <f>SUMIFS($AU$3:AU262,$P$3:P262,"R")</f>
        <v>4181.9999999999991</v>
      </c>
      <c r="BM261" s="87">
        <f>SUMIFS($AU$3:AU262,$AQ$3:AQ262,"M")</f>
        <v>5219.3799999995472</v>
      </c>
      <c r="BN261" s="87">
        <f>SUMIFS($AU$3:AU262,$AQ$3:AQ262,"H")</f>
        <v>2931.2000000002599</v>
      </c>
      <c r="BO261" s="87">
        <f>SUMIFS($AU$3:AU262,$AQ$3:AQ262,"D")</f>
        <v>1266.0000000000005</v>
      </c>
      <c r="BP261" s="87">
        <f>SUMIFS($AU$3:AU264,$AQ$3:AQ264,"W")</f>
        <v>5542.4000000000005</v>
      </c>
      <c r="BQ261" s="87">
        <f>SUMIFS($AU$3:AU262,$Q$3:Q262,"O")</f>
        <v>1770.5799999998073</v>
      </c>
      <c r="BR261" s="87">
        <f>SUMIFS($AU$3:AU262,$AA$3:AA262,"*")</f>
        <v>12439.799999999701</v>
      </c>
      <c r="BS261" s="87">
        <f>SUMIFS($AU$3:AU262,$AB$3:AB262,"*")</f>
        <v>4007.1799999999307</v>
      </c>
      <c r="BT261" s="87">
        <f>SUMIFS($AU$3:AU262,$AC$3:AC262,"*")</f>
        <v>7028.4</v>
      </c>
      <c r="BU261" s="87">
        <f>SUMIFS($AU$3:AU262,$AA$3:AA262,"*",$AB$3:AB262,"*")</f>
        <v>1855.9999999998222</v>
      </c>
      <c r="BV261" s="87">
        <f>SUMIFS($AU$3:AU262,$AA$3:AA262,"*",$AC$3:AC262,"*")</f>
        <v>6564.4</v>
      </c>
      <c r="BW261" s="87">
        <f>SUMIFS($AU$3:AU262,$AB$3:AB262,"*",$AC$3:AC262,"*")</f>
        <v>719.99999999999818</v>
      </c>
      <c r="BX261" s="87">
        <f>SUMIFS($AV$3:AV262,$Q$3:Q262,"F")</f>
        <v>221.28119764293677</v>
      </c>
      <c r="BY261" s="87">
        <f>SUMIFS($AV$3:AV262,$Q$3:Q262,"S")</f>
        <v>280.74781249396256</v>
      </c>
      <c r="BZ261" s="87">
        <f>SUMIFS($AV$3:AV262,$Q$3:Q262,"O")</f>
        <v>520.73999999985608</v>
      </c>
    </row>
    <row r="262" spans="1:78" ht="18" customHeight="1">
      <c r="A262" s="45" t="s">
        <v>1047</v>
      </c>
      <c r="B262" s="59"/>
      <c r="C262" s="46"/>
      <c r="D262" s="46"/>
      <c r="E262" s="66"/>
      <c r="F262" s="47"/>
      <c r="G262" s="48"/>
      <c r="H262" s="49"/>
      <c r="I262" s="49"/>
      <c r="J262" s="49"/>
      <c r="K262" s="50"/>
      <c r="L262" s="49"/>
      <c r="M262" s="49"/>
      <c r="N262" s="49"/>
      <c r="O262" s="50"/>
      <c r="P262" s="50"/>
      <c r="Q262" s="50"/>
      <c r="R262" s="50"/>
      <c r="S262" s="50"/>
      <c r="T262" s="50"/>
      <c r="U262" s="50"/>
      <c r="V262" s="50"/>
      <c r="W262" s="50"/>
      <c r="X262" s="50"/>
      <c r="Y262" s="50"/>
      <c r="Z262" s="50"/>
      <c r="AA262" s="52"/>
      <c r="AB262" s="52"/>
      <c r="AC262" s="52"/>
      <c r="AD262" s="231"/>
      <c r="AE262" s="49"/>
      <c r="AF262" s="84"/>
      <c r="AG262" s="49"/>
      <c r="AH262" s="49"/>
      <c r="AI262" s="49"/>
      <c r="AJ262" s="226"/>
      <c r="AK262" s="49"/>
      <c r="AL262" s="113">
        <f t="shared" si="80"/>
        <v>0</v>
      </c>
      <c r="AM262" s="113">
        <f t="shared" si="81"/>
        <v>0</v>
      </c>
      <c r="AN262" s="218"/>
      <c r="AO262" s="49"/>
      <c r="AP262" s="49"/>
      <c r="AQ262" s="84" t="str">
        <f>UPPER(RIGHT(Journal_Live[[#This Row],[DURATION ]]))</f>
        <v/>
      </c>
      <c r="AR262" s="49"/>
      <c r="AS262" s="55"/>
      <c r="AT262" s="55"/>
      <c r="AU262" s="54"/>
      <c r="AV262" s="56"/>
      <c r="AW262" s="57"/>
      <c r="AX262" s="99" t="s">
        <v>992</v>
      </c>
      <c r="AY262" s="97" t="s">
        <v>1053</v>
      </c>
      <c r="AZ262" s="97" t="s">
        <v>1054</v>
      </c>
      <c r="BA262" s="97" t="s">
        <v>1055</v>
      </c>
      <c r="BB262" s="151" t="s">
        <v>1056</v>
      </c>
      <c r="BC262" s="151" t="s">
        <v>1057</v>
      </c>
      <c r="BD262" s="151" t="s">
        <v>1058</v>
      </c>
      <c r="BE262" s="152"/>
      <c r="BF262" s="151"/>
      <c r="BG262" s="94">
        <f>SUM($AV$4:AV262)</f>
        <v>1230.7690101367634</v>
      </c>
      <c r="BH262" s="95">
        <f>SUM($AU$4:AU262)</f>
        <v>14654.979999999814</v>
      </c>
      <c r="BI262" s="80">
        <f>SUMIFS($AU$3:AU263,$Q$3:Q263,"F")</f>
        <v>9348.4000000000015</v>
      </c>
      <c r="BJ262" s="80">
        <f>SUMIFS($AU$3:AU263,$Q$3:Q263,"S")</f>
        <v>3279.9999999999918</v>
      </c>
      <c r="BK262" s="87">
        <f>SUMIFS($AU$3:AU263,$P$3:P263,"W")</f>
        <v>8717.579999999929</v>
      </c>
      <c r="BL262" s="87">
        <f>SUMIFS($AU$3:AU263,$P$3:P263,"R")</f>
        <v>4181.9999999999991</v>
      </c>
      <c r="BM262" s="87">
        <f>SUMIFS($AU$3:AU263,$AQ$3:AQ263,"M")</f>
        <v>5219.3799999995472</v>
      </c>
      <c r="BN262" s="87">
        <f>SUMIFS($AU$3:AU263,$AQ$3:AQ263,"H")</f>
        <v>2931.2000000002599</v>
      </c>
      <c r="BO262" s="87">
        <f>SUMIFS($AU$3:AU263,$AQ$3:AQ263,"D")</f>
        <v>1266.0000000000005</v>
      </c>
      <c r="BP262" s="87">
        <f>SUMIFS($AU$3:AU265,$AQ$3:AQ265,"W")</f>
        <v>5542.4000000000005</v>
      </c>
      <c r="BQ262" s="87">
        <f>SUMIFS($AU$3:AU263,$Q$3:Q263,"O")</f>
        <v>1770.5799999998073</v>
      </c>
      <c r="BR262" s="87">
        <f>SUMIFS($AU$3:AU263,$AA$3:AA263,"*")</f>
        <v>12439.799999999701</v>
      </c>
      <c r="BS262" s="87">
        <f>SUMIFS($AU$3:AU263,$AB$3:AB263,"*")</f>
        <v>4007.1799999999307</v>
      </c>
      <c r="BT262" s="87">
        <f>SUMIFS($AU$3:AU263,$AC$3:AC263,"*")</f>
        <v>7028.4</v>
      </c>
      <c r="BU262" s="87">
        <f>SUMIFS($AU$3:AU263,$AA$3:AA263,"*",$AB$3:AB263,"*")</f>
        <v>1855.9999999998222</v>
      </c>
      <c r="BV262" s="87">
        <f>SUMIFS($AU$3:AU263,$AA$3:AA263,"*",$AC$3:AC263,"*")</f>
        <v>6564.4</v>
      </c>
      <c r="BW262" s="87">
        <f>SUMIFS($AU$3:AU263,$AB$3:AB263,"*",$AC$3:AC263,"*")</f>
        <v>719.99999999999818</v>
      </c>
      <c r="BX262" s="87">
        <f>SUMIFS($AV$3:AV263,$Q$3:Q263,"F")</f>
        <v>221.28119764293677</v>
      </c>
      <c r="BY262" s="87">
        <f>SUMIFS($AV$3:AV263,$Q$3:Q263,"S")</f>
        <v>280.74781249396256</v>
      </c>
      <c r="BZ262" s="87">
        <f>SUMIFS($AV$3:AV263,$Q$3:Q263,"O")</f>
        <v>520.73999999985608</v>
      </c>
    </row>
    <row r="263" spans="1:78" ht="18" customHeight="1">
      <c r="A263" s="45" t="s">
        <v>1047</v>
      </c>
      <c r="B263" s="59"/>
      <c r="C263" s="46"/>
      <c r="D263" s="46"/>
      <c r="E263" s="66"/>
      <c r="F263" s="47"/>
      <c r="G263" s="48"/>
      <c r="H263" s="49"/>
      <c r="I263" s="49"/>
      <c r="J263" s="49"/>
      <c r="K263" s="50"/>
      <c r="L263" s="49"/>
      <c r="M263" s="49"/>
      <c r="N263" s="49"/>
      <c r="O263" s="50"/>
      <c r="P263" s="50"/>
      <c r="Q263" s="50"/>
      <c r="R263" s="50"/>
      <c r="S263" s="50"/>
      <c r="T263" s="50"/>
      <c r="U263" s="50"/>
      <c r="V263" s="50"/>
      <c r="W263" s="50"/>
      <c r="X263" s="50"/>
      <c r="Y263" s="50"/>
      <c r="Z263" s="50"/>
      <c r="AA263" s="52"/>
      <c r="AB263" s="52"/>
      <c r="AC263" s="52"/>
      <c r="AD263" s="231"/>
      <c r="AE263" s="49"/>
      <c r="AF263" s="84"/>
      <c r="AG263" s="49"/>
      <c r="AH263" s="49"/>
      <c r="AI263" s="49"/>
      <c r="AJ263" s="226"/>
      <c r="AK263" s="49"/>
      <c r="AL263" s="113">
        <f t="shared" si="80"/>
        <v>0</v>
      </c>
      <c r="AM263" s="113">
        <f t="shared" si="81"/>
        <v>0</v>
      </c>
      <c r="AN263" s="218"/>
      <c r="AO263" s="49"/>
      <c r="AP263" s="49"/>
      <c r="AQ263" s="84" t="str">
        <f>UPPER(RIGHT(Journal_Live[[#This Row],[DURATION ]]))</f>
        <v/>
      </c>
      <c r="AR263" s="49"/>
      <c r="AS263" s="55"/>
      <c r="AT263" s="55"/>
      <c r="AU263" s="54"/>
      <c r="AV263" s="56"/>
      <c r="AW263" s="57"/>
      <c r="AX263" s="99" t="s">
        <v>1059</v>
      </c>
      <c r="AY263" s="153" t="s">
        <v>1060</v>
      </c>
      <c r="AZ263" s="153" t="s">
        <v>1061</v>
      </c>
      <c r="BA263" s="153" t="s">
        <v>1062</v>
      </c>
      <c r="BB263" s="153"/>
      <c r="BC263" s="153"/>
      <c r="BD263" s="151"/>
      <c r="BE263" s="152"/>
      <c r="BF263" s="151"/>
      <c r="BG263" s="94">
        <f>SUM($AV$4:AV263)</f>
        <v>1230.7690101367634</v>
      </c>
      <c r="BH263" s="95">
        <f>SUM($AU$4:AU263)</f>
        <v>14654.979999999814</v>
      </c>
      <c r="BI263" s="80">
        <f>SUMIFS($AU$3:AU264,$Q$3:Q264,"F")</f>
        <v>9348.4000000000015</v>
      </c>
      <c r="BJ263" s="80">
        <f>SUMIFS($AU$3:AU264,$Q$3:Q264,"S")</f>
        <v>3279.9999999999918</v>
      </c>
      <c r="BK263" s="87">
        <f>SUMIFS($AU$3:AU264,$P$3:P264,"W")</f>
        <v>8717.579999999929</v>
      </c>
      <c r="BL263" s="87">
        <f>SUMIFS($AU$3:AU264,$P$3:P264,"R")</f>
        <v>4181.9999999999991</v>
      </c>
      <c r="BM263" s="87">
        <f>SUMIFS($AU$3:AU264,$AQ$3:AQ264,"M")</f>
        <v>5219.3799999995472</v>
      </c>
      <c r="BN263" s="87">
        <f>SUMIFS($AU$3:AU264,$AQ$3:AQ264,"H")</f>
        <v>2931.2000000002599</v>
      </c>
      <c r="BO263" s="87">
        <f>SUMIFS($AU$3:AU264,$AQ$3:AQ264,"D")</f>
        <v>1266.0000000000005</v>
      </c>
      <c r="BP263" s="87">
        <f>SUMIFS($AU$3:AU266,$AQ$3:AQ266,"W")</f>
        <v>5542.4000000000005</v>
      </c>
      <c r="BQ263" s="87">
        <f>SUMIFS($AU$3:AU264,$Q$3:Q264,"O")</f>
        <v>1770.5799999998073</v>
      </c>
      <c r="BR263" s="87">
        <f>SUMIFS($AU$3:AU264,$AA$3:AA264,"*")</f>
        <v>12439.799999999701</v>
      </c>
      <c r="BS263" s="87">
        <f>SUMIFS($AU$3:AU264,$AB$3:AB264,"*")</f>
        <v>4007.1799999999307</v>
      </c>
      <c r="BT263" s="87">
        <f>SUMIFS($AU$3:AU264,$AC$3:AC264,"*")</f>
        <v>7028.4</v>
      </c>
      <c r="BU263" s="87">
        <f>SUMIFS($AU$3:AU264,$AA$3:AA264,"*",$AB$3:AB264,"*")</f>
        <v>1855.9999999998222</v>
      </c>
      <c r="BV263" s="87">
        <f>SUMIFS($AU$3:AU264,$AA$3:AA264,"*",$AC$3:AC264,"*")</f>
        <v>6564.4</v>
      </c>
      <c r="BW263" s="87">
        <f>SUMIFS($AU$3:AU264,$AB$3:AB264,"*",$AC$3:AC264,"*")</f>
        <v>719.99999999999818</v>
      </c>
      <c r="BX263" s="87">
        <f>SUMIFS($AV$3:AV264,$Q$3:Q264,"F")</f>
        <v>221.28119764293677</v>
      </c>
      <c r="BY263" s="87">
        <f>SUMIFS($AV$3:AV264,$Q$3:Q264,"S")</f>
        <v>280.74781249396256</v>
      </c>
      <c r="BZ263" s="87">
        <f>SUMIFS($AV$3:AV264,$Q$3:Q264,"O")</f>
        <v>520.73999999985608</v>
      </c>
    </row>
    <row r="264" spans="1:78" ht="18" customHeight="1">
      <c r="A264" s="45" t="s">
        <v>1047</v>
      </c>
      <c r="B264" s="59">
        <v>45352</v>
      </c>
      <c r="C264" s="46" t="s">
        <v>179</v>
      </c>
      <c r="D264" s="46" t="s">
        <v>115</v>
      </c>
      <c r="E264" s="66"/>
      <c r="F264" s="47"/>
      <c r="G264" s="48" t="s">
        <v>116</v>
      </c>
      <c r="H264" s="49"/>
      <c r="I264" s="49"/>
      <c r="J264" s="49"/>
      <c r="K264" s="50"/>
      <c r="L264" s="49"/>
      <c r="M264" s="49"/>
      <c r="N264" s="49"/>
      <c r="O264" s="50"/>
      <c r="P264" s="50"/>
      <c r="Q264" s="50"/>
      <c r="R264" s="50"/>
      <c r="S264" s="50"/>
      <c r="T264" s="50"/>
      <c r="U264" s="50"/>
      <c r="V264" s="50"/>
      <c r="W264" s="50"/>
      <c r="X264" s="50"/>
      <c r="Y264" s="51"/>
      <c r="Z264" s="52"/>
      <c r="AA264" s="52"/>
      <c r="AB264" s="52"/>
      <c r="AC264" s="52"/>
      <c r="AD264" s="231"/>
      <c r="AE264" s="49"/>
      <c r="AF264" s="84"/>
      <c r="AG264" s="49"/>
      <c r="AH264" s="49"/>
      <c r="AI264" s="49"/>
      <c r="AJ264" s="226"/>
      <c r="AK264" s="49"/>
      <c r="AL264" s="113">
        <f t="shared" si="80"/>
        <v>0</v>
      </c>
      <c r="AM264" s="113">
        <f t="shared" si="81"/>
        <v>0</v>
      </c>
      <c r="AN264" s="218"/>
      <c r="AO264" s="49"/>
      <c r="AP264" s="49"/>
      <c r="AQ264" s="84" t="str">
        <f>UPPER(RIGHT(Journal_Live[[#This Row],[DURATION ]]))</f>
        <v/>
      </c>
      <c r="AR264" s="49"/>
      <c r="AS264" s="55"/>
      <c r="AT264" s="55"/>
      <c r="AU264" s="54"/>
      <c r="AV264" s="56"/>
      <c r="AW264" s="57"/>
      <c r="AX264" s="153" t="s">
        <v>1063</v>
      </c>
      <c r="AY264" s="153" t="s">
        <v>1064</v>
      </c>
      <c r="AZ264" s="153" t="s">
        <v>1065</v>
      </c>
      <c r="BA264" s="153"/>
      <c r="BB264" s="153"/>
      <c r="BC264" s="153"/>
      <c r="BD264" s="153" t="s">
        <v>1063</v>
      </c>
      <c r="BE264" s="152"/>
      <c r="BF264" s="151"/>
      <c r="BG264" s="94">
        <f>SUM($AV$4:AV264)</f>
        <v>1230.7690101367634</v>
      </c>
      <c r="BH264" s="95">
        <f>SUM($AU$4:AU264)</f>
        <v>14654.979999999814</v>
      </c>
      <c r="BI264" s="80">
        <f>SUMIFS($AU$3:AU265,$Q$3:Q265,"F")</f>
        <v>9348.4000000000015</v>
      </c>
      <c r="BJ264" s="80">
        <f>SUMIFS($AU$3:AU265,$Q$3:Q265,"S")</f>
        <v>3279.9999999999918</v>
      </c>
      <c r="BK264" s="87">
        <f>SUMIFS($AU$3:AU265,$P$3:P265,"W")</f>
        <v>8717.579999999929</v>
      </c>
      <c r="BL264" s="87">
        <f>SUMIFS($AU$3:AU265,$P$3:P265,"R")</f>
        <v>4181.9999999999991</v>
      </c>
      <c r="BM264" s="87">
        <f>SUMIFS($AU$3:AU265,$AQ$3:AQ265,"M")</f>
        <v>5219.3799999995472</v>
      </c>
      <c r="BN264" s="87">
        <f>SUMIFS($AU$3:AU265,$AQ$3:AQ265,"H")</f>
        <v>2931.2000000002599</v>
      </c>
      <c r="BO264" s="87">
        <f>SUMIFS($AU$3:AU265,$AQ$3:AQ265,"D")</f>
        <v>1266.0000000000005</v>
      </c>
      <c r="BP264" s="87">
        <f>SUMIFS($AU$3:AU267,$AQ$3:AQ267,"W")</f>
        <v>5542.4000000000005</v>
      </c>
      <c r="BQ264" s="87">
        <f>SUMIFS($AU$3:AU265,$Q$3:Q265,"O")</f>
        <v>1770.5799999998073</v>
      </c>
      <c r="BR264" s="87">
        <f>SUMIFS($AU$3:AU265,$AA$3:AA265,"*")</f>
        <v>12439.799999999701</v>
      </c>
      <c r="BS264" s="87">
        <f>SUMIFS($AU$3:AU265,$AB$3:AB265,"*")</f>
        <v>4007.1799999999307</v>
      </c>
      <c r="BT264" s="87">
        <f>SUMIFS($AU$3:AU265,$AC$3:AC265,"*")</f>
        <v>7028.4</v>
      </c>
      <c r="BU264" s="87">
        <f>SUMIFS($AU$3:AU265,$AA$3:AA265,"*",$AB$3:AB265,"*")</f>
        <v>1855.9999999998222</v>
      </c>
      <c r="BV264" s="87">
        <f>SUMIFS($AU$3:AU265,$AA$3:AA265,"*",$AC$3:AC265,"*")</f>
        <v>6564.4</v>
      </c>
      <c r="BW264" s="87">
        <f>SUMIFS($AU$3:AU265,$AB$3:AB265,"*",$AC$3:AC265,"*")</f>
        <v>719.99999999999818</v>
      </c>
      <c r="BX264" s="87">
        <f>SUMIFS($AV$3:AV265,$Q$3:Q265,"F")</f>
        <v>221.28119764293677</v>
      </c>
      <c r="BY264" s="87">
        <f>SUMIFS($AV$3:AV265,$Q$3:Q265,"S")</f>
        <v>280.74781249396256</v>
      </c>
      <c r="BZ264" s="87">
        <f>SUMIFS($AV$3:AV265,$Q$3:Q265,"O")</f>
        <v>520.73999999985608</v>
      </c>
    </row>
    <row r="265" spans="1:78" ht="18" customHeight="1">
      <c r="A265" s="45" t="s">
        <v>1047</v>
      </c>
      <c r="B265" s="59">
        <v>45352</v>
      </c>
      <c r="C265" s="46" t="s">
        <v>1066</v>
      </c>
      <c r="D265" s="46" t="s">
        <v>115</v>
      </c>
      <c r="E265" s="66"/>
      <c r="F265" s="47"/>
      <c r="G265" s="48" t="s">
        <v>113</v>
      </c>
      <c r="H265" s="49"/>
      <c r="I265" s="49"/>
      <c r="J265" s="49"/>
      <c r="K265" s="50"/>
      <c r="L265" s="49"/>
      <c r="M265" s="49"/>
      <c r="N265" s="49"/>
      <c r="O265" s="50"/>
      <c r="P265" s="50"/>
      <c r="Q265" s="50"/>
      <c r="R265" s="50"/>
      <c r="S265" s="50"/>
      <c r="T265" s="50"/>
      <c r="U265" s="50"/>
      <c r="V265" s="50"/>
      <c r="W265" s="50"/>
      <c r="X265" s="50"/>
      <c r="Y265" s="51"/>
      <c r="Z265" s="52"/>
      <c r="AA265" s="52"/>
      <c r="AB265" s="52"/>
      <c r="AC265" s="52"/>
      <c r="AD265" s="231"/>
      <c r="AE265" s="49"/>
      <c r="AF265" s="84"/>
      <c r="AG265" s="49"/>
      <c r="AH265" s="49"/>
      <c r="AI265" s="49"/>
      <c r="AJ265" s="226"/>
      <c r="AK265" s="49"/>
      <c r="AL265" s="113">
        <f t="shared" si="80"/>
        <v>0</v>
      </c>
      <c r="AM265" s="113">
        <f t="shared" si="81"/>
        <v>0</v>
      </c>
      <c r="AN265" s="218"/>
      <c r="AO265" s="49"/>
      <c r="AP265" s="49"/>
      <c r="AQ265" s="84" t="str">
        <f>UPPER(RIGHT(Journal_Live[[#This Row],[DURATION ]]))</f>
        <v/>
      </c>
      <c r="AR265" s="49"/>
      <c r="AS265" s="55"/>
      <c r="AT265" s="55"/>
      <c r="AU265" s="54"/>
      <c r="AV265" s="56"/>
      <c r="AW265" s="57"/>
      <c r="AX265" s="153"/>
      <c r="AY265" s="153"/>
      <c r="AZ265" s="153"/>
      <c r="BA265" s="153"/>
      <c r="BB265" s="153"/>
      <c r="BC265" s="153"/>
      <c r="BD265" s="151"/>
      <c r="BE265" s="152"/>
      <c r="BF265" s="151"/>
      <c r="BG265" s="94">
        <f>SUM($AV$4:AV265)</f>
        <v>1230.7690101367634</v>
      </c>
      <c r="BH265" s="95">
        <f>SUM($AU$4:AU265)</f>
        <v>14654.979999999814</v>
      </c>
      <c r="BI265" s="80">
        <f>SUMIFS($AU$3:AU266,$Q$3:Q266,"F")</f>
        <v>9348.4000000000015</v>
      </c>
      <c r="BJ265" s="80">
        <f>SUMIFS($AU$3:AU266,$Q$3:Q266,"S")</f>
        <v>3279.9999999999918</v>
      </c>
      <c r="BK265" s="87">
        <f>SUMIFS($AU$3:AU266,$P$3:P266,"W")</f>
        <v>8717.579999999929</v>
      </c>
      <c r="BL265" s="87">
        <f>SUMIFS($AU$3:AU266,$P$3:P266,"R")</f>
        <v>4181.9999999999991</v>
      </c>
      <c r="BM265" s="87">
        <f>SUMIFS($AU$3:AU266,$AQ$3:AQ266,"M")</f>
        <v>5219.3799999995472</v>
      </c>
      <c r="BN265" s="87">
        <f>SUMIFS($AU$3:AU266,$AQ$3:AQ266,"H")</f>
        <v>2931.2000000002599</v>
      </c>
      <c r="BO265" s="87">
        <f>SUMIFS($AU$3:AU266,$AQ$3:AQ266,"D")</f>
        <v>1266.0000000000005</v>
      </c>
      <c r="BP265" s="87">
        <f>SUMIFS($AU$3:AU353,$AQ$3:AQ353,"W")</f>
        <v>12022.400000000001</v>
      </c>
      <c r="BQ265" s="87">
        <f>SUMIFS($AU$3:AU266,$Q$3:Q266,"O")</f>
        <v>1770.5799999998073</v>
      </c>
      <c r="BR265" s="87">
        <f>SUMIFS($AU$3:AU266,$AA$3:AA266,"*")</f>
        <v>12439.799999999701</v>
      </c>
      <c r="BS265" s="87">
        <f>SUMIFS($AU$3:AU266,$AB$3:AB266,"*")</f>
        <v>4007.1799999999307</v>
      </c>
      <c r="BT265" s="87">
        <f>SUMIFS($AU$3:AU266,$AC$3:AC266,"*")</f>
        <v>7028.4</v>
      </c>
      <c r="BU265" s="87">
        <f>SUMIFS($AU$3:AU266,$AA$3:AA266,"*",$AB$3:AB266,"*")</f>
        <v>1855.9999999998222</v>
      </c>
      <c r="BV265" s="87">
        <f>SUMIFS($AU$3:AU266,$AA$3:AA266,"*",$AC$3:AC266,"*")</f>
        <v>6564.4</v>
      </c>
      <c r="BW265" s="87">
        <f>SUMIFS($AU$3:AU266,$AB$3:AB266,"*",$AC$3:AC266,"*")</f>
        <v>719.99999999999818</v>
      </c>
      <c r="BX265" s="87">
        <f>SUMIFS($AV$3:AV266,$Q$3:Q266,"F")</f>
        <v>221.28119764293677</v>
      </c>
      <c r="BY265" s="87">
        <f>SUMIFS($AV$3:AV266,$Q$3:Q266,"S")</f>
        <v>280.74781249396256</v>
      </c>
      <c r="BZ265" s="87">
        <f>SUMIFS($AV$3:AV266,$Q$3:Q266,"O")</f>
        <v>520.73999999985608</v>
      </c>
    </row>
    <row r="266" spans="1:78" ht="18" customHeight="1">
      <c r="A266" s="45" t="s">
        <v>1047</v>
      </c>
      <c r="B266" s="59">
        <v>45352</v>
      </c>
      <c r="C266" s="46" t="s">
        <v>493</v>
      </c>
      <c r="D266" s="46" t="s">
        <v>115</v>
      </c>
      <c r="E266" s="66" t="s">
        <v>1067</v>
      </c>
      <c r="F266" s="47"/>
      <c r="G266" s="48"/>
      <c r="H266" s="49"/>
      <c r="I266" s="49"/>
      <c r="J266" s="49">
        <v>1</v>
      </c>
      <c r="K266" s="50" t="s">
        <v>155</v>
      </c>
      <c r="L266" s="49"/>
      <c r="M266" s="49"/>
      <c r="N266" s="49"/>
      <c r="O266" s="50"/>
      <c r="P266" s="50"/>
      <c r="Q266" s="50"/>
      <c r="R266" s="50"/>
      <c r="S266" s="50"/>
      <c r="T266" s="50"/>
      <c r="U266" s="50"/>
      <c r="V266" s="50"/>
      <c r="W266" s="50"/>
      <c r="X266" s="50"/>
      <c r="Y266" s="50"/>
      <c r="Z266" s="50"/>
      <c r="AA266" s="52"/>
      <c r="AB266" s="52"/>
      <c r="AC266" s="52"/>
      <c r="AD266" s="231"/>
      <c r="AE266" s="49"/>
      <c r="AF266" s="84"/>
      <c r="AG266" s="49"/>
      <c r="AH266" s="49"/>
      <c r="AI266" s="49"/>
      <c r="AJ266" s="226"/>
      <c r="AK266" s="49"/>
      <c r="AL266" s="113">
        <f t="shared" ref="AL266:AL271" si="82">-0.02*Z266</f>
        <v>0</v>
      </c>
      <c r="AM266" s="113">
        <f t="shared" si="81"/>
        <v>0</v>
      </c>
      <c r="AN266" s="218"/>
      <c r="AO266" s="49"/>
      <c r="AP266" s="49"/>
      <c r="AQ266" s="84" t="str">
        <f>UPPER(RIGHT(Journal_Live[[#This Row],[DURATION ]]))</f>
        <v/>
      </c>
      <c r="AR266" s="49"/>
      <c r="AS266" s="55"/>
      <c r="AT266" s="55"/>
      <c r="AU266" s="54"/>
      <c r="AV266" s="56"/>
      <c r="AW266" s="57"/>
      <c r="AX266" s="153"/>
      <c r="AY266" s="153"/>
      <c r="AZ266" s="153"/>
      <c r="BA266" s="153"/>
      <c r="BB266" s="153"/>
      <c r="BC266" s="153"/>
      <c r="BD266" s="151"/>
      <c r="BE266" s="152"/>
      <c r="BF266" s="151"/>
      <c r="BG266" s="94">
        <f>SUM($AV$4:AV266)</f>
        <v>1230.7690101367634</v>
      </c>
      <c r="BH266" s="95">
        <f>SUM($AU$4:AU266)</f>
        <v>14654.979999999814</v>
      </c>
      <c r="BI266" s="80">
        <f>SUMIFS($AU$3:AU267,$Q$3:Q267,"F")</f>
        <v>9348.4000000000015</v>
      </c>
      <c r="BJ266" s="80">
        <f>SUMIFS($AU$3:AU267,$Q$3:Q267,"S")</f>
        <v>3279.9999999999918</v>
      </c>
      <c r="BK266" s="87">
        <f>SUMIFS($AU$3:AU267,$P$3:P267,"W")</f>
        <v>8717.579999999929</v>
      </c>
      <c r="BL266" s="87">
        <f>SUMIFS($AU$3:AU267,$P$3:P267,"R")</f>
        <v>4181.9999999999991</v>
      </c>
      <c r="BM266" s="87">
        <f>SUMIFS($AU$3:AU267,$AQ$3:AQ267,"M")</f>
        <v>5219.3799999995472</v>
      </c>
      <c r="BN266" s="87">
        <f>SUMIFS($AU$3:AU267,$AQ$3:AQ267,"H")</f>
        <v>2931.2000000002599</v>
      </c>
      <c r="BO266" s="87">
        <f>SUMIFS($AU$3:AU267,$AQ$3:AQ267,"D")</f>
        <v>1266.0000000000005</v>
      </c>
      <c r="BP266" s="87">
        <f>SUMIFS($AU$3:AU354,$AQ$3:AQ354,"W")</f>
        <v>12022.400000000001</v>
      </c>
      <c r="BQ266" s="87">
        <f>SUMIFS($AU$3:AU267,$Q$3:Q267,"O")</f>
        <v>1770.5799999998073</v>
      </c>
      <c r="BR266" s="87">
        <f>SUMIFS($AU$3:AU267,$AA$3:AA267,"*")</f>
        <v>12439.799999999701</v>
      </c>
      <c r="BS266" s="87">
        <f>SUMIFS($AU$3:AU267,$AB$3:AB267,"*")</f>
        <v>4007.1799999999307</v>
      </c>
      <c r="BT266" s="87">
        <f>SUMIFS($AU$3:AU267,$AC$3:AC267,"*")</f>
        <v>7028.4</v>
      </c>
      <c r="BU266" s="87">
        <f>SUMIFS($AU$3:AU267,$AA$3:AA267,"*",$AB$3:AB267,"*")</f>
        <v>1855.9999999998222</v>
      </c>
      <c r="BV266" s="87">
        <f>SUMIFS($AU$3:AU267,$AA$3:AA267,"*",$AC$3:AC267,"*")</f>
        <v>6564.4</v>
      </c>
      <c r="BW266" s="87">
        <f>SUMIFS($AU$3:AU267,$AB$3:AB267,"*",$AC$3:AC267,"*")</f>
        <v>719.99999999999818</v>
      </c>
      <c r="BX266" s="87">
        <f>SUMIFS($AV$3:AV267,$Q$3:Q267,"F")</f>
        <v>221.28119764293677</v>
      </c>
      <c r="BY266" s="87">
        <f>SUMIFS($AV$3:AV267,$Q$3:Q267,"S")</f>
        <v>280.74781249396256</v>
      </c>
      <c r="BZ266" s="87">
        <f>SUMIFS($AV$3:AV267,$Q$3:Q267,"O")</f>
        <v>520.73999999985608</v>
      </c>
    </row>
    <row r="267" spans="1:78" ht="18" customHeight="1">
      <c r="A267" s="45" t="s">
        <v>1047</v>
      </c>
      <c r="B267" s="59">
        <v>45352</v>
      </c>
      <c r="C267" s="46" t="s">
        <v>147</v>
      </c>
      <c r="D267" s="46" t="s">
        <v>115</v>
      </c>
      <c r="E267" s="66"/>
      <c r="F267" s="47"/>
      <c r="G267" s="48" t="s">
        <v>227</v>
      </c>
      <c r="H267" s="49"/>
      <c r="I267" s="49"/>
      <c r="J267" s="49"/>
      <c r="K267" s="50"/>
      <c r="L267" s="49"/>
      <c r="M267" s="49"/>
      <c r="N267" s="49"/>
      <c r="O267" s="50"/>
      <c r="P267" s="50"/>
      <c r="Q267" s="50"/>
      <c r="R267" s="50"/>
      <c r="S267" s="50"/>
      <c r="T267" s="50"/>
      <c r="U267" s="50"/>
      <c r="V267" s="50"/>
      <c r="W267" s="50"/>
      <c r="X267" s="50"/>
      <c r="Y267" s="51"/>
      <c r="Z267" s="52"/>
      <c r="AA267" s="52"/>
      <c r="AB267" s="52"/>
      <c r="AC267" s="52"/>
      <c r="AD267" s="231"/>
      <c r="AE267" s="49"/>
      <c r="AF267" s="84"/>
      <c r="AG267" s="49"/>
      <c r="AH267" s="49"/>
      <c r="AI267" s="49"/>
      <c r="AJ267" s="226"/>
      <c r="AK267" s="49"/>
      <c r="AL267" s="113">
        <f t="shared" si="82"/>
        <v>0</v>
      </c>
      <c r="AM267" s="113">
        <f t="shared" si="81"/>
        <v>0</v>
      </c>
      <c r="AN267" s="218"/>
      <c r="AO267" s="49"/>
      <c r="AP267" s="49"/>
      <c r="AQ267" s="84" t="str">
        <f>UPPER(RIGHT(Journal_Live[[#This Row],[DURATION ]]))</f>
        <v/>
      </c>
      <c r="AR267" s="49"/>
      <c r="AS267" s="55"/>
      <c r="AT267" s="55"/>
      <c r="AU267" s="54"/>
      <c r="AV267" s="56"/>
      <c r="AW267" s="57"/>
      <c r="AX267" s="153"/>
      <c r="AY267" s="153"/>
      <c r="AZ267" s="153"/>
      <c r="BA267" s="153"/>
      <c r="BB267" s="153"/>
      <c r="BC267" s="153"/>
      <c r="BD267" s="151"/>
      <c r="BE267" s="152"/>
      <c r="BF267" s="151"/>
      <c r="BG267" s="94">
        <f>SUM($AV$4:AV267)</f>
        <v>1230.7690101367634</v>
      </c>
      <c r="BH267" s="95">
        <f>SUM($AU$4:AU267)</f>
        <v>14654.979999999814</v>
      </c>
      <c r="BI267" s="80">
        <f>SUMIFS($AU$3:AU268,$Q$3:Q268,"F")</f>
        <v>9348.4000000000015</v>
      </c>
      <c r="BJ267" s="80">
        <f>SUMIFS($AU$3:AU268,$Q$3:Q268,"S")</f>
        <v>3279.9999999999918</v>
      </c>
      <c r="BK267" s="87">
        <f>SUMIFS($AU$3:AU268,$P$3:P268,"W")</f>
        <v>8717.579999999929</v>
      </c>
      <c r="BL267" s="87">
        <f>SUMIFS($AU$3:AU268,$P$3:P268,"R")</f>
        <v>4181.9999999999991</v>
      </c>
      <c r="BM267" s="87">
        <f>SUMIFS($AU$3:AU268,$AQ$3:AQ268,"M")</f>
        <v>5219.3799999995472</v>
      </c>
      <c r="BN267" s="87">
        <f>SUMIFS($AU$3:AU268,$AQ$3:AQ268,"H")</f>
        <v>2931.2000000002599</v>
      </c>
      <c r="BO267" s="87">
        <f>SUMIFS($AU$3:AU268,$AQ$3:AQ268,"D")</f>
        <v>1266.0000000000005</v>
      </c>
      <c r="BP267" s="87">
        <f>SUMIFS($AU$3:AU355,$AQ$3:AQ355,"W")</f>
        <v>12022.400000000001</v>
      </c>
      <c r="BQ267" s="87">
        <f>SUMIFS($AU$3:AU268,$Q$3:Q268,"O")</f>
        <v>1770.5799999998073</v>
      </c>
      <c r="BR267" s="87">
        <f>SUMIFS($AU$3:AU268,$AA$3:AA268,"*")</f>
        <v>12439.799999999701</v>
      </c>
      <c r="BS267" s="87">
        <f>SUMIFS($AU$3:AU268,$AB$3:AB268,"*")</f>
        <v>4007.1799999999307</v>
      </c>
      <c r="BT267" s="87">
        <f>SUMIFS($AU$3:AU268,$AC$3:AC268,"*")</f>
        <v>7028.4</v>
      </c>
      <c r="BU267" s="87">
        <f>SUMIFS($AU$3:AU268,$AA$3:AA268,"*",$AB$3:AB268,"*")</f>
        <v>1855.9999999998222</v>
      </c>
      <c r="BV267" s="87">
        <f>SUMIFS($AU$3:AU268,$AA$3:AA268,"*",$AC$3:AC268,"*")</f>
        <v>6564.4</v>
      </c>
      <c r="BW267" s="87">
        <f>SUMIFS($AU$3:AU268,$AB$3:AB268,"*",$AC$3:AC268,"*")</f>
        <v>719.99999999999818</v>
      </c>
      <c r="BX267" s="87">
        <f>SUMIFS($AV$3:AV268,$Q$3:Q268,"F")</f>
        <v>221.28119764293677</v>
      </c>
      <c r="BY267" s="87">
        <f>SUMIFS($AV$3:AV268,$Q$3:Q268,"S")</f>
        <v>280.74781249396256</v>
      </c>
      <c r="BZ267" s="87">
        <f>SUMIFS($AV$3:AV268,$Q$3:Q268,"O")</f>
        <v>520.73999999985608</v>
      </c>
    </row>
    <row r="268" spans="1:78" ht="18" customHeight="1">
      <c r="A268" s="45" t="s">
        <v>1047</v>
      </c>
      <c r="B268" s="59">
        <v>45355</v>
      </c>
      <c r="C268" s="46" t="s">
        <v>345</v>
      </c>
      <c r="D268" s="46" t="s">
        <v>176</v>
      </c>
      <c r="E268" s="66"/>
      <c r="F268" s="47"/>
      <c r="G268" s="48" t="s">
        <v>804</v>
      </c>
      <c r="H268" s="49"/>
      <c r="I268" s="49"/>
      <c r="J268" s="49"/>
      <c r="K268" s="50"/>
      <c r="L268" s="49"/>
      <c r="M268" s="49"/>
      <c r="N268" s="49"/>
      <c r="O268" s="50"/>
      <c r="P268" s="50"/>
      <c r="Q268" s="50"/>
      <c r="R268" s="50"/>
      <c r="S268" s="50"/>
      <c r="T268" s="50"/>
      <c r="U268" s="50"/>
      <c r="V268" s="50"/>
      <c r="W268" s="50"/>
      <c r="X268" s="50"/>
      <c r="Y268" s="51"/>
      <c r="Z268" s="52"/>
      <c r="AA268" s="52"/>
      <c r="AB268" s="52"/>
      <c r="AC268" s="52"/>
      <c r="AD268" s="231"/>
      <c r="AE268" s="49"/>
      <c r="AF268" s="84"/>
      <c r="AG268" s="49"/>
      <c r="AH268" s="49"/>
      <c r="AI268" s="49"/>
      <c r="AJ268" s="226"/>
      <c r="AK268" s="49"/>
      <c r="AL268" s="113">
        <f t="shared" si="82"/>
        <v>0</v>
      </c>
      <c r="AM268" s="113">
        <f t="shared" si="81"/>
        <v>0</v>
      </c>
      <c r="AN268" s="218"/>
      <c r="AO268" s="49"/>
      <c r="AP268" s="49"/>
      <c r="AQ268" s="84" t="str">
        <f>UPPER(RIGHT(Journal_Live[[#This Row],[DURATION ]]))</f>
        <v/>
      </c>
      <c r="AR268" s="49"/>
      <c r="AS268" s="55"/>
      <c r="AT268" s="55"/>
      <c r="AU268" s="54"/>
      <c r="AV268" s="56"/>
      <c r="AW268" s="57"/>
      <c r="AX268" s="153" t="s">
        <v>1063</v>
      </c>
      <c r="AY268" s="153" t="s">
        <v>1064</v>
      </c>
      <c r="AZ268" s="153" t="s">
        <v>1065</v>
      </c>
      <c r="BA268" s="153"/>
      <c r="BB268" s="153"/>
      <c r="BC268" s="153"/>
      <c r="BD268" s="151"/>
      <c r="BE268" s="152"/>
      <c r="BF268" s="151"/>
      <c r="BG268" s="94">
        <f>SUM($AV$4:AV268)</f>
        <v>1230.7690101367634</v>
      </c>
      <c r="BH268" s="95">
        <f>SUM($AU$4:AU268)</f>
        <v>14654.979999999814</v>
      </c>
      <c r="BI268" s="80">
        <f>SUMIFS($AU$3:AU269,$Q$3:Q269,"F")</f>
        <v>10148.400000000001</v>
      </c>
      <c r="BJ268" s="80">
        <f>SUMIFS($AU$3:AU269,$Q$3:Q269,"S")</f>
        <v>3279.9999999999918</v>
      </c>
      <c r="BK268" s="87">
        <f>SUMIFS($AU$3:AU269,$P$3:P269,"W")</f>
        <v>8717.579999999929</v>
      </c>
      <c r="BL268" s="87">
        <f>SUMIFS($AU$3:AU269,$P$3:P269,"R")</f>
        <v>4981.9999999999991</v>
      </c>
      <c r="BM268" s="87">
        <f>SUMIFS($AU$3:AU269,$AQ$3:AQ269,"M")</f>
        <v>5219.3799999995472</v>
      </c>
      <c r="BN268" s="87">
        <f>SUMIFS($AU$3:AU269,$AQ$3:AQ269,"H")</f>
        <v>2931.2000000002599</v>
      </c>
      <c r="BO268" s="87">
        <f>SUMIFS($AU$3:AU269,$AQ$3:AQ269,"D")</f>
        <v>2066.0000000000009</v>
      </c>
      <c r="BP268" s="87">
        <f>SUMIFS($AU$3:AU356,$AQ$3:AQ356,"W")</f>
        <v>12022.400000000001</v>
      </c>
      <c r="BQ268" s="87">
        <f>SUMIFS($AU$3:AU269,$Q$3:Q269,"O")</f>
        <v>1770.5799999998073</v>
      </c>
      <c r="BR268" s="87">
        <f>SUMIFS($AU$3:AU269,$AA$3:AA269,"*")</f>
        <v>13239.799999999701</v>
      </c>
      <c r="BS268" s="87">
        <f>SUMIFS($AU$3:AU269,$AB$3:AB269,"*")</f>
        <v>4007.1799999999307</v>
      </c>
      <c r="BT268" s="87">
        <f>SUMIFS($AU$3:AU269,$AC$3:AC269,"*")</f>
        <v>7028.4</v>
      </c>
      <c r="BU268" s="87">
        <f>SUMIFS($AU$3:AU269,$AA$3:AA269,"*",$AB$3:AB269,"*")</f>
        <v>1855.9999999998222</v>
      </c>
      <c r="BV268" s="87">
        <f>SUMIFS($AU$3:AU269,$AA$3:AA269,"*",$AC$3:AC269,"*")</f>
        <v>6564.4</v>
      </c>
      <c r="BW268" s="87">
        <f>SUMIFS($AU$3:AU269,$AB$3:AB269,"*",$AC$3:AC269,"*")</f>
        <v>719.99999999999818</v>
      </c>
      <c r="BX268" s="87">
        <f>SUMIFS($AV$3:AV269,$Q$3:Q269,"F")</f>
        <v>237.28119764293677</v>
      </c>
      <c r="BY268" s="87">
        <f>SUMIFS($AV$3:AV269,$Q$3:Q269,"S")</f>
        <v>280.74781249396256</v>
      </c>
      <c r="BZ268" s="87">
        <f>SUMIFS($AV$3:AV269,$Q$3:Q269,"O")</f>
        <v>520.73999999985608</v>
      </c>
    </row>
    <row r="269" spans="1:78" ht="18" customHeight="1">
      <c r="A269" s="45" t="s">
        <v>1047</v>
      </c>
      <c r="B269" s="59">
        <v>45355</v>
      </c>
      <c r="C269" s="46" t="s">
        <v>1068</v>
      </c>
      <c r="D269" s="46" t="s">
        <v>176</v>
      </c>
      <c r="E269" s="66"/>
      <c r="F269" s="47"/>
      <c r="G269" s="155" t="s">
        <v>1069</v>
      </c>
      <c r="H269" s="49"/>
      <c r="I269" s="49"/>
      <c r="J269" s="49"/>
      <c r="K269" s="50"/>
      <c r="L269" s="49">
        <v>1</v>
      </c>
      <c r="M269" s="49"/>
      <c r="N269" s="49"/>
      <c r="O269" s="50" t="s">
        <v>100</v>
      </c>
      <c r="P269" s="50" t="s">
        <v>126</v>
      </c>
      <c r="Q269" s="50" t="s">
        <v>127</v>
      </c>
      <c r="R269" s="50">
        <v>50</v>
      </c>
      <c r="S269" s="50">
        <v>0</v>
      </c>
      <c r="T269" s="50">
        <v>50</v>
      </c>
      <c r="U269" s="50" t="s">
        <v>22</v>
      </c>
      <c r="V269" s="50"/>
      <c r="W269" s="50"/>
      <c r="X269" s="50"/>
      <c r="Y269" s="51">
        <f>IF(ISBLANK(O269),"",(IF(O269=UPPER("IB"),0.005,0.01)))</f>
        <v>0.01</v>
      </c>
      <c r="Z269" s="52">
        <f>IF(ISBLANK(O269),"",IF(O269="IB",8.63*200,IF(O269="IR",16*100,IF(O269="YT",20*100,IF(O269="YT-XT",24*200,IF(O269="TED",80*100))))))</f>
        <v>1600</v>
      </c>
      <c r="AA269" s="52" t="s">
        <v>1070</v>
      </c>
      <c r="AB269" s="52"/>
      <c r="AC269" s="52"/>
      <c r="AD269" s="231">
        <v>-0.04</v>
      </c>
      <c r="AE269" s="49"/>
      <c r="AF269" s="84"/>
      <c r="AG269" s="49"/>
      <c r="AH269" s="49"/>
      <c r="AI269" s="49"/>
      <c r="AJ269" s="226"/>
      <c r="AK269" s="49"/>
      <c r="AL269" s="113">
        <f t="shared" si="82"/>
        <v>-32</v>
      </c>
      <c r="AM269" s="113">
        <f t="shared" si="81"/>
        <v>-1600</v>
      </c>
      <c r="AN269" s="218"/>
      <c r="AO269" s="49"/>
      <c r="AP269" s="49" t="s">
        <v>247</v>
      </c>
      <c r="AQ269" s="84" t="s">
        <v>155</v>
      </c>
      <c r="AR269" s="49" t="s">
        <v>1071</v>
      </c>
      <c r="AS269" s="55">
        <v>-0.03</v>
      </c>
      <c r="AT269" s="55">
        <f>IF(ISBLANK(AS269),,IF(U269="S",AD269-AS269,AS269-AD269))</f>
        <v>1.0000000000000002E-2</v>
      </c>
      <c r="AU269" s="54">
        <f>AV269*R269</f>
        <v>800.00000000000023</v>
      </c>
      <c r="AV269" s="56">
        <f t="shared" ref="AV269:AV270" si="83">IF(ISBLANK(AS269),,(AT269*Z269))</f>
        <v>16.000000000000004</v>
      </c>
      <c r="AW269" s="57" t="s">
        <v>101</v>
      </c>
      <c r="AX269" s="153"/>
      <c r="AY269" s="153"/>
      <c r="AZ269" s="153"/>
      <c r="BA269" s="153"/>
      <c r="BB269" s="153"/>
      <c r="BC269" s="153"/>
      <c r="BD269" s="151"/>
      <c r="BE269" s="152"/>
      <c r="BF269" s="151"/>
      <c r="BG269" s="94">
        <f>SUM($AV$4:AV269)</f>
        <v>1246.7690101367634</v>
      </c>
      <c r="BH269" s="95">
        <f>SUM($AU$4:AU269)</f>
        <v>15454.979999999814</v>
      </c>
      <c r="BI269" s="80">
        <f>SUMIFS($AU$3:AU270,$Q$3:Q270,"F")</f>
        <v>10148.400000000001</v>
      </c>
      <c r="BJ269" s="80">
        <f>SUMIFS($AU$3:AU270,$Q$3:Q270,"S")</f>
        <v>3279.9999999999918</v>
      </c>
      <c r="BK269" s="87">
        <f>SUMIFS($AU$3:AU270,$P$3:P270,"W")</f>
        <v>8717.579999999929</v>
      </c>
      <c r="BL269" s="87">
        <f>SUMIFS($AU$3:AU270,$P$3:P270,"R")</f>
        <v>4981.9999999999991</v>
      </c>
      <c r="BM269" s="87">
        <f>SUMIFS($AU$3:AU270,$AQ$3:AQ270,"M")</f>
        <v>5219.3799999995472</v>
      </c>
      <c r="BN269" s="87">
        <f>SUMIFS($AU$3:AU270,$AQ$3:AQ270,"H")</f>
        <v>2931.2000000002599</v>
      </c>
      <c r="BO269" s="87">
        <f>SUMIFS($AU$3:AU270,$AQ$3:AQ270,"D")</f>
        <v>2066.0000000000009</v>
      </c>
      <c r="BP269" s="87">
        <f>SUMIFS($AU$3:AU357,$AQ$3:AQ357,"W")</f>
        <v>12022.400000000001</v>
      </c>
      <c r="BQ269" s="87">
        <f>SUMIFS($AU$3:AU270,$Q$3:Q270,"O")</f>
        <v>1770.5799999998073</v>
      </c>
      <c r="BR269" s="87">
        <f>SUMIFS($AU$3:AU270,$AA$3:AA270,"*")</f>
        <v>13239.799999999701</v>
      </c>
      <c r="BS269" s="87">
        <f>SUMIFS($AU$3:AU270,$AB$3:AB270,"*")</f>
        <v>4007.1799999999307</v>
      </c>
      <c r="BT269" s="87">
        <f>SUMIFS($AU$3:AU270,$AC$3:AC270,"*")</f>
        <v>7028.4</v>
      </c>
      <c r="BU269" s="87">
        <f>SUMIFS($AU$3:AU270,$AA$3:AA270,"*",$AB$3:AB270,"*")</f>
        <v>1855.9999999998222</v>
      </c>
      <c r="BV269" s="87">
        <f>SUMIFS($AU$3:AU270,$AA$3:AA270,"*",$AC$3:AC270,"*")</f>
        <v>6564.4</v>
      </c>
      <c r="BW269" s="87">
        <f>SUMIFS($AU$3:AU270,$AB$3:AB270,"*",$AC$3:AC270,"*")</f>
        <v>719.99999999999818</v>
      </c>
      <c r="BX269" s="87">
        <f>SUMIFS($AV$3:AV270,$Q$3:Q270,"F")</f>
        <v>237.28119764293677</v>
      </c>
      <c r="BY269" s="87">
        <f>SUMIFS($AV$3:AV270,$Q$3:Q270,"S")</f>
        <v>280.74781249396256</v>
      </c>
      <c r="BZ269" s="87">
        <f>SUMIFS($AV$3:AV270,$Q$3:Q270,"O")</f>
        <v>520.73999999985608</v>
      </c>
    </row>
    <row r="270" spans="1:78" ht="18" customHeight="1">
      <c r="A270" s="45" t="s">
        <v>1047</v>
      </c>
      <c r="B270" s="59">
        <v>45355</v>
      </c>
      <c r="C270" s="46" t="s">
        <v>1072</v>
      </c>
      <c r="D270" s="46" t="s">
        <v>176</v>
      </c>
      <c r="E270" s="66"/>
      <c r="F270" s="47"/>
      <c r="G270" s="106" t="s">
        <v>362</v>
      </c>
      <c r="H270" s="49"/>
      <c r="I270" s="49"/>
      <c r="J270" s="49"/>
      <c r="K270" s="50"/>
      <c r="L270" s="49">
        <v>1</v>
      </c>
      <c r="M270" s="49"/>
      <c r="N270" s="49"/>
      <c r="O270" s="50" t="s">
        <v>363</v>
      </c>
      <c r="P270" s="50" t="s">
        <v>126</v>
      </c>
      <c r="Q270" s="50"/>
      <c r="R270" s="50">
        <v>2</v>
      </c>
      <c r="S270" s="50">
        <v>0</v>
      </c>
      <c r="T270" s="50">
        <v>2</v>
      </c>
      <c r="U270" s="50" t="s">
        <v>102</v>
      </c>
      <c r="V270" s="50"/>
      <c r="W270" s="50"/>
      <c r="X270" s="50"/>
      <c r="Y270" s="51">
        <f>IF(ISBLANK(O270),"",(IF(O270=UPPER("IB"),0.005,0.01)))</f>
        <v>0.01</v>
      </c>
      <c r="Z270" s="52">
        <f>IF(ISBLANK(O270),"",IF(O270="IB",8.63*200,IF(O270="IR",16*100,IF(O270="YT",20*100,IF(O270="YT-XT",24*200,IF(O270="TED",80*100))))))</f>
        <v>8000</v>
      </c>
      <c r="AA270" s="52" t="s">
        <v>177</v>
      </c>
      <c r="AB270" s="52"/>
      <c r="AC270" s="52"/>
      <c r="AD270" s="231">
        <v>-0.06</v>
      </c>
      <c r="AE270" s="49"/>
      <c r="AF270" s="84"/>
      <c r="AG270" s="49"/>
      <c r="AH270" s="49"/>
      <c r="AI270" s="49"/>
      <c r="AJ270" s="226"/>
      <c r="AK270" s="49"/>
      <c r="AL270" s="113">
        <f t="shared" si="82"/>
        <v>-160</v>
      </c>
      <c r="AM270" s="113">
        <f t="shared" si="81"/>
        <v>-320</v>
      </c>
      <c r="AN270" s="218"/>
      <c r="AO270" s="49"/>
      <c r="AP270" s="49" t="s">
        <v>119</v>
      </c>
      <c r="AQ270" s="84" t="s">
        <v>142</v>
      </c>
      <c r="AR270" s="49" t="s">
        <v>1073</v>
      </c>
      <c r="AS270" s="55">
        <v>-0.06</v>
      </c>
      <c r="AT270" s="55">
        <f>IF(ISBLANK(AS270),,IF(U270="S",AD270-AS270,AS270-AD270))</f>
        <v>0</v>
      </c>
      <c r="AU270" s="54">
        <f>AV270*R270</f>
        <v>0</v>
      </c>
      <c r="AV270" s="56">
        <f t="shared" si="83"/>
        <v>0</v>
      </c>
      <c r="AW270" s="57" t="s">
        <v>155</v>
      </c>
      <c r="AX270" s="151" t="s">
        <v>1074</v>
      </c>
      <c r="AY270" s="151"/>
      <c r="AZ270" s="153"/>
      <c r="BA270" s="151"/>
      <c r="BB270" s="153"/>
      <c r="BC270" s="153"/>
      <c r="BD270" s="151"/>
      <c r="BE270" s="152"/>
      <c r="BF270" s="151"/>
      <c r="BG270" s="94">
        <f>SUM($AV$4:AV270)</f>
        <v>1246.7690101367634</v>
      </c>
      <c r="BH270" s="95">
        <f>SUM($AU$4:AU270)</f>
        <v>15454.979999999814</v>
      </c>
      <c r="BI270" s="80">
        <f>SUMIFS($AU$3:AU271,$Q$3:Q271,"F")</f>
        <v>10148.400000000001</v>
      </c>
      <c r="BJ270" s="80">
        <f>SUMIFS($AU$3:AU271,$Q$3:Q271,"S")</f>
        <v>3279.9999999999918</v>
      </c>
      <c r="BK270" s="87">
        <f>SUMIFS($AU$3:AU271,$P$3:P271,"W")</f>
        <v>8717.579999999929</v>
      </c>
      <c r="BL270" s="87">
        <f>SUMIFS($AU$3:AU271,$P$3:P271,"R")</f>
        <v>4981.9999999999991</v>
      </c>
      <c r="BM270" s="87">
        <f>SUMIFS($AU$3:AU271,$AQ$3:AQ271,"M")</f>
        <v>5219.3799999995472</v>
      </c>
      <c r="BN270" s="87">
        <f>SUMIFS($AU$3:AU271,$AQ$3:AQ271,"H")</f>
        <v>2931.2000000002599</v>
      </c>
      <c r="BO270" s="87">
        <f>SUMIFS($AU$3:AU271,$AQ$3:AQ271,"D")</f>
        <v>2066.0000000000009</v>
      </c>
      <c r="BP270" s="87">
        <f>SUMIFS($AU$3:AU358,$AQ$3:AQ358,"W")</f>
        <v>12022.400000000001</v>
      </c>
      <c r="BQ270" s="87">
        <f>SUMIFS($AU$3:AU271,$Q$3:Q271,"O")</f>
        <v>1770.5799999998073</v>
      </c>
      <c r="BR270" s="87">
        <f>SUMIFS($AU$3:AU271,$AA$3:AA271,"*")</f>
        <v>13239.799999999701</v>
      </c>
      <c r="BS270" s="87">
        <f>SUMIFS($AU$3:AU271,$AB$3:AB271,"*")</f>
        <v>4007.1799999999307</v>
      </c>
      <c r="BT270" s="87">
        <f>SUMIFS($AU$3:AU271,$AC$3:AC271,"*")</f>
        <v>7028.4</v>
      </c>
      <c r="BU270" s="87">
        <f>SUMIFS($AU$3:AU271,$AA$3:AA271,"*",$AB$3:AB271,"*")</f>
        <v>1855.9999999998222</v>
      </c>
      <c r="BV270" s="87">
        <f>SUMIFS($AU$3:AU271,$AA$3:AA271,"*",$AC$3:AC271,"*")</f>
        <v>6564.4</v>
      </c>
      <c r="BW270" s="87">
        <f>SUMIFS($AU$3:AU271,$AB$3:AB271,"*",$AC$3:AC271,"*")</f>
        <v>719.99999999999818</v>
      </c>
      <c r="BX270" s="87">
        <f>SUMIFS($AV$3:AV271,$Q$3:Q271,"F")</f>
        <v>237.28119764293677</v>
      </c>
      <c r="BY270" s="87">
        <f>SUMIFS($AV$3:AV271,$Q$3:Q271,"S")</f>
        <v>280.74781249396256</v>
      </c>
      <c r="BZ270" s="87">
        <f>SUMIFS($AV$3:AV271,$Q$3:Q271,"O")</f>
        <v>520.73999999985608</v>
      </c>
    </row>
    <row r="271" spans="1:78" ht="18" customHeight="1">
      <c r="A271" s="45" t="s">
        <v>1047</v>
      </c>
      <c r="B271" s="59"/>
      <c r="C271" s="46"/>
      <c r="D271" s="46"/>
      <c r="E271" s="66"/>
      <c r="F271" s="47"/>
      <c r="G271" s="48"/>
      <c r="H271" s="49"/>
      <c r="I271" s="49"/>
      <c r="J271" s="49"/>
      <c r="K271" s="50"/>
      <c r="L271" s="49"/>
      <c r="M271" s="49"/>
      <c r="N271" s="49"/>
      <c r="O271" s="50"/>
      <c r="P271" s="50"/>
      <c r="Q271" s="50"/>
      <c r="R271" s="50"/>
      <c r="S271" s="50"/>
      <c r="T271" s="50"/>
      <c r="U271" s="50"/>
      <c r="V271" s="50"/>
      <c r="W271" s="50"/>
      <c r="X271" s="50"/>
      <c r="Y271" s="51"/>
      <c r="Z271" s="52"/>
      <c r="AA271" s="52"/>
      <c r="AB271" s="52"/>
      <c r="AC271" s="52"/>
      <c r="AD271" s="231"/>
      <c r="AE271" s="49"/>
      <c r="AF271" s="84"/>
      <c r="AG271" s="49"/>
      <c r="AH271" s="49"/>
      <c r="AI271" s="49"/>
      <c r="AJ271" s="226"/>
      <c r="AK271" s="49"/>
      <c r="AL271" s="113">
        <f t="shared" si="82"/>
        <v>0</v>
      </c>
      <c r="AM271" s="113">
        <f t="shared" si="81"/>
        <v>0</v>
      </c>
      <c r="AN271" s="218"/>
      <c r="AO271" s="49"/>
      <c r="AP271" s="49"/>
      <c r="AQ271" s="84"/>
      <c r="AR271" s="49"/>
      <c r="AS271" s="55"/>
      <c r="AT271" s="55"/>
      <c r="AU271" s="54"/>
      <c r="AV271" s="56"/>
      <c r="AW271" s="57"/>
      <c r="AX271" s="151" t="s">
        <v>1075</v>
      </c>
      <c r="AY271" s="151" t="s">
        <v>1076</v>
      </c>
      <c r="AZ271" s="153" t="s">
        <v>1077</v>
      </c>
      <c r="BA271" s="151" t="s">
        <v>1078</v>
      </c>
      <c r="BB271" s="153"/>
      <c r="BC271" s="153"/>
      <c r="BD271" s="151" t="s">
        <v>1079</v>
      </c>
      <c r="BE271" s="152" t="s">
        <v>1080</v>
      </c>
      <c r="BF271" s="151"/>
      <c r="BG271" s="94">
        <f>SUM($AV$4:AV271)</f>
        <v>1246.7690101367634</v>
      </c>
      <c r="BH271" s="95">
        <f>SUM($AU$4:AU271)</f>
        <v>15454.979999999814</v>
      </c>
      <c r="BI271" s="80">
        <f>SUMIFS($AU$3:AU272,$Q$3:Q272,"F")</f>
        <v>10148.400000000001</v>
      </c>
      <c r="BJ271" s="80">
        <f>SUMIFS($AU$3:AU272,$Q$3:Q272,"S")</f>
        <v>3279.9999999999918</v>
      </c>
      <c r="BK271" s="87">
        <f>SUMIFS($AU$3:AU272,$P$3:P272,"W")</f>
        <v>8717.579999999929</v>
      </c>
      <c r="BL271" s="87">
        <f>SUMIFS($AU$3:AU272,$P$3:P272,"R")</f>
        <v>4981.9999999999991</v>
      </c>
      <c r="BM271" s="87">
        <f>SUMIFS($AU$3:AU272,$AQ$3:AQ272,"M")</f>
        <v>5219.3799999995472</v>
      </c>
      <c r="BN271" s="87">
        <f>SUMIFS($AU$3:AU272,$AQ$3:AQ272,"H")</f>
        <v>2931.2000000002599</v>
      </c>
      <c r="BO271" s="87">
        <f>SUMIFS($AU$3:AU272,$AQ$3:AQ272,"D")</f>
        <v>2066.0000000000009</v>
      </c>
      <c r="BP271" s="87">
        <f>SUMIFS($AU$3:AU359,$AQ$3:AQ359,"W")</f>
        <v>12022.400000000001</v>
      </c>
      <c r="BQ271" s="87">
        <f>SUMIFS($AU$3:AU272,$Q$3:Q272,"O")</f>
        <v>1770.5799999998073</v>
      </c>
      <c r="BR271" s="87">
        <f>SUMIFS($AU$3:AU272,$AA$3:AA272,"*")</f>
        <v>13239.799999999701</v>
      </c>
      <c r="BS271" s="87">
        <f>SUMIFS($AU$3:AU272,$AB$3:AB272,"*")</f>
        <v>4007.1799999999307</v>
      </c>
      <c r="BT271" s="87">
        <f>SUMIFS($AU$3:AU272,$AC$3:AC272,"*")</f>
        <v>7028.4</v>
      </c>
      <c r="BU271" s="87">
        <f>SUMIFS($AU$3:AU272,$AA$3:AA272,"*",$AB$3:AB272,"*")</f>
        <v>1855.9999999998222</v>
      </c>
      <c r="BV271" s="87">
        <f>SUMIFS($AU$3:AU272,$AA$3:AA272,"*",$AC$3:AC272,"*")</f>
        <v>6564.4</v>
      </c>
      <c r="BW271" s="87">
        <f>SUMIFS($AU$3:AU272,$AB$3:AB272,"*",$AC$3:AC272,"*")</f>
        <v>719.99999999999818</v>
      </c>
      <c r="BX271" s="87">
        <f>SUMIFS($AV$3:AV272,$Q$3:Q272,"F")</f>
        <v>237.28119764293677</v>
      </c>
      <c r="BY271" s="87">
        <f>SUMIFS($AV$3:AV272,$Q$3:Q272,"S")</f>
        <v>280.74781249396256</v>
      </c>
      <c r="BZ271" s="87">
        <f>SUMIFS($AV$3:AV272,$Q$3:Q272,"O")</f>
        <v>520.73999999985608</v>
      </c>
    </row>
    <row r="272" spans="1:78" ht="18" customHeight="1">
      <c r="A272" s="45" t="s">
        <v>1047</v>
      </c>
      <c r="B272" s="59">
        <v>45356</v>
      </c>
      <c r="C272" s="46" t="s">
        <v>1081</v>
      </c>
      <c r="D272" s="46" t="s">
        <v>98</v>
      </c>
      <c r="E272" s="66"/>
      <c r="F272" s="47"/>
      <c r="G272" s="104" t="s">
        <v>362</v>
      </c>
      <c r="H272" s="49"/>
      <c r="I272" s="49"/>
      <c r="J272" s="49"/>
      <c r="K272" s="50"/>
      <c r="L272" s="49">
        <v>1</v>
      </c>
      <c r="M272" s="49"/>
      <c r="N272" s="49"/>
      <c r="O272" s="50" t="s">
        <v>363</v>
      </c>
      <c r="P272" s="50" t="s">
        <v>126</v>
      </c>
      <c r="Q272" s="50"/>
      <c r="R272" s="50">
        <v>2</v>
      </c>
      <c r="S272" s="50">
        <v>0</v>
      </c>
      <c r="T272" s="50">
        <v>1</v>
      </c>
      <c r="U272" s="50" t="s">
        <v>22</v>
      </c>
      <c r="V272" s="50"/>
      <c r="W272" s="50"/>
      <c r="X272" s="50"/>
      <c r="Y272" s="51">
        <f>IF(ISBLANK(O272),"",(IF(O272=UPPER("IB"),0.005,0.01)))</f>
        <v>0.01</v>
      </c>
      <c r="Z272" s="52">
        <f>IF(ISBLANK(O272),"",IF(O272="IB",8.63*200,IF(O272="IR",16*100,IF(O272="YT",20*100,IF(O272="YT-XT",24*200,IF(O272="TED",80*100))))))</f>
        <v>8000</v>
      </c>
      <c r="AA272" s="52" t="s">
        <v>177</v>
      </c>
      <c r="AB272" s="52"/>
      <c r="AC272" s="52"/>
      <c r="AD272" s="231">
        <v>-7.0000000000000007E-2</v>
      </c>
      <c r="AE272" s="49"/>
      <c r="AF272" s="84"/>
      <c r="AG272" s="49"/>
      <c r="AH272" s="49"/>
      <c r="AI272" s="49"/>
      <c r="AJ272" s="226"/>
      <c r="AK272" s="49"/>
      <c r="AL272" s="113">
        <f t="shared" ref="AL272:AL283" si="84">-0.02*Z272</f>
        <v>-160</v>
      </c>
      <c r="AM272" s="113">
        <f t="shared" si="81"/>
        <v>-320</v>
      </c>
      <c r="AN272" s="218" t="s">
        <v>1082</v>
      </c>
      <c r="AO272" s="49"/>
      <c r="AP272" s="49" t="s">
        <v>1083</v>
      </c>
      <c r="AQ272" s="84" t="s">
        <v>142</v>
      </c>
      <c r="AR272" s="49" t="s">
        <v>1084</v>
      </c>
      <c r="AS272" s="55">
        <v>-7.0000000000000007E-2</v>
      </c>
      <c r="AT272" s="55">
        <f>IF(ISBLANK(AS272),,IF(U272="S",AD272-AS272,AS272-AD272))</f>
        <v>0</v>
      </c>
      <c r="AU272" s="54">
        <f>AV272*R272</f>
        <v>0</v>
      </c>
      <c r="AV272" s="56">
        <f t="shared" ref="AV272" si="85">IF(ISBLANK(AS272),,(AT272*Z272))</f>
        <v>0</v>
      </c>
      <c r="AW272" s="57" t="s">
        <v>155</v>
      </c>
      <c r="AX272" s="153" t="s">
        <v>1085</v>
      </c>
      <c r="AY272" s="153"/>
      <c r="AZ272" s="153"/>
      <c r="BA272" s="153"/>
      <c r="BB272" s="153"/>
      <c r="BC272" s="153"/>
      <c r="BD272" s="151"/>
      <c r="BE272" s="152"/>
      <c r="BF272" s="151"/>
      <c r="BG272" s="94">
        <f>SUM($AV$4:AV272)</f>
        <v>1246.7690101367634</v>
      </c>
      <c r="BH272" s="95">
        <f>SUM($AU$4:AU272)</f>
        <v>15454.979999999814</v>
      </c>
      <c r="BI272" s="80">
        <f>SUMIFS($AU$3:AU273,$Q$3:Q273,"F")</f>
        <v>10148.400000000001</v>
      </c>
      <c r="BJ272" s="80">
        <f>SUMIFS($AU$3:AU273,$Q$3:Q273,"S")</f>
        <v>3279.9999999999918</v>
      </c>
      <c r="BK272" s="87">
        <f>SUMIFS($AU$3:AU273,$P$3:P273,"W")</f>
        <v>8717.579999999929</v>
      </c>
      <c r="BL272" s="87">
        <f>SUMIFS($AU$3:AU273,$P$3:P273,"R")</f>
        <v>4981.9999999999991</v>
      </c>
      <c r="BM272" s="87">
        <f>SUMIFS($AU$3:AU273,$AQ$3:AQ273,"M")</f>
        <v>5219.3799999995472</v>
      </c>
      <c r="BN272" s="87">
        <f>SUMIFS($AU$3:AU273,$AQ$3:AQ273,"H")</f>
        <v>2931.2000000002599</v>
      </c>
      <c r="BO272" s="87">
        <f>SUMIFS($AU$3:AU273,$AQ$3:AQ273,"D")</f>
        <v>2066.0000000000009</v>
      </c>
      <c r="BP272" s="87">
        <f>SUMIFS($AU$3:AU360,$AQ$3:AQ360,"W")</f>
        <v>12022.400000000001</v>
      </c>
      <c r="BQ272" s="87">
        <f>SUMIFS($AU$3:AU273,$Q$3:Q273,"O")</f>
        <v>1770.5799999998073</v>
      </c>
      <c r="BR272" s="87">
        <f>SUMIFS($AU$3:AU273,$AA$3:AA273,"*")</f>
        <v>13239.799999999701</v>
      </c>
      <c r="BS272" s="87">
        <f>SUMIFS($AU$3:AU273,$AB$3:AB273,"*")</f>
        <v>4007.1799999999307</v>
      </c>
      <c r="BT272" s="87">
        <f>SUMIFS($AU$3:AU273,$AC$3:AC273,"*")</f>
        <v>7028.4</v>
      </c>
      <c r="BU272" s="87">
        <f>SUMIFS($AU$3:AU273,$AA$3:AA273,"*",$AB$3:AB273,"*")</f>
        <v>1855.9999999998222</v>
      </c>
      <c r="BV272" s="87">
        <f>SUMIFS($AU$3:AU273,$AA$3:AA273,"*",$AC$3:AC273,"*")</f>
        <v>6564.4</v>
      </c>
      <c r="BW272" s="87">
        <f>SUMIFS($AU$3:AU273,$AB$3:AB273,"*",$AC$3:AC273,"*")</f>
        <v>719.99999999999818</v>
      </c>
      <c r="BX272" s="87">
        <f>SUMIFS($AV$3:AV273,$Q$3:Q273,"F")</f>
        <v>237.28119764293677</v>
      </c>
      <c r="BY272" s="87">
        <f>SUMIFS($AV$3:AV273,$Q$3:Q273,"S")</f>
        <v>280.74781249396256</v>
      </c>
      <c r="BZ272" s="87">
        <f>SUMIFS($AV$3:AV273,$Q$3:Q273,"O")</f>
        <v>520.73999999985608</v>
      </c>
    </row>
    <row r="273" spans="1:78" ht="18" customHeight="1">
      <c r="A273" s="45" t="s">
        <v>1047</v>
      </c>
      <c r="B273" s="59">
        <v>45356</v>
      </c>
      <c r="C273" s="46" t="s">
        <v>1086</v>
      </c>
      <c r="D273" s="46" t="s">
        <v>98</v>
      </c>
      <c r="E273" s="66"/>
      <c r="F273" s="47"/>
      <c r="G273" s="104" t="s">
        <v>735</v>
      </c>
      <c r="H273" s="49"/>
      <c r="I273" s="49"/>
      <c r="J273" s="49"/>
      <c r="K273" s="50"/>
      <c r="L273" s="49">
        <v>1</v>
      </c>
      <c r="M273" s="49"/>
      <c r="N273" s="49"/>
      <c r="O273" s="50" t="s">
        <v>363</v>
      </c>
      <c r="P273" s="50" t="s">
        <v>126</v>
      </c>
      <c r="Q273" s="50"/>
      <c r="R273" s="50">
        <v>2</v>
      </c>
      <c r="S273" s="50">
        <v>0</v>
      </c>
      <c r="T273" s="50">
        <v>2</v>
      </c>
      <c r="U273" s="50" t="s">
        <v>22</v>
      </c>
      <c r="V273" s="50"/>
      <c r="W273" s="50"/>
      <c r="X273" s="50"/>
      <c r="Y273" s="51">
        <f>IF(ISBLANK(O273),"",(IF(O273=UPPER("IB"),0.005,0.01)))</f>
        <v>0.01</v>
      </c>
      <c r="Z273" s="52">
        <f>IF(ISBLANK(O273),"",IF(O273="IB",8.63*200,IF(O273="IR",16*100,IF(O273="YT",20*100,IF(O273="YT-XT",24*200,IF(O273="TED",80*100))))))</f>
        <v>8000</v>
      </c>
      <c r="AA273" s="52" t="s">
        <v>177</v>
      </c>
      <c r="AB273" s="52"/>
      <c r="AC273" s="52"/>
      <c r="AD273" s="231">
        <v>-0.24</v>
      </c>
      <c r="AE273" s="49"/>
      <c r="AF273" s="84"/>
      <c r="AG273" s="49"/>
      <c r="AH273" s="49"/>
      <c r="AI273" s="49"/>
      <c r="AJ273" s="226"/>
      <c r="AK273" s="49"/>
      <c r="AL273" s="113">
        <f t="shared" si="84"/>
        <v>-160</v>
      </c>
      <c r="AM273" s="113">
        <f t="shared" si="81"/>
        <v>-320</v>
      </c>
      <c r="AN273" s="218"/>
      <c r="AO273" s="49"/>
      <c r="AP273" s="49" t="s">
        <v>1087</v>
      </c>
      <c r="AQ273" s="84" t="s">
        <v>142</v>
      </c>
      <c r="AR273" s="49" t="s">
        <v>1088</v>
      </c>
      <c r="AS273" s="55">
        <v>-0.24</v>
      </c>
      <c r="AT273" s="55">
        <f>IF(ISBLANK(AS273),,IF(U273="S",AD273-AS273,AS273-AD273))</f>
        <v>0</v>
      </c>
      <c r="AU273" s="54">
        <f>AV273*R273</f>
        <v>0</v>
      </c>
      <c r="AV273" s="56">
        <f t="shared" ref="AV273" si="86">IF(ISBLANK(AS273),,(AT273*Z273))</f>
        <v>0</v>
      </c>
      <c r="AW273" s="57" t="s">
        <v>155</v>
      </c>
      <c r="AX273" s="153"/>
      <c r="AY273" s="153"/>
      <c r="AZ273" s="153"/>
      <c r="BA273" s="153"/>
      <c r="BB273" s="153"/>
      <c r="BC273" s="153"/>
      <c r="BD273" s="151"/>
      <c r="BE273" s="152"/>
      <c r="BF273" s="151"/>
      <c r="BG273" s="94">
        <f>SUM($AV$4:AV273)</f>
        <v>1246.7690101367634</v>
      </c>
      <c r="BH273" s="95">
        <f>SUM($AU$4:AU273)</f>
        <v>15454.979999999814</v>
      </c>
      <c r="BI273" s="80">
        <f>SUMIFS($AU$3:AU274,$Q$3:Q274,"F")</f>
        <v>10148.400000000001</v>
      </c>
      <c r="BJ273" s="80">
        <f>SUMIFS($AU$3:AU274,$Q$3:Q274,"S")</f>
        <v>3279.9999999999918</v>
      </c>
      <c r="BK273" s="87">
        <f>SUMIFS($AU$3:AU274,$P$3:P274,"W")</f>
        <v>8717.579999999929</v>
      </c>
      <c r="BL273" s="87">
        <f>SUMIFS($AU$3:AU274,$P$3:P274,"R")</f>
        <v>4981.9999999999991</v>
      </c>
      <c r="BM273" s="87">
        <f>SUMIFS($AU$3:AU274,$AQ$3:AQ274,"M")</f>
        <v>5219.3799999995472</v>
      </c>
      <c r="BN273" s="87">
        <f>SUMIFS($AU$3:AU274,$AQ$3:AQ274,"H")</f>
        <v>2931.2000000002599</v>
      </c>
      <c r="BO273" s="87">
        <f>SUMIFS($AU$3:AU274,$AQ$3:AQ274,"D")</f>
        <v>2066.0000000000009</v>
      </c>
      <c r="BP273" s="87">
        <f>SUMIFS($AU$3:AU361,$AQ$3:AQ361,"W")</f>
        <v>12022.400000000001</v>
      </c>
      <c r="BQ273" s="87">
        <f>SUMIFS($AU$3:AU274,$Q$3:Q274,"O")</f>
        <v>1770.5799999998073</v>
      </c>
      <c r="BR273" s="87">
        <f>SUMIFS($AU$3:AU274,$AA$3:AA274,"*")</f>
        <v>13239.799999999701</v>
      </c>
      <c r="BS273" s="87">
        <f>SUMIFS($AU$3:AU274,$AB$3:AB274,"*")</f>
        <v>4007.1799999999307</v>
      </c>
      <c r="BT273" s="87">
        <f>SUMIFS($AU$3:AU274,$AC$3:AC274,"*")</f>
        <v>7028.4</v>
      </c>
      <c r="BU273" s="87">
        <f>SUMIFS($AU$3:AU274,$AA$3:AA274,"*",$AB$3:AB274,"*")</f>
        <v>1855.9999999998222</v>
      </c>
      <c r="BV273" s="87">
        <f>SUMIFS($AU$3:AU274,$AA$3:AA274,"*",$AC$3:AC274,"*")</f>
        <v>6564.4</v>
      </c>
      <c r="BW273" s="87">
        <f>SUMIFS($AU$3:AU274,$AB$3:AB274,"*",$AC$3:AC274,"*")</f>
        <v>719.99999999999818</v>
      </c>
      <c r="BX273" s="87">
        <f>SUMIFS($AV$3:AV274,$Q$3:Q274,"F")</f>
        <v>237.28119764293677</v>
      </c>
      <c r="BY273" s="87">
        <f>SUMIFS($AV$3:AV274,$Q$3:Q274,"S")</f>
        <v>280.74781249396256</v>
      </c>
      <c r="BZ273" s="87">
        <f>SUMIFS($AV$3:AV274,$Q$3:Q274,"O")</f>
        <v>520.73999999985608</v>
      </c>
    </row>
    <row r="274" spans="1:78" ht="18" customHeight="1">
      <c r="A274" s="45" t="s">
        <v>1047</v>
      </c>
      <c r="B274" s="59">
        <v>45356</v>
      </c>
      <c r="C274" s="46" t="s">
        <v>493</v>
      </c>
      <c r="D274" s="46" t="s">
        <v>98</v>
      </c>
      <c r="E274" s="66" t="s">
        <v>1089</v>
      </c>
      <c r="F274" s="47" t="s">
        <v>636</v>
      </c>
      <c r="G274" s="48"/>
      <c r="H274" s="49"/>
      <c r="I274" s="49"/>
      <c r="J274" s="49">
        <v>1</v>
      </c>
      <c r="K274" s="50" t="s">
        <v>155</v>
      </c>
      <c r="L274" s="49"/>
      <c r="M274" s="49"/>
      <c r="N274" s="49"/>
      <c r="O274" s="50"/>
      <c r="P274" s="50"/>
      <c r="Q274" s="50"/>
      <c r="R274" s="50"/>
      <c r="S274" s="50"/>
      <c r="T274" s="50"/>
      <c r="U274" s="50"/>
      <c r="V274" s="50"/>
      <c r="W274" s="50"/>
      <c r="X274" s="50"/>
      <c r="Y274" s="50"/>
      <c r="Z274" s="50"/>
      <c r="AA274" s="52"/>
      <c r="AB274" s="52"/>
      <c r="AC274" s="52"/>
      <c r="AD274" s="231"/>
      <c r="AE274" s="49"/>
      <c r="AF274" s="84"/>
      <c r="AG274" s="49"/>
      <c r="AH274" s="49"/>
      <c r="AI274" s="49"/>
      <c r="AJ274" s="226"/>
      <c r="AK274" s="49"/>
      <c r="AL274" s="113">
        <f t="shared" si="84"/>
        <v>0</v>
      </c>
      <c r="AM274" s="113">
        <f t="shared" si="81"/>
        <v>0</v>
      </c>
      <c r="AN274" s="218"/>
      <c r="AO274" s="49"/>
      <c r="AP274" s="49"/>
      <c r="AQ274" s="84" t="str">
        <f>UPPER(RIGHT(Journal_Live[[#This Row],[DURATION ]]))</f>
        <v/>
      </c>
      <c r="AR274" s="49"/>
      <c r="AS274" s="55"/>
      <c r="AT274" s="55">
        <f>IF(ISBLANK(AS274),,IF(U274="S",AD274-AS274,AS274-AD274))</f>
        <v>0</v>
      </c>
      <c r="AU274" s="54">
        <f>AV274*R274</f>
        <v>0</v>
      </c>
      <c r="AV274" s="56">
        <f t="shared" ref="AV274" si="87">IF(ISBLANK(AS274),,(AT274*Z274))</f>
        <v>0</v>
      </c>
      <c r="AW274" s="57"/>
      <c r="AX274" s="153"/>
      <c r="AY274" s="153"/>
      <c r="AZ274" s="153"/>
      <c r="BA274" s="153"/>
      <c r="BB274" s="153"/>
      <c r="BC274" s="153"/>
      <c r="BD274" s="151"/>
      <c r="BE274" s="152"/>
      <c r="BF274" s="151"/>
      <c r="BG274" s="94">
        <f>SUM($AV$4:AV274)</f>
        <v>1246.7690101367634</v>
      </c>
      <c r="BH274" s="95">
        <f>SUM($AU$4:AU274)</f>
        <v>15454.979999999814</v>
      </c>
      <c r="BI274" s="80">
        <f>SUMIFS($AU$3:AU275,$Q$3:Q275,"F")</f>
        <v>12708.400000000001</v>
      </c>
      <c r="BJ274" s="80">
        <f>SUMIFS($AU$3:AU275,$Q$3:Q275,"S")</f>
        <v>3279.9999999999918</v>
      </c>
      <c r="BK274" s="87">
        <f>SUMIFS($AU$3:AU275,$P$3:P275,"W")</f>
        <v>11277.579999999929</v>
      </c>
      <c r="BL274" s="87">
        <f>SUMIFS($AU$3:AU275,$P$3:P275,"R")</f>
        <v>4981.9999999999991</v>
      </c>
      <c r="BM274" s="87">
        <f>SUMIFS($AU$3:AU275,$AQ$3:AQ275,"M")</f>
        <v>5219.3799999995472</v>
      </c>
      <c r="BN274" s="87">
        <f>SUMIFS($AU$3:AU275,$AQ$3:AQ275,"H")</f>
        <v>2931.2000000002599</v>
      </c>
      <c r="BO274" s="87">
        <f>SUMIFS($AU$3:AU275,$AQ$3:AQ275,"D")</f>
        <v>4626.0000000000009</v>
      </c>
      <c r="BP274" s="87">
        <f>SUMIFS($AU$3:AU362,$AQ$3:AQ362,"W")</f>
        <v>12022.400000000001</v>
      </c>
      <c r="BQ274" s="87">
        <f>SUMIFS($AU$3:AU275,$Q$3:Q275,"O")</f>
        <v>1770.5799999998073</v>
      </c>
      <c r="BR274" s="87">
        <f>SUMIFS($AU$3:AU275,$AA$3:AA275,"*")</f>
        <v>15799.799999999701</v>
      </c>
      <c r="BS274" s="87">
        <f>SUMIFS($AU$3:AU275,$AB$3:AB275,"*")</f>
        <v>6567.1799999999312</v>
      </c>
      <c r="BT274" s="87">
        <f>SUMIFS($AU$3:AU275,$AC$3:AC275,"*")</f>
        <v>9588.4</v>
      </c>
      <c r="BU274" s="87">
        <f>SUMIFS($AU$3:AU275,$AA$3:AA275,"*",$AB$3:AB275,"*")</f>
        <v>4415.9999999998217</v>
      </c>
      <c r="BV274" s="87">
        <f>SUMIFS($AU$3:AU275,$AA$3:AA275,"*",$AC$3:AC275,"*")</f>
        <v>9124.4</v>
      </c>
      <c r="BW274" s="87">
        <f>SUMIFS($AU$3:AU275,$AB$3:AB275,"*",$AC$3:AC275,"*")</f>
        <v>3279.9999999999982</v>
      </c>
      <c r="BX274" s="87">
        <f>SUMIFS($AV$3:AV275,$Q$3:Q275,"F")</f>
        <v>279.94786430960346</v>
      </c>
      <c r="BY274" s="87">
        <f>SUMIFS($AV$3:AV275,$Q$3:Q275,"S")</f>
        <v>280.74781249396256</v>
      </c>
      <c r="BZ274" s="87">
        <f>SUMIFS($AV$3:AV275,$Q$3:Q275,"O")</f>
        <v>520.73999999985608</v>
      </c>
    </row>
    <row r="275" spans="1:78" ht="18" customHeight="1">
      <c r="A275" s="45" t="s">
        <v>1047</v>
      </c>
      <c r="B275" s="59">
        <v>45356</v>
      </c>
      <c r="C275" s="46" t="s">
        <v>147</v>
      </c>
      <c r="D275" s="46" t="s">
        <v>98</v>
      </c>
      <c r="E275" s="66"/>
      <c r="F275" s="47"/>
      <c r="G275" s="155" t="s">
        <v>804</v>
      </c>
      <c r="H275" s="49"/>
      <c r="I275" s="49"/>
      <c r="J275" s="49"/>
      <c r="K275" s="50"/>
      <c r="L275" s="49">
        <v>1</v>
      </c>
      <c r="M275" s="49">
        <v>1</v>
      </c>
      <c r="N275" s="49"/>
      <c r="O275" s="50" t="s">
        <v>100</v>
      </c>
      <c r="P275" s="50" t="s">
        <v>101</v>
      </c>
      <c r="Q275" s="50" t="s">
        <v>127</v>
      </c>
      <c r="R275" s="50">
        <v>60</v>
      </c>
      <c r="S275" s="50">
        <v>40</v>
      </c>
      <c r="T275" s="50">
        <v>20</v>
      </c>
      <c r="U275" s="50" t="s">
        <v>22</v>
      </c>
      <c r="V275" s="50"/>
      <c r="W275" s="50"/>
      <c r="X275" s="50"/>
      <c r="Y275" s="51">
        <f>IF(ISBLANK(O275),"",(IF(O275=UPPER("IB"),0.005,0.01)))</f>
        <v>0.01</v>
      </c>
      <c r="Z275" s="52">
        <f>IF(ISBLANK(O275),"",IF(O275="IB",8.63*200,IF(O275="IR",16*100,IF(O275="YT",20*100,IF(O275="YT-XT",24*200,IF(O275="TED",80*100))))))</f>
        <v>1600</v>
      </c>
      <c r="AA275" s="52" t="s">
        <v>1090</v>
      </c>
      <c r="AB275" s="52" t="s">
        <v>1091</v>
      </c>
      <c r="AC275" s="52" t="s">
        <v>1092</v>
      </c>
      <c r="AD275" s="231">
        <f>(0*40+0.02*20)/60</f>
        <v>6.6666666666666671E-3</v>
      </c>
      <c r="AE275" s="49"/>
      <c r="AF275" s="84"/>
      <c r="AG275" s="49"/>
      <c r="AH275" s="49"/>
      <c r="AI275" s="96" t="s">
        <v>1093</v>
      </c>
      <c r="AJ275" s="226"/>
      <c r="AK275" s="49"/>
      <c r="AL275" s="113">
        <f t="shared" si="84"/>
        <v>-32</v>
      </c>
      <c r="AM275" s="113">
        <f t="shared" si="81"/>
        <v>-640</v>
      </c>
      <c r="AN275" s="218"/>
      <c r="AO275" s="49"/>
      <c r="AP275" s="49" t="s">
        <v>183</v>
      </c>
      <c r="AQ275" s="84" t="s">
        <v>155</v>
      </c>
      <c r="AR275" s="49" t="s">
        <v>1094</v>
      </c>
      <c r="AS275" s="55">
        <f>(0.03*40+0.04*20)/60</f>
        <v>3.3333333333333333E-2</v>
      </c>
      <c r="AT275" s="55">
        <f>IF(ISBLANK(AS275),,IF(U275="S",AD275-AS275,AS275-AD275))</f>
        <v>2.6666666666666665E-2</v>
      </c>
      <c r="AU275" s="54">
        <f>AV275*R275</f>
        <v>2560</v>
      </c>
      <c r="AV275" s="56">
        <f t="shared" ref="AV275" si="88">IF(ISBLANK(AS275),,(AT275*Z275))</f>
        <v>42.666666666666664</v>
      </c>
      <c r="AW275" s="57" t="s">
        <v>101</v>
      </c>
      <c r="AX275" s="153" t="s">
        <v>1095</v>
      </c>
      <c r="AY275" s="153" t="s">
        <v>1096</v>
      </c>
      <c r="AZ275" s="153" t="s">
        <v>1097</v>
      </c>
      <c r="BA275" s="153" t="s">
        <v>839</v>
      </c>
      <c r="BB275" s="153" t="s">
        <v>489</v>
      </c>
      <c r="BC275" s="153" t="s">
        <v>1098</v>
      </c>
      <c r="BD275" s="151"/>
      <c r="BE275" s="152"/>
      <c r="BF275" s="151"/>
      <c r="BG275" s="94">
        <f>SUM($AV$4:AV275)</f>
        <v>1289.4356768034302</v>
      </c>
      <c r="BH275" s="95">
        <f>SUM($AU$4:AU275)</f>
        <v>18014.979999999814</v>
      </c>
      <c r="BI275" s="80">
        <f>SUMIFS($AU$3:AU276,$Q$3:Q276,"F")</f>
        <v>12708.400000000001</v>
      </c>
      <c r="BJ275" s="80">
        <f>SUMIFS($AU$3:AU276,$Q$3:Q276,"S")</f>
        <v>3279.9999999999918</v>
      </c>
      <c r="BK275" s="87">
        <f>SUMIFS($AU$3:AU276,$P$3:P276,"W")</f>
        <v>11277.579999999929</v>
      </c>
      <c r="BL275" s="87">
        <f>SUMIFS($AU$3:AU276,$P$3:P276,"R")</f>
        <v>4981.9999999999991</v>
      </c>
      <c r="BM275" s="87">
        <f>SUMIFS($AU$3:AU276,$AQ$3:AQ276,"M")</f>
        <v>5219.3799999995472</v>
      </c>
      <c r="BN275" s="87">
        <f>SUMIFS($AU$3:AU276,$AQ$3:AQ276,"H")</f>
        <v>2931.2000000002599</v>
      </c>
      <c r="BO275" s="87">
        <f>SUMIFS($AU$3:AU276,$AQ$3:AQ276,"D")</f>
        <v>4626.0000000000009</v>
      </c>
      <c r="BP275" s="87">
        <f>SUMIFS($AU$3:AU363,$AQ$3:AQ363,"W")</f>
        <v>12022.400000000001</v>
      </c>
      <c r="BQ275" s="87">
        <f>SUMIFS($AU$3:AU276,$Q$3:Q276,"O")</f>
        <v>1770.5799999998073</v>
      </c>
      <c r="BR275" s="87">
        <f>SUMIFS($AU$3:AU276,$AA$3:AA276,"*")</f>
        <v>15799.799999999701</v>
      </c>
      <c r="BS275" s="87">
        <f>SUMIFS($AU$3:AU276,$AB$3:AB276,"*")</f>
        <v>6567.1799999999312</v>
      </c>
      <c r="BT275" s="87">
        <f>SUMIFS($AU$3:AU276,$AC$3:AC276,"*")</f>
        <v>9588.4</v>
      </c>
      <c r="BU275" s="87">
        <f>SUMIFS($AU$3:AU276,$AA$3:AA276,"*",$AB$3:AB276,"*")</f>
        <v>4415.9999999998217</v>
      </c>
      <c r="BV275" s="87">
        <f>SUMIFS($AU$3:AU276,$AA$3:AA276,"*",$AC$3:AC276,"*")</f>
        <v>9124.4</v>
      </c>
      <c r="BW275" s="87">
        <f>SUMIFS($AU$3:AU276,$AB$3:AB276,"*",$AC$3:AC276,"*")</f>
        <v>3279.9999999999982</v>
      </c>
      <c r="BX275" s="87">
        <f>SUMIFS($AV$3:AV276,$Q$3:Q276,"F")</f>
        <v>279.94786430960346</v>
      </c>
      <c r="BY275" s="87">
        <f>SUMIFS($AV$3:AV276,$Q$3:Q276,"S")</f>
        <v>280.74781249396256</v>
      </c>
      <c r="BZ275" s="87">
        <f>SUMIFS($AV$3:AV276,$Q$3:Q276,"O")</f>
        <v>520.73999999985608</v>
      </c>
    </row>
    <row r="276" spans="1:78" ht="18" customHeight="1">
      <c r="A276" s="45" t="s">
        <v>1047</v>
      </c>
      <c r="B276" s="59">
        <v>45357</v>
      </c>
      <c r="C276" s="46" t="s">
        <v>194</v>
      </c>
      <c r="D276" s="46" t="s">
        <v>186</v>
      </c>
      <c r="E276" s="66"/>
      <c r="F276" s="47"/>
      <c r="G276" s="48" t="s">
        <v>287</v>
      </c>
      <c r="H276" s="49"/>
      <c r="I276" s="49"/>
      <c r="J276" s="49"/>
      <c r="K276" s="50"/>
      <c r="L276" s="49"/>
      <c r="M276" s="49"/>
      <c r="N276" s="49"/>
      <c r="O276" s="50"/>
      <c r="P276" s="50"/>
      <c r="Q276" s="50"/>
      <c r="R276" s="50"/>
      <c r="S276" s="50"/>
      <c r="T276" s="50"/>
      <c r="U276" s="50"/>
      <c r="V276" s="50"/>
      <c r="W276" s="50"/>
      <c r="X276" s="50"/>
      <c r="Y276" s="51"/>
      <c r="Z276" s="52"/>
      <c r="AA276" s="52"/>
      <c r="AB276" s="52"/>
      <c r="AC276" s="52"/>
      <c r="AD276" s="231"/>
      <c r="AE276" s="49"/>
      <c r="AF276" s="84"/>
      <c r="AG276" s="49"/>
      <c r="AH276" s="49"/>
      <c r="AI276" s="49"/>
      <c r="AJ276" s="226"/>
      <c r="AK276" s="49"/>
      <c r="AL276" s="113">
        <f t="shared" si="84"/>
        <v>0</v>
      </c>
      <c r="AM276" s="113">
        <f t="shared" si="81"/>
        <v>0</v>
      </c>
      <c r="AN276" s="218"/>
      <c r="AO276" s="49"/>
      <c r="AP276" s="49"/>
      <c r="AQ276" s="84" t="str">
        <f>UPPER(RIGHT(Journal_Live[[#This Row],[DURATION ]]))</f>
        <v/>
      </c>
      <c r="AR276" s="49"/>
      <c r="AS276" s="55"/>
      <c r="AT276" s="55"/>
      <c r="AU276" s="54"/>
      <c r="AV276" s="56"/>
      <c r="AW276" s="57"/>
      <c r="AX276" s="153"/>
      <c r="AY276" s="153"/>
      <c r="AZ276" s="153"/>
      <c r="BA276" s="153"/>
      <c r="BB276" s="153"/>
      <c r="BC276" s="153"/>
      <c r="BD276" s="151"/>
      <c r="BE276" s="152"/>
      <c r="BF276" s="151"/>
      <c r="BG276" s="94">
        <f>SUM($AV$4:AV276)</f>
        <v>1289.4356768034302</v>
      </c>
      <c r="BH276" s="95">
        <f>SUM($AU$4:AU276)</f>
        <v>18014.979999999814</v>
      </c>
      <c r="BI276" s="80">
        <f>SUMIFS($AU$3:AU277,$Q$3:Q277,"F")</f>
        <v>12708.400000000001</v>
      </c>
      <c r="BJ276" s="80">
        <f>SUMIFS($AU$3:AU277,$Q$3:Q277,"S")</f>
        <v>3279.9999999999918</v>
      </c>
      <c r="BK276" s="87">
        <f>SUMIFS($AU$3:AU277,$P$3:P277,"W")</f>
        <v>11277.579999999929</v>
      </c>
      <c r="BL276" s="87">
        <f>SUMIFS($AU$3:AU277,$P$3:P277,"R")</f>
        <v>4981.9999999999991</v>
      </c>
      <c r="BM276" s="87">
        <f>SUMIFS($AU$3:AU277,$AQ$3:AQ277,"M")</f>
        <v>5219.3799999995472</v>
      </c>
      <c r="BN276" s="87">
        <f>SUMIFS($AU$3:AU277,$AQ$3:AQ277,"H")</f>
        <v>2931.2000000002599</v>
      </c>
      <c r="BO276" s="87">
        <f>SUMIFS($AU$3:AU277,$AQ$3:AQ277,"D")</f>
        <v>4626.0000000000009</v>
      </c>
      <c r="BP276" s="87">
        <f>SUMIFS($AU$3:AU364,$AQ$3:AQ364,"W")</f>
        <v>12022.400000000001</v>
      </c>
      <c r="BQ276" s="87">
        <f>SUMIFS($AU$3:AU277,$Q$3:Q277,"O")</f>
        <v>1770.5799999998073</v>
      </c>
      <c r="BR276" s="87">
        <f>SUMIFS($AU$3:AU277,$AA$3:AA277,"*")</f>
        <v>15799.799999999701</v>
      </c>
      <c r="BS276" s="87">
        <f>SUMIFS($AU$3:AU277,$AB$3:AB277,"*")</f>
        <v>6567.1799999999312</v>
      </c>
      <c r="BT276" s="87">
        <f>SUMIFS($AU$3:AU277,$AC$3:AC277,"*")</f>
        <v>9588.4</v>
      </c>
      <c r="BU276" s="87">
        <f>SUMIFS($AU$3:AU277,$AA$3:AA277,"*",$AB$3:AB277,"*")</f>
        <v>4415.9999999998217</v>
      </c>
      <c r="BV276" s="87">
        <f>SUMIFS($AU$3:AU277,$AA$3:AA277,"*",$AC$3:AC277,"*")</f>
        <v>9124.4</v>
      </c>
      <c r="BW276" s="87">
        <f>SUMIFS($AU$3:AU277,$AB$3:AB277,"*",$AC$3:AC277,"*")</f>
        <v>3279.9999999999982</v>
      </c>
      <c r="BX276" s="87">
        <f>SUMIFS($AV$3:AV277,$Q$3:Q277,"F")</f>
        <v>279.94786430960346</v>
      </c>
      <c r="BY276" s="87">
        <f>SUMIFS($AV$3:AV277,$Q$3:Q277,"S")</f>
        <v>280.74781249396256</v>
      </c>
      <c r="BZ276" s="87">
        <f>SUMIFS($AV$3:AV277,$Q$3:Q277,"O")</f>
        <v>520.73999999985608</v>
      </c>
    </row>
    <row r="277" spans="1:78" ht="18" customHeight="1">
      <c r="A277" s="45" t="s">
        <v>1047</v>
      </c>
      <c r="B277" s="59">
        <v>45357</v>
      </c>
      <c r="C277" s="46" t="s">
        <v>470</v>
      </c>
      <c r="D277" s="46" t="s">
        <v>186</v>
      </c>
      <c r="E277" s="66" t="s">
        <v>1099</v>
      </c>
      <c r="F277" s="47"/>
      <c r="G277" s="48"/>
      <c r="H277" s="49">
        <v>1</v>
      </c>
      <c r="I277" s="49"/>
      <c r="J277" s="49"/>
      <c r="K277" s="50" t="s">
        <v>142</v>
      </c>
      <c r="L277" s="49"/>
      <c r="M277" s="49"/>
      <c r="N277" s="49"/>
      <c r="O277" s="50"/>
      <c r="P277" s="50"/>
      <c r="Q277" s="50"/>
      <c r="R277" s="50"/>
      <c r="S277" s="50"/>
      <c r="T277" s="50"/>
      <c r="U277" s="50"/>
      <c r="V277" s="50"/>
      <c r="W277" s="50"/>
      <c r="X277" s="50"/>
      <c r="Y277" s="50"/>
      <c r="Z277" s="50"/>
      <c r="AA277" s="52"/>
      <c r="AB277" s="52"/>
      <c r="AC277" s="52"/>
      <c r="AD277" s="231"/>
      <c r="AE277" s="49"/>
      <c r="AF277" s="84"/>
      <c r="AG277" s="49"/>
      <c r="AH277" s="49"/>
      <c r="AI277" s="49"/>
      <c r="AJ277" s="226"/>
      <c r="AK277" s="49"/>
      <c r="AL277" s="113">
        <f t="shared" si="84"/>
        <v>0</v>
      </c>
      <c r="AM277" s="113">
        <f t="shared" si="81"/>
        <v>0</v>
      </c>
      <c r="AN277" s="218"/>
      <c r="AO277" s="49"/>
      <c r="AP277" s="49"/>
      <c r="AQ277" s="84" t="str">
        <f>UPPER(RIGHT(Journal_Live[[#This Row],[DURATION ]]))</f>
        <v/>
      </c>
      <c r="AR277" s="49"/>
      <c r="AS277" s="55"/>
      <c r="AT277" s="55"/>
      <c r="AU277" s="54"/>
      <c r="AV277" s="56"/>
      <c r="AW277" s="57"/>
      <c r="AX277" s="153"/>
      <c r="AY277" s="153"/>
      <c r="AZ277" s="153"/>
      <c r="BA277" s="153"/>
      <c r="BB277" s="153"/>
      <c r="BC277" s="153"/>
      <c r="BD277" s="151"/>
      <c r="BE277" s="152"/>
      <c r="BF277" s="151"/>
      <c r="BG277" s="94">
        <f>SUM($AV$4:AV277)</f>
        <v>1289.4356768034302</v>
      </c>
      <c r="BH277" s="95">
        <f>SUM($AU$4:AU277)</f>
        <v>18014.979999999814</v>
      </c>
      <c r="BI277" s="80">
        <f>SUMIFS($AU$3:AU278,$Q$3:Q278,"F")</f>
        <v>12708.400000000001</v>
      </c>
      <c r="BJ277" s="80">
        <f>SUMIFS($AU$3:AU278,$Q$3:Q278,"S")</f>
        <v>3279.9999999999918</v>
      </c>
      <c r="BK277" s="87">
        <f>SUMIFS($AU$3:AU278,$P$3:P278,"W")</f>
        <v>11277.579999999929</v>
      </c>
      <c r="BL277" s="87">
        <f>SUMIFS($AU$3:AU278,$P$3:P278,"R")</f>
        <v>4981.9999999999991</v>
      </c>
      <c r="BM277" s="87">
        <f>SUMIFS($AU$3:AU278,$AQ$3:AQ278,"M")</f>
        <v>5219.3799999995472</v>
      </c>
      <c r="BN277" s="87">
        <f>SUMIFS($AU$3:AU278,$AQ$3:AQ278,"H")</f>
        <v>2931.2000000002599</v>
      </c>
      <c r="BO277" s="87">
        <f>SUMIFS($AU$3:AU278,$AQ$3:AQ278,"D")</f>
        <v>4626.0000000000009</v>
      </c>
      <c r="BP277" s="87">
        <f>SUMIFS($AU$3:AU365,$AQ$3:AQ365,"W")</f>
        <v>12022.400000000001</v>
      </c>
      <c r="BQ277" s="87">
        <f>SUMIFS($AU$3:AU278,$Q$3:Q278,"O")</f>
        <v>1770.5799999998073</v>
      </c>
      <c r="BR277" s="87">
        <f>SUMIFS($AU$3:AU278,$AA$3:AA278,"*")</f>
        <v>15799.799999999701</v>
      </c>
      <c r="BS277" s="87">
        <f>SUMIFS($AU$3:AU278,$AB$3:AB278,"*")</f>
        <v>6567.1799999999312</v>
      </c>
      <c r="BT277" s="87">
        <f>SUMIFS($AU$3:AU278,$AC$3:AC278,"*")</f>
        <v>9588.4</v>
      </c>
      <c r="BU277" s="87">
        <f>SUMIFS($AU$3:AU278,$AA$3:AA278,"*",$AB$3:AB278,"*")</f>
        <v>4415.9999999998217</v>
      </c>
      <c r="BV277" s="87">
        <f>SUMIFS($AU$3:AU278,$AA$3:AA278,"*",$AC$3:AC278,"*")</f>
        <v>9124.4</v>
      </c>
      <c r="BW277" s="87">
        <f>SUMIFS($AU$3:AU278,$AB$3:AB278,"*",$AC$3:AC278,"*")</f>
        <v>3279.9999999999982</v>
      </c>
      <c r="BX277" s="87">
        <f>SUMIFS($AV$3:AV278,$Q$3:Q278,"F")</f>
        <v>279.94786430960346</v>
      </c>
      <c r="BY277" s="87">
        <f>SUMIFS($AV$3:AV278,$Q$3:Q278,"S")</f>
        <v>280.74781249396256</v>
      </c>
      <c r="BZ277" s="87">
        <f>SUMIFS($AV$3:AV278,$Q$3:Q278,"O")</f>
        <v>520.73999999985608</v>
      </c>
    </row>
    <row r="278" spans="1:78" ht="18" customHeight="1">
      <c r="A278" s="45" t="s">
        <v>1047</v>
      </c>
      <c r="B278" s="59">
        <v>45357</v>
      </c>
      <c r="C278" s="46" t="s">
        <v>1100</v>
      </c>
      <c r="D278" s="46" t="s">
        <v>186</v>
      </c>
      <c r="E278" s="66" t="s">
        <v>1101</v>
      </c>
      <c r="F278" s="47"/>
      <c r="G278" s="48"/>
      <c r="H278" s="49"/>
      <c r="I278" s="49"/>
      <c r="J278" s="49">
        <v>1</v>
      </c>
      <c r="K278" s="50" t="s">
        <v>155</v>
      </c>
      <c r="L278" s="49"/>
      <c r="M278" s="49"/>
      <c r="N278" s="49"/>
      <c r="O278" s="50"/>
      <c r="P278" s="50"/>
      <c r="Q278" s="50"/>
      <c r="R278" s="50"/>
      <c r="S278" s="50"/>
      <c r="T278" s="50"/>
      <c r="U278" s="50"/>
      <c r="V278" s="50"/>
      <c r="W278" s="50"/>
      <c r="X278" s="50"/>
      <c r="Y278" s="50"/>
      <c r="Z278" s="50"/>
      <c r="AA278" s="52"/>
      <c r="AB278" s="52"/>
      <c r="AC278" s="52"/>
      <c r="AD278" s="231"/>
      <c r="AE278" s="49"/>
      <c r="AF278" s="84"/>
      <c r="AG278" s="49"/>
      <c r="AH278" s="49"/>
      <c r="AI278" s="49"/>
      <c r="AJ278" s="226"/>
      <c r="AK278" s="49"/>
      <c r="AL278" s="113">
        <f t="shared" si="84"/>
        <v>0</v>
      </c>
      <c r="AM278" s="113">
        <f t="shared" si="81"/>
        <v>0</v>
      </c>
      <c r="AN278" s="218"/>
      <c r="AO278" s="49"/>
      <c r="AP278" s="49"/>
      <c r="AQ278" s="84" t="str">
        <f>UPPER(RIGHT(Journal_Live[[#This Row],[DURATION ]]))</f>
        <v/>
      </c>
      <c r="AR278" s="49"/>
      <c r="AS278" s="55"/>
      <c r="AT278" s="55"/>
      <c r="AU278" s="54"/>
      <c r="AV278" s="56"/>
      <c r="AW278" s="57"/>
      <c r="AX278" s="153"/>
      <c r="AY278" s="153"/>
      <c r="AZ278" s="153"/>
      <c r="BA278" s="153"/>
      <c r="BB278" s="153"/>
      <c r="BC278" s="153"/>
      <c r="BD278" s="151"/>
      <c r="BE278" s="152"/>
      <c r="BF278" s="151"/>
      <c r="BG278" s="94">
        <f>SUM($AV$4:AV278)</f>
        <v>1289.4356768034302</v>
      </c>
      <c r="BH278" s="95">
        <f>SUM($AU$4:AU278)</f>
        <v>18014.979999999814</v>
      </c>
      <c r="BI278" s="80">
        <f>SUMIFS($AU$3:AU279,$Q$3:Q279,"F")</f>
        <v>12708.400000000001</v>
      </c>
      <c r="BJ278" s="80">
        <f>SUMIFS($AU$3:AU279,$Q$3:Q279,"S")</f>
        <v>3279.9999999999918</v>
      </c>
      <c r="BK278" s="87">
        <f>SUMIFS($AU$3:AU279,$P$3:P279,"W")</f>
        <v>11277.579999999929</v>
      </c>
      <c r="BL278" s="87">
        <f>SUMIFS($AU$3:AU279,$P$3:P279,"R")</f>
        <v>4981.9999999999991</v>
      </c>
      <c r="BM278" s="87">
        <f>SUMIFS($AU$3:AU279,$AQ$3:AQ279,"M")</f>
        <v>5219.3799999995472</v>
      </c>
      <c r="BN278" s="87">
        <f>SUMIFS($AU$3:AU279,$AQ$3:AQ279,"H")</f>
        <v>2931.2000000002599</v>
      </c>
      <c r="BO278" s="87">
        <f>SUMIFS($AU$3:AU279,$AQ$3:AQ279,"D")</f>
        <v>4626.0000000000009</v>
      </c>
      <c r="BP278" s="87">
        <f>SUMIFS($AU$3:AU366,$AQ$3:AQ366,"W")</f>
        <v>12022.400000000001</v>
      </c>
      <c r="BQ278" s="87">
        <f>SUMIFS($AU$3:AU279,$Q$3:Q279,"O")</f>
        <v>1770.5799999998073</v>
      </c>
      <c r="BR278" s="87">
        <f>SUMIFS($AU$3:AU279,$AA$3:AA279,"*")</f>
        <v>15799.799999999701</v>
      </c>
      <c r="BS278" s="87">
        <f>SUMIFS($AU$3:AU279,$AB$3:AB279,"*")</f>
        <v>6567.1799999999312</v>
      </c>
      <c r="BT278" s="87">
        <f>SUMIFS($AU$3:AU279,$AC$3:AC279,"*")</f>
        <v>9588.4</v>
      </c>
      <c r="BU278" s="87">
        <f>SUMIFS($AU$3:AU279,$AA$3:AA279,"*",$AB$3:AB279,"*")</f>
        <v>4415.9999999998217</v>
      </c>
      <c r="BV278" s="87">
        <f>SUMIFS($AU$3:AU279,$AA$3:AA279,"*",$AC$3:AC279,"*")</f>
        <v>9124.4</v>
      </c>
      <c r="BW278" s="87">
        <f>SUMIFS($AU$3:AU279,$AB$3:AB279,"*",$AC$3:AC279,"*")</f>
        <v>3279.9999999999982</v>
      </c>
      <c r="BX278" s="87">
        <f>SUMIFS($AV$3:AV279,$Q$3:Q279,"F")</f>
        <v>279.94786430960346</v>
      </c>
      <c r="BY278" s="87">
        <f>SUMIFS($AV$3:AV279,$Q$3:Q279,"S")</f>
        <v>280.74781249396256</v>
      </c>
      <c r="BZ278" s="87">
        <f>SUMIFS($AV$3:AV279,$Q$3:Q279,"O")</f>
        <v>520.73999999985608</v>
      </c>
    </row>
    <row r="279" spans="1:78" ht="18" customHeight="1">
      <c r="A279" s="45" t="s">
        <v>1047</v>
      </c>
      <c r="B279" s="59">
        <v>45357</v>
      </c>
      <c r="C279" s="46" t="s">
        <v>147</v>
      </c>
      <c r="D279" s="46" t="s">
        <v>186</v>
      </c>
      <c r="E279" s="66"/>
      <c r="F279" s="47"/>
      <c r="G279" s="48" t="s">
        <v>195</v>
      </c>
      <c r="H279" s="49"/>
      <c r="I279" s="49"/>
      <c r="J279" s="49"/>
      <c r="K279" s="50"/>
      <c r="L279" s="49">
        <v>1</v>
      </c>
      <c r="M279" s="49"/>
      <c r="N279" s="49"/>
      <c r="O279" s="50" t="s">
        <v>196</v>
      </c>
      <c r="P279" s="50" t="s">
        <v>197</v>
      </c>
      <c r="Q279" s="50" t="s">
        <v>198</v>
      </c>
      <c r="R279" s="50">
        <v>1</v>
      </c>
      <c r="S279" s="50">
        <v>0</v>
      </c>
      <c r="T279" s="50">
        <v>1</v>
      </c>
      <c r="U279" s="50" t="s">
        <v>22</v>
      </c>
      <c r="V279" s="50"/>
      <c r="W279" s="50"/>
      <c r="X279" s="50"/>
      <c r="Y279" s="51">
        <f>IF(ISBLANK(O279),"",(IF(O279=UPPER("IB"),0.005,0.01)))</f>
        <v>0.01</v>
      </c>
      <c r="Z279" s="52">
        <f>IF(ISBLANK(O279),"",IF(O279="IB",8.63*200,IF(O279="IR",16*100,IF(O279="YT",20*100,IF(O279="YT-XT",24*200,IF(O279="TED",80*100,IF(O279="XT",29*200)))))))</f>
        <v>5800</v>
      </c>
      <c r="AA279" s="52" t="s">
        <v>1102</v>
      </c>
      <c r="AB279" s="52"/>
      <c r="AC279" s="52"/>
      <c r="AD279" s="231">
        <v>95.8</v>
      </c>
      <c r="AE279" s="49"/>
      <c r="AF279" s="84"/>
      <c r="AG279" s="49"/>
      <c r="AH279" s="49"/>
      <c r="AI279" s="49"/>
      <c r="AJ279" s="226"/>
      <c r="AK279" s="49"/>
      <c r="AL279" s="113">
        <f t="shared" si="84"/>
        <v>-116</v>
      </c>
      <c r="AM279" s="113">
        <f t="shared" si="81"/>
        <v>-116</v>
      </c>
      <c r="AN279" s="218"/>
      <c r="AO279" s="49"/>
      <c r="AP279" s="49" t="s">
        <v>1103</v>
      </c>
      <c r="AQ279" s="84" t="s">
        <v>350</v>
      </c>
      <c r="AR279" s="49"/>
      <c r="AS279" s="55">
        <v>95.8</v>
      </c>
      <c r="AT279" s="55">
        <f>IF(ISBLANK(AS279),,IF(U279="S",AD279-AS279,AS279-AD279))</f>
        <v>0</v>
      </c>
      <c r="AU279" s="54">
        <f>AV279*R279</f>
        <v>0</v>
      </c>
      <c r="AV279" s="56">
        <f t="shared" ref="AV279" si="89">IF(ISBLANK(AS279),,(AT279*Z279))</f>
        <v>0</v>
      </c>
      <c r="AW279" s="57" t="s">
        <v>155</v>
      </c>
      <c r="AX279" s="153"/>
      <c r="AY279" s="153"/>
      <c r="AZ279" s="153"/>
      <c r="BA279" s="153"/>
      <c r="BB279" s="153"/>
      <c r="BC279" s="153"/>
      <c r="BD279" s="151"/>
      <c r="BE279" s="152"/>
      <c r="BF279" s="151"/>
      <c r="BG279" s="94">
        <f>SUM($AV$4:AV279)</f>
        <v>1289.4356768034302</v>
      </c>
      <c r="BH279" s="95">
        <f>SUM($AU$4:AU279)</f>
        <v>18014.979999999814</v>
      </c>
      <c r="BI279" s="80">
        <f>SUMIFS($AU$3:AU280,$Q$3:Q280,"F")</f>
        <v>12708.400000000001</v>
      </c>
      <c r="BJ279" s="80">
        <f>SUMIFS($AU$3:AU280,$Q$3:Q280,"S")</f>
        <v>3279.9999999999918</v>
      </c>
      <c r="BK279" s="87">
        <f>SUMIFS($AU$3:AU280,$P$3:P280,"W")</f>
        <v>11277.579999999929</v>
      </c>
      <c r="BL279" s="87">
        <f>SUMIFS($AU$3:AU280,$P$3:P280,"R")</f>
        <v>4981.9999999999991</v>
      </c>
      <c r="BM279" s="87">
        <f>SUMIFS($AU$3:AU280,$AQ$3:AQ280,"M")</f>
        <v>5219.3799999995472</v>
      </c>
      <c r="BN279" s="87">
        <f>SUMIFS($AU$3:AU280,$AQ$3:AQ280,"H")</f>
        <v>2931.2000000002599</v>
      </c>
      <c r="BO279" s="87">
        <f>SUMIFS($AU$3:AU280,$AQ$3:AQ280,"D")</f>
        <v>4626.0000000000009</v>
      </c>
      <c r="BP279" s="87">
        <f>SUMIFS($AU$3:AU367,$AQ$3:AQ367,"W")</f>
        <v>12022.400000000001</v>
      </c>
      <c r="BQ279" s="87">
        <f>SUMIFS($AU$3:AU280,$Q$3:Q280,"O")</f>
        <v>1770.5799999998073</v>
      </c>
      <c r="BR279" s="87">
        <f>SUMIFS($AU$3:AU280,$AA$3:AA280,"*")</f>
        <v>15799.799999999701</v>
      </c>
      <c r="BS279" s="87">
        <f>SUMIFS($AU$3:AU280,$AB$3:AB280,"*")</f>
        <v>6567.1799999999312</v>
      </c>
      <c r="BT279" s="87">
        <f>SUMIFS($AU$3:AU280,$AC$3:AC280,"*")</f>
        <v>9588.4</v>
      </c>
      <c r="BU279" s="87">
        <f>SUMIFS($AU$3:AU280,$AA$3:AA280,"*",$AB$3:AB280,"*")</f>
        <v>4415.9999999998217</v>
      </c>
      <c r="BV279" s="87">
        <f>SUMIFS($AU$3:AU280,$AA$3:AA280,"*",$AC$3:AC280,"*")</f>
        <v>9124.4</v>
      </c>
      <c r="BW279" s="87">
        <f>SUMIFS($AU$3:AU280,$AB$3:AB280,"*",$AC$3:AC280,"*")</f>
        <v>3279.9999999999982</v>
      </c>
      <c r="BX279" s="87">
        <f>SUMIFS($AV$3:AV280,$Q$3:Q280,"F")</f>
        <v>279.94786430960346</v>
      </c>
      <c r="BY279" s="87">
        <f>SUMIFS($AV$3:AV280,$Q$3:Q280,"S")</f>
        <v>280.74781249396256</v>
      </c>
      <c r="BZ279" s="87">
        <f>SUMIFS($AV$3:AV280,$Q$3:Q280,"O")</f>
        <v>520.73999999985608</v>
      </c>
    </row>
    <row r="280" spans="1:78" ht="18" customHeight="1">
      <c r="A280" s="45" t="s">
        <v>1047</v>
      </c>
      <c r="B280" s="59">
        <v>45357</v>
      </c>
      <c r="C280" s="46" t="s">
        <v>209</v>
      </c>
      <c r="D280" s="46" t="s">
        <v>186</v>
      </c>
      <c r="E280" s="66"/>
      <c r="F280" s="47"/>
      <c r="G280" s="48" t="s">
        <v>116</v>
      </c>
      <c r="H280" s="49"/>
      <c r="I280" s="49"/>
      <c r="J280" s="49"/>
      <c r="K280" s="50"/>
      <c r="L280" s="49"/>
      <c r="M280" s="49"/>
      <c r="N280" s="49"/>
      <c r="O280" s="50"/>
      <c r="P280" s="50"/>
      <c r="Q280" s="50"/>
      <c r="R280" s="50"/>
      <c r="S280" s="50"/>
      <c r="T280" s="50"/>
      <c r="U280" s="50"/>
      <c r="V280" s="50"/>
      <c r="W280" s="50"/>
      <c r="X280" s="50"/>
      <c r="Y280" s="51"/>
      <c r="Z280" s="52"/>
      <c r="AA280" s="52"/>
      <c r="AB280" s="52"/>
      <c r="AC280" s="52"/>
      <c r="AD280" s="231"/>
      <c r="AE280" s="49"/>
      <c r="AF280" s="84"/>
      <c r="AG280" s="49"/>
      <c r="AH280" s="49"/>
      <c r="AI280" s="49"/>
      <c r="AJ280" s="226"/>
      <c r="AK280" s="49"/>
      <c r="AL280" s="113">
        <f t="shared" si="84"/>
        <v>0</v>
      </c>
      <c r="AM280" s="113">
        <f t="shared" si="81"/>
        <v>0</v>
      </c>
      <c r="AN280" s="218"/>
      <c r="AO280" s="49"/>
      <c r="AP280" s="49"/>
      <c r="AQ280" s="84" t="str">
        <f>UPPER(RIGHT(Journal_Live[[#This Row],[DURATION ]]))</f>
        <v/>
      </c>
      <c r="AR280" s="49"/>
      <c r="AS280" s="55"/>
      <c r="AT280" s="55"/>
      <c r="AU280" s="54"/>
      <c r="AV280" s="56"/>
      <c r="AW280" s="57"/>
      <c r="AX280" s="153"/>
      <c r="AY280" s="153"/>
      <c r="AZ280" s="153"/>
      <c r="BA280" s="153"/>
      <c r="BB280" s="153"/>
      <c r="BC280" s="153"/>
      <c r="BD280" s="151"/>
      <c r="BE280" s="152"/>
      <c r="BF280" s="151"/>
      <c r="BG280" s="94">
        <f>SUM($AV$4:AV280)</f>
        <v>1289.4356768034302</v>
      </c>
      <c r="BH280" s="95">
        <f>SUM($AU$4:AU280)</f>
        <v>18014.979999999814</v>
      </c>
      <c r="BI280" s="80">
        <f>SUMIFS($AU$3:AU281,$Q$3:Q281,"F")</f>
        <v>12708.400000000001</v>
      </c>
      <c r="BJ280" s="80">
        <f>SUMIFS($AU$3:AU281,$Q$3:Q281,"S")</f>
        <v>3279.9999999999918</v>
      </c>
      <c r="BK280" s="87">
        <f>SUMIFS($AU$3:AU281,$P$3:P281,"W")</f>
        <v>11277.579999999929</v>
      </c>
      <c r="BL280" s="87">
        <f>SUMIFS($AU$3:AU281,$P$3:P281,"R")</f>
        <v>4981.9999999999991</v>
      </c>
      <c r="BM280" s="87">
        <f>SUMIFS($AU$3:AU281,$AQ$3:AQ281,"M")</f>
        <v>5219.3799999995472</v>
      </c>
      <c r="BN280" s="87">
        <f>SUMIFS($AU$3:AU281,$AQ$3:AQ281,"H")</f>
        <v>2931.2000000002599</v>
      </c>
      <c r="BO280" s="87">
        <f>SUMIFS($AU$3:AU281,$AQ$3:AQ281,"D")</f>
        <v>4626.0000000000009</v>
      </c>
      <c r="BP280" s="87">
        <f>SUMIFS($AU$3:AU368,$AQ$3:AQ368,"W")</f>
        <v>12022.400000000001</v>
      </c>
      <c r="BQ280" s="87">
        <f>SUMIFS($AU$3:AU281,$Q$3:Q281,"O")</f>
        <v>1770.5799999998073</v>
      </c>
      <c r="BR280" s="87">
        <f>SUMIFS($AU$3:AU281,$AA$3:AA281,"*")</f>
        <v>15799.799999999701</v>
      </c>
      <c r="BS280" s="87">
        <f>SUMIFS($AU$3:AU281,$AB$3:AB281,"*")</f>
        <v>6567.1799999999312</v>
      </c>
      <c r="BT280" s="87">
        <f>SUMIFS($AU$3:AU281,$AC$3:AC281,"*")</f>
        <v>9588.4</v>
      </c>
      <c r="BU280" s="87">
        <f>SUMIFS($AU$3:AU281,$AA$3:AA281,"*",$AB$3:AB281,"*")</f>
        <v>4415.9999999998217</v>
      </c>
      <c r="BV280" s="87">
        <f>SUMIFS($AU$3:AU281,$AA$3:AA281,"*",$AC$3:AC281,"*")</f>
        <v>9124.4</v>
      </c>
      <c r="BW280" s="87">
        <f>SUMIFS($AU$3:AU281,$AB$3:AB281,"*",$AC$3:AC281,"*")</f>
        <v>3279.9999999999982</v>
      </c>
      <c r="BX280" s="87">
        <f>SUMIFS($AV$3:AV281,$Q$3:Q281,"F")</f>
        <v>279.94786430960346</v>
      </c>
      <c r="BY280" s="87">
        <f>SUMIFS($AV$3:AV281,$Q$3:Q281,"S")</f>
        <v>280.74781249396256</v>
      </c>
      <c r="BZ280" s="87">
        <f>SUMIFS($AV$3:AV281,$Q$3:Q281,"O")</f>
        <v>520.73999999985608</v>
      </c>
    </row>
    <row r="281" spans="1:78" ht="18" customHeight="1">
      <c r="A281" s="45" t="s">
        <v>1047</v>
      </c>
      <c r="B281" s="59">
        <v>45357</v>
      </c>
      <c r="C281" s="46" t="s">
        <v>209</v>
      </c>
      <c r="D281" s="46" t="s">
        <v>186</v>
      </c>
      <c r="E281" s="66"/>
      <c r="F281" s="47"/>
      <c r="G281" s="48" t="s">
        <v>111</v>
      </c>
      <c r="H281" s="49"/>
      <c r="I281" s="49"/>
      <c r="J281" s="49"/>
      <c r="K281" s="50"/>
      <c r="L281" s="49"/>
      <c r="M281" s="49"/>
      <c r="N281" s="49"/>
      <c r="O281" s="50"/>
      <c r="P281" s="50"/>
      <c r="Q281" s="50"/>
      <c r="R281" s="50"/>
      <c r="S281" s="50"/>
      <c r="T281" s="50"/>
      <c r="U281" s="50"/>
      <c r="V281" s="50"/>
      <c r="W281" s="50"/>
      <c r="X281" s="50"/>
      <c r="Y281" s="51"/>
      <c r="Z281" s="52"/>
      <c r="AA281" s="52"/>
      <c r="AB281" s="52"/>
      <c r="AC281" s="52"/>
      <c r="AD281" s="231"/>
      <c r="AE281" s="49"/>
      <c r="AF281" s="84"/>
      <c r="AG281" s="49"/>
      <c r="AH281" s="49"/>
      <c r="AI281" s="49"/>
      <c r="AJ281" s="226"/>
      <c r="AK281" s="49"/>
      <c r="AL281" s="113">
        <f t="shared" si="84"/>
        <v>0</v>
      </c>
      <c r="AM281" s="113">
        <f t="shared" si="81"/>
        <v>0</v>
      </c>
      <c r="AN281" s="218"/>
      <c r="AO281" s="49"/>
      <c r="AP281" s="49"/>
      <c r="AQ281" s="84" t="str">
        <f>UPPER(RIGHT(Journal_Live[[#This Row],[DURATION ]]))</f>
        <v/>
      </c>
      <c r="AR281" s="49"/>
      <c r="AS281" s="55"/>
      <c r="AT281" s="55"/>
      <c r="AU281" s="54"/>
      <c r="AV281" s="56"/>
      <c r="AW281" s="57"/>
      <c r="AX281" s="153"/>
      <c r="AY281" s="153"/>
      <c r="AZ281" s="153"/>
      <c r="BA281" s="153"/>
      <c r="BB281" s="153"/>
      <c r="BC281" s="153"/>
      <c r="BD281" s="151"/>
      <c r="BE281" s="152"/>
      <c r="BF281" s="151"/>
      <c r="BG281" s="94">
        <f>SUM($AV$4:AV281)</f>
        <v>1289.4356768034302</v>
      </c>
      <c r="BH281" s="95">
        <f>SUM($AU$4:AU281)</f>
        <v>18014.979999999814</v>
      </c>
      <c r="BI281" s="80">
        <f>SUMIFS($AU$3:AU282,$Q$3:Q282,"F")</f>
        <v>12708.400000000001</v>
      </c>
      <c r="BJ281" s="80">
        <f>SUMIFS($AU$3:AU282,$Q$3:Q282,"S")</f>
        <v>3279.9999999999918</v>
      </c>
      <c r="BK281" s="87">
        <f>SUMIFS($AU$3:AU282,$P$3:P282,"W")</f>
        <v>11277.579999999929</v>
      </c>
      <c r="BL281" s="87">
        <f>SUMIFS($AU$3:AU282,$P$3:P282,"R")</f>
        <v>4981.9999999999991</v>
      </c>
      <c r="BM281" s="87">
        <f>SUMIFS($AU$3:AU282,$AQ$3:AQ282,"M")</f>
        <v>5219.3799999995472</v>
      </c>
      <c r="BN281" s="87">
        <f>SUMIFS($AU$3:AU282,$AQ$3:AQ282,"H")</f>
        <v>2931.2000000002599</v>
      </c>
      <c r="BO281" s="87">
        <f>SUMIFS($AU$3:AU282,$AQ$3:AQ282,"D")</f>
        <v>4626.0000000000009</v>
      </c>
      <c r="BP281" s="87">
        <f>SUMIFS($AU$3:AU369,$AQ$3:AQ369,"W")</f>
        <v>12022.400000000001</v>
      </c>
      <c r="BQ281" s="87">
        <f>SUMIFS($AU$3:AU282,$Q$3:Q282,"O")</f>
        <v>1770.5799999998073</v>
      </c>
      <c r="BR281" s="87">
        <f>SUMIFS($AU$3:AU282,$AA$3:AA282,"*")</f>
        <v>15799.799999999701</v>
      </c>
      <c r="BS281" s="87">
        <f>SUMIFS($AU$3:AU282,$AB$3:AB282,"*")</f>
        <v>6567.1799999999312</v>
      </c>
      <c r="BT281" s="87">
        <f>SUMIFS($AU$3:AU282,$AC$3:AC282,"*")</f>
        <v>9588.4</v>
      </c>
      <c r="BU281" s="87">
        <f>SUMIFS($AU$3:AU282,$AA$3:AA282,"*",$AB$3:AB282,"*")</f>
        <v>4415.9999999998217</v>
      </c>
      <c r="BV281" s="87">
        <f>SUMIFS($AU$3:AU282,$AA$3:AA282,"*",$AC$3:AC282,"*")</f>
        <v>9124.4</v>
      </c>
      <c r="BW281" s="87">
        <f>SUMIFS($AU$3:AU282,$AB$3:AB282,"*",$AC$3:AC282,"*")</f>
        <v>3279.9999999999982</v>
      </c>
      <c r="BX281" s="87">
        <f>SUMIFS($AV$3:AV282,$Q$3:Q282,"F")</f>
        <v>279.94786430960346</v>
      </c>
      <c r="BY281" s="87">
        <f>SUMIFS($AV$3:AV282,$Q$3:Q282,"S")</f>
        <v>280.74781249396256</v>
      </c>
      <c r="BZ281" s="87">
        <f>SUMIFS($AV$3:AV282,$Q$3:Q282,"O")</f>
        <v>520.73999999985608</v>
      </c>
    </row>
    <row r="282" spans="1:78" ht="18" customHeight="1">
      <c r="A282" s="45" t="s">
        <v>1047</v>
      </c>
      <c r="B282" s="59">
        <v>45357</v>
      </c>
      <c r="C282" s="46" t="s">
        <v>209</v>
      </c>
      <c r="D282" s="46" t="s">
        <v>186</v>
      </c>
      <c r="E282" s="66"/>
      <c r="F282" s="47"/>
      <c r="G282" s="48" t="s">
        <v>113</v>
      </c>
      <c r="H282" s="49"/>
      <c r="I282" s="49"/>
      <c r="J282" s="49"/>
      <c r="K282" s="50"/>
      <c r="L282" s="49"/>
      <c r="M282" s="49"/>
      <c r="N282" s="49"/>
      <c r="O282" s="50"/>
      <c r="P282" s="50"/>
      <c r="Q282" s="50"/>
      <c r="R282" s="50"/>
      <c r="S282" s="50"/>
      <c r="T282" s="50"/>
      <c r="U282" s="50"/>
      <c r="V282" s="50"/>
      <c r="W282" s="50"/>
      <c r="X282" s="50"/>
      <c r="Y282" s="51"/>
      <c r="Z282" s="52"/>
      <c r="AA282" s="52"/>
      <c r="AB282" s="52"/>
      <c r="AC282" s="52"/>
      <c r="AD282" s="231"/>
      <c r="AE282" s="49"/>
      <c r="AF282" s="84"/>
      <c r="AG282" s="49"/>
      <c r="AH282" s="49"/>
      <c r="AI282" s="49"/>
      <c r="AJ282" s="226"/>
      <c r="AK282" s="49"/>
      <c r="AL282" s="113">
        <f t="shared" si="84"/>
        <v>0</v>
      </c>
      <c r="AM282" s="113">
        <f t="shared" si="81"/>
        <v>0</v>
      </c>
      <c r="AN282" s="218"/>
      <c r="AO282" s="49"/>
      <c r="AP282" s="49"/>
      <c r="AQ282" s="84" t="str">
        <f>UPPER(RIGHT(Journal_Live[[#This Row],[DURATION ]]))</f>
        <v/>
      </c>
      <c r="AR282" s="49"/>
      <c r="AS282" s="55"/>
      <c r="AT282" s="55"/>
      <c r="AU282" s="54"/>
      <c r="AV282" s="56"/>
      <c r="AW282" s="57"/>
      <c r="AX282" s="153"/>
      <c r="AY282" s="153"/>
      <c r="AZ282" s="153"/>
      <c r="BA282" s="153"/>
      <c r="BB282" s="153"/>
      <c r="BC282" s="153"/>
      <c r="BD282" s="151"/>
      <c r="BE282" s="152"/>
      <c r="BF282" s="151"/>
      <c r="BG282" s="94">
        <f>SUM($AV$4:AV282)</f>
        <v>1289.4356768034302</v>
      </c>
      <c r="BH282" s="95">
        <f>SUM($AU$4:AU282)</f>
        <v>18014.979999999814</v>
      </c>
      <c r="BI282" s="80">
        <f>SUMIFS($AU$3:AU283,$Q$3:Q283,"F")</f>
        <v>12708.400000000001</v>
      </c>
      <c r="BJ282" s="80">
        <f>SUMIFS($AU$3:AU283,$Q$3:Q283,"S")</f>
        <v>3279.9999999999918</v>
      </c>
      <c r="BK282" s="87">
        <f>SUMIFS($AU$3:AU283,$P$3:P283,"W")</f>
        <v>11277.579999999929</v>
      </c>
      <c r="BL282" s="87">
        <f>SUMIFS($AU$3:AU283,$P$3:P283,"R")</f>
        <v>4981.9999999999991</v>
      </c>
      <c r="BM282" s="87">
        <f>SUMIFS($AU$3:AU283,$AQ$3:AQ283,"M")</f>
        <v>5219.3799999995472</v>
      </c>
      <c r="BN282" s="87">
        <f>SUMIFS($AU$3:AU283,$AQ$3:AQ283,"H")</f>
        <v>2931.2000000002599</v>
      </c>
      <c r="BO282" s="87">
        <f>SUMIFS($AU$3:AU283,$AQ$3:AQ283,"D")</f>
        <v>4626.0000000000009</v>
      </c>
      <c r="BP282" s="87">
        <f>SUMIFS($AU$3:AU370,$AQ$3:AQ370,"W")</f>
        <v>12022.400000000001</v>
      </c>
      <c r="BQ282" s="87">
        <f>SUMIFS($AU$3:AU283,$Q$3:Q283,"O")</f>
        <v>1770.5799999998073</v>
      </c>
      <c r="BR282" s="87">
        <f>SUMIFS($AU$3:AU283,$AA$3:AA283,"*")</f>
        <v>15799.799999999701</v>
      </c>
      <c r="BS282" s="87">
        <f>SUMIFS($AU$3:AU283,$AB$3:AB283,"*")</f>
        <v>6567.1799999999312</v>
      </c>
      <c r="BT282" s="87">
        <f>SUMIFS($AU$3:AU283,$AC$3:AC283,"*")</f>
        <v>9588.4</v>
      </c>
      <c r="BU282" s="87">
        <f>SUMIFS($AU$3:AU283,$AA$3:AA283,"*",$AB$3:AB283,"*")</f>
        <v>4415.9999999998217</v>
      </c>
      <c r="BV282" s="87">
        <f>SUMIFS($AU$3:AU283,$AA$3:AA283,"*",$AC$3:AC283,"*")</f>
        <v>9124.4</v>
      </c>
      <c r="BW282" s="87">
        <f>SUMIFS($AU$3:AU283,$AB$3:AB283,"*",$AC$3:AC283,"*")</f>
        <v>3279.9999999999982</v>
      </c>
      <c r="BX282" s="87">
        <f>SUMIFS($AV$3:AV283,$Q$3:Q283,"F")</f>
        <v>279.94786430960346</v>
      </c>
      <c r="BY282" s="87">
        <f>SUMIFS($AV$3:AV283,$Q$3:Q283,"S")</f>
        <v>280.74781249396256</v>
      </c>
      <c r="BZ282" s="87">
        <f>SUMIFS($AV$3:AV283,$Q$3:Q283,"O")</f>
        <v>520.73999999985608</v>
      </c>
    </row>
    <row r="283" spans="1:78" ht="18" customHeight="1">
      <c r="A283" s="45" t="s">
        <v>1047</v>
      </c>
      <c r="B283" s="59">
        <v>45357</v>
      </c>
      <c r="C283" s="46" t="s">
        <v>493</v>
      </c>
      <c r="D283" s="46" t="s">
        <v>186</v>
      </c>
      <c r="E283" s="66" t="s">
        <v>1104</v>
      </c>
      <c r="F283" s="47"/>
      <c r="G283" s="48"/>
      <c r="H283" s="49">
        <v>1</v>
      </c>
      <c r="I283" s="49"/>
      <c r="J283" s="49"/>
      <c r="K283" s="50" t="s">
        <v>142</v>
      </c>
      <c r="L283" s="49"/>
      <c r="M283" s="49"/>
      <c r="N283" s="49"/>
      <c r="O283" s="50"/>
      <c r="P283" s="50"/>
      <c r="Q283" s="50"/>
      <c r="R283" s="50"/>
      <c r="S283" s="50"/>
      <c r="T283" s="50"/>
      <c r="U283" s="50"/>
      <c r="V283" s="50"/>
      <c r="W283" s="50"/>
      <c r="X283" s="50"/>
      <c r="Y283" s="51"/>
      <c r="Z283" s="52"/>
      <c r="AA283" s="52"/>
      <c r="AB283" s="52"/>
      <c r="AC283" s="52"/>
      <c r="AD283" s="231"/>
      <c r="AE283" s="49"/>
      <c r="AF283" s="84"/>
      <c r="AG283" s="49"/>
      <c r="AH283" s="49"/>
      <c r="AI283" s="49"/>
      <c r="AJ283" s="226"/>
      <c r="AK283" s="49"/>
      <c r="AL283" s="113">
        <f t="shared" si="84"/>
        <v>0</v>
      </c>
      <c r="AM283" s="113">
        <f t="shared" si="81"/>
        <v>0</v>
      </c>
      <c r="AN283" s="218"/>
      <c r="AO283" s="49"/>
      <c r="AP283" s="49"/>
      <c r="AQ283" s="84" t="str">
        <f>UPPER(RIGHT(Journal_Live[[#This Row],[DURATION ]]))</f>
        <v/>
      </c>
      <c r="AR283" s="49"/>
      <c r="AS283" s="55"/>
      <c r="AT283" s="55"/>
      <c r="AU283" s="54"/>
      <c r="AV283" s="56"/>
      <c r="AW283" s="57"/>
      <c r="AX283" s="153"/>
      <c r="AY283" s="153"/>
      <c r="AZ283" s="153"/>
      <c r="BA283" s="153"/>
      <c r="BB283" s="153"/>
      <c r="BC283" s="153"/>
      <c r="BD283" s="151"/>
      <c r="BE283" s="152"/>
      <c r="BF283" s="151"/>
      <c r="BG283" s="94">
        <f>SUM($AV$4:AV283)</f>
        <v>1289.4356768034302</v>
      </c>
      <c r="BH283" s="95">
        <f>SUM($AU$4:AU283)</f>
        <v>18014.979999999814</v>
      </c>
      <c r="BI283" s="80">
        <f>SUMIFS($AU$3:AU284,$Q$3:Q284,"F")</f>
        <v>12708.400000000001</v>
      </c>
      <c r="BJ283" s="80">
        <f>SUMIFS($AU$3:AU284,$Q$3:Q284,"S")</f>
        <v>3279.9999999999918</v>
      </c>
      <c r="BK283" s="87">
        <f>SUMIFS($AU$3:AU284,$P$3:P284,"W")</f>
        <v>11277.579999999929</v>
      </c>
      <c r="BL283" s="87">
        <f>SUMIFS($AU$3:AU284,$P$3:P284,"R")</f>
        <v>4981.9999999999991</v>
      </c>
      <c r="BM283" s="87">
        <f>SUMIFS($AU$3:AU284,$AQ$3:AQ284,"M")</f>
        <v>5219.3799999995472</v>
      </c>
      <c r="BN283" s="87">
        <f>SUMIFS($AU$3:AU284,$AQ$3:AQ284,"H")</f>
        <v>2955.200000000259</v>
      </c>
      <c r="BO283" s="87">
        <f>SUMIFS($AU$3:AU284,$AQ$3:AQ284,"D")</f>
        <v>4626.0000000000009</v>
      </c>
      <c r="BP283" s="87">
        <f>SUMIFS($AU$3:AU371,$AQ$3:AQ371,"W")</f>
        <v>12022.400000000001</v>
      </c>
      <c r="BQ283" s="87">
        <f>SUMIFS($AU$3:AU284,$Q$3:Q284,"O")</f>
        <v>1770.5799999998073</v>
      </c>
      <c r="BR283" s="87">
        <f>SUMIFS($AU$3:AU284,$AA$3:AA284,"*")</f>
        <v>15823.799999999699</v>
      </c>
      <c r="BS283" s="87">
        <f>SUMIFS($AU$3:AU284,$AB$3:AB284,"*")</f>
        <v>6567.1799999999312</v>
      </c>
      <c r="BT283" s="87">
        <f>SUMIFS($AU$3:AU284,$AC$3:AC284,"*")</f>
        <v>9588.4</v>
      </c>
      <c r="BU283" s="87">
        <f>SUMIFS($AU$3:AU284,$AA$3:AA284,"*",$AB$3:AB284,"*")</f>
        <v>4415.9999999998217</v>
      </c>
      <c r="BV283" s="87">
        <f>SUMIFS($AU$3:AU284,$AA$3:AA284,"*",$AC$3:AC284,"*")</f>
        <v>9124.4</v>
      </c>
      <c r="BW283" s="87">
        <f>SUMIFS($AU$3:AU284,$AB$3:AB284,"*",$AC$3:AC284,"*")</f>
        <v>3279.9999999999982</v>
      </c>
      <c r="BX283" s="87">
        <f>SUMIFS($AV$3:AV284,$Q$3:Q284,"F")</f>
        <v>279.94786430960346</v>
      </c>
      <c r="BY283" s="87">
        <f>SUMIFS($AV$3:AV284,$Q$3:Q284,"S")</f>
        <v>280.74781249396256</v>
      </c>
      <c r="BZ283" s="87">
        <f>SUMIFS($AV$3:AV284,$Q$3:Q284,"O")</f>
        <v>520.73999999985608</v>
      </c>
    </row>
    <row r="284" spans="1:78" ht="18" customHeight="1">
      <c r="A284" s="45" t="s">
        <v>1047</v>
      </c>
      <c r="B284" s="59">
        <v>45357</v>
      </c>
      <c r="C284" s="46" t="s">
        <v>1105</v>
      </c>
      <c r="D284" s="46" t="s">
        <v>186</v>
      </c>
      <c r="E284" s="66"/>
      <c r="F284" s="47"/>
      <c r="G284" s="104" t="s">
        <v>287</v>
      </c>
      <c r="H284" s="49"/>
      <c r="I284" s="49"/>
      <c r="J284" s="49"/>
      <c r="K284" s="50"/>
      <c r="L284" s="49">
        <v>1</v>
      </c>
      <c r="M284" s="49">
        <v>1</v>
      </c>
      <c r="N284" s="49"/>
      <c r="O284" s="50" t="s">
        <v>288</v>
      </c>
      <c r="P284" s="50" t="s">
        <v>197</v>
      </c>
      <c r="Q284" s="50"/>
      <c r="R284" s="50">
        <v>3</v>
      </c>
      <c r="S284" s="50">
        <v>1</v>
      </c>
      <c r="T284" s="50">
        <v>1</v>
      </c>
      <c r="U284" s="50" t="s">
        <v>22</v>
      </c>
      <c r="V284" s="50"/>
      <c r="W284" s="50"/>
      <c r="X284" s="50"/>
      <c r="Y284" s="51">
        <f>IF(ISBLANK(O284),"",(IF(O284=UPPER("IB"),0.005,0.01)))</f>
        <v>0.01</v>
      </c>
      <c r="Z284" s="52">
        <f>IF(ISBLANK(O284),"",IF(O284="IB",8.63*200,IF(O284="IR",16*100,IF(O284="YT",20*100,IF(O284="YT-XT",24*200,IF(O284="TED",80*100))))))</f>
        <v>4800</v>
      </c>
      <c r="AA284" s="52" t="s">
        <v>1106</v>
      </c>
      <c r="AB284" s="52"/>
      <c r="AC284" s="52"/>
      <c r="AD284" s="231">
        <f>(0.405+0.39+0.37)/3</f>
        <v>0.38833333333333336</v>
      </c>
      <c r="AE284" s="49"/>
      <c r="AF284" s="84"/>
      <c r="AG284" s="49"/>
      <c r="AH284" s="49"/>
      <c r="AI284" s="49"/>
      <c r="AJ284" s="226"/>
      <c r="AK284" s="49"/>
      <c r="AL284" s="113">
        <f t="shared" ref="AL284:AL333" si="90">-0.02*Z284</f>
        <v>-96</v>
      </c>
      <c r="AM284" s="113">
        <f t="shared" si="81"/>
        <v>-192</v>
      </c>
      <c r="AN284" s="218" t="s">
        <v>1107</v>
      </c>
      <c r="AO284" s="96" t="s">
        <v>1108</v>
      </c>
      <c r="AP284" s="49"/>
      <c r="AQ284" s="84" t="s">
        <v>142</v>
      </c>
      <c r="AR284" s="49" t="s">
        <v>1109</v>
      </c>
      <c r="AS284" s="55">
        <f>(0.39*2+0.39)/3</f>
        <v>0.38999999999999996</v>
      </c>
      <c r="AT284" s="55">
        <f>IF(ISBLANK(AS284),,IF(U284="S",AD284-AS284,AS284-AD284))</f>
        <v>1.6666666666665941E-3</v>
      </c>
      <c r="AU284" s="54">
        <f>AV284*R284</f>
        <v>23.999999999998956</v>
      </c>
      <c r="AV284" s="56">
        <f t="shared" ref="AV284:AV285" si="91">IF(ISBLANK(AS284),,(AT284*Z284))</f>
        <v>7.9999999999996518</v>
      </c>
      <c r="AW284" s="57" t="s">
        <v>101</v>
      </c>
      <c r="AX284" s="153"/>
      <c r="AY284" s="153"/>
      <c r="AZ284" s="153"/>
      <c r="BA284" s="153"/>
      <c r="BB284" s="153"/>
      <c r="BC284" s="153"/>
      <c r="BD284" s="151"/>
      <c r="BE284" s="152"/>
      <c r="BF284" s="151"/>
      <c r="BG284" s="94">
        <f>SUM($AV$4:AV284)</f>
        <v>1297.4356768034297</v>
      </c>
      <c r="BH284" s="95">
        <f>SUM($AU$4:AU284)</f>
        <v>18038.979999999814</v>
      </c>
      <c r="BI284" s="80">
        <f>SUMIFS($AU$3:AU285,$Q$3:Q285,"F")</f>
        <v>12708.400000000001</v>
      </c>
      <c r="BJ284" s="80">
        <f>SUMIFS($AU$3:AU285,$Q$3:Q285,"S")</f>
        <v>3279.9999999999918</v>
      </c>
      <c r="BK284" s="87">
        <f>SUMIFS($AU$3:AU285,$P$3:P285,"W")</f>
        <v>11277.579999999929</v>
      </c>
      <c r="BL284" s="87">
        <f>SUMIFS($AU$3:AU285,$P$3:P285,"R")</f>
        <v>4981.9999999999991</v>
      </c>
      <c r="BM284" s="87">
        <f>SUMIFS($AU$3:AU285,$AQ$3:AQ285,"M")</f>
        <v>5219.3799999995472</v>
      </c>
      <c r="BN284" s="87">
        <f>SUMIFS($AU$3:AU285,$AQ$3:AQ285,"H")</f>
        <v>2955.200000000259</v>
      </c>
      <c r="BO284" s="87">
        <f>SUMIFS($AU$3:AU285,$AQ$3:AQ285,"D")</f>
        <v>4626.0000000000009</v>
      </c>
      <c r="BP284" s="87">
        <f>SUMIFS($AU$3:AU372,$AQ$3:AQ372,"W")</f>
        <v>12022.400000000001</v>
      </c>
      <c r="BQ284" s="87">
        <f>SUMIFS($AU$3:AU285,$Q$3:Q285,"O")</f>
        <v>1770.5799999998073</v>
      </c>
      <c r="BR284" s="87">
        <f>SUMIFS($AU$3:AU285,$AA$3:AA285,"*")</f>
        <v>15823.799999999699</v>
      </c>
      <c r="BS284" s="87">
        <f>SUMIFS($AU$3:AU285,$AB$3:AB285,"*")</f>
        <v>6567.1799999999312</v>
      </c>
      <c r="BT284" s="87">
        <f>SUMIFS($AU$3:AU285,$AC$3:AC285,"*")</f>
        <v>9588.4</v>
      </c>
      <c r="BU284" s="87">
        <f>SUMIFS($AU$3:AU285,$AA$3:AA285,"*",$AB$3:AB285,"*")</f>
        <v>4415.9999999998217</v>
      </c>
      <c r="BV284" s="87">
        <f>SUMIFS($AU$3:AU285,$AA$3:AA285,"*",$AC$3:AC285,"*")</f>
        <v>9124.4</v>
      </c>
      <c r="BW284" s="87">
        <f>SUMIFS($AU$3:AU285,$AB$3:AB285,"*",$AC$3:AC285,"*")</f>
        <v>3279.9999999999982</v>
      </c>
      <c r="BX284" s="87">
        <f>SUMIFS($AV$3:AV285,$Q$3:Q285,"F")</f>
        <v>279.94786430960346</v>
      </c>
      <c r="BY284" s="87">
        <f>SUMIFS($AV$3:AV285,$Q$3:Q285,"S")</f>
        <v>280.74781249396256</v>
      </c>
      <c r="BZ284" s="87">
        <f>SUMIFS($AV$3:AV285,$Q$3:Q285,"O")</f>
        <v>520.73999999985608</v>
      </c>
    </row>
    <row r="285" spans="1:78" ht="18" customHeight="1">
      <c r="A285" s="45" t="s">
        <v>1047</v>
      </c>
      <c r="B285" s="59">
        <v>45359</v>
      </c>
      <c r="C285" s="46" t="s">
        <v>1110</v>
      </c>
      <c r="D285" s="46" t="s">
        <v>115</v>
      </c>
      <c r="E285" s="66"/>
      <c r="F285" s="47"/>
      <c r="G285" s="104" t="s">
        <v>1111</v>
      </c>
      <c r="H285" s="49"/>
      <c r="I285" s="49"/>
      <c r="J285" s="49"/>
      <c r="K285" s="50"/>
      <c r="L285" s="49">
        <v>1</v>
      </c>
      <c r="M285" s="49"/>
      <c r="N285" s="49"/>
      <c r="O285" s="50" t="s">
        <v>363</v>
      </c>
      <c r="P285" s="50" t="s">
        <v>126</v>
      </c>
      <c r="Q285" s="50"/>
      <c r="R285" s="50">
        <v>2</v>
      </c>
      <c r="S285" s="50">
        <v>0</v>
      </c>
      <c r="T285" s="50">
        <v>2</v>
      </c>
      <c r="U285" s="50" t="s">
        <v>102</v>
      </c>
      <c r="V285" s="50"/>
      <c r="W285" s="50"/>
      <c r="X285" s="50"/>
      <c r="Y285" s="51">
        <f>IF(ISBLANK(O285),"",(IF(O285=UPPER("IB"),0.005,0.01)))</f>
        <v>0.01</v>
      </c>
      <c r="Z285" s="52">
        <f>IF(ISBLANK(O285),"",IF(O285="IB",8.63*200,IF(O285="IR",16*100,IF(O285="YT",20*100,IF(O285="YT-XT",24*200,IF(O285="TED",80*100))))))</f>
        <v>8000</v>
      </c>
      <c r="AA285" s="52" t="s">
        <v>177</v>
      </c>
      <c r="AB285" s="52"/>
      <c r="AC285" s="52"/>
      <c r="AD285" s="231">
        <v>0</v>
      </c>
      <c r="AE285" s="49"/>
      <c r="AF285" s="84"/>
      <c r="AG285" s="49"/>
      <c r="AH285" s="49"/>
      <c r="AI285" s="49"/>
      <c r="AJ285" s="226"/>
      <c r="AK285" s="49"/>
      <c r="AL285" s="113">
        <f t="shared" si="90"/>
        <v>-160</v>
      </c>
      <c r="AM285" s="113">
        <f t="shared" si="81"/>
        <v>-320</v>
      </c>
      <c r="AN285" s="218"/>
      <c r="AO285" s="49"/>
      <c r="AP285" s="49" t="s">
        <v>1112</v>
      </c>
      <c r="AQ285" s="84" t="s">
        <v>142</v>
      </c>
      <c r="AR285" s="49" t="s">
        <v>1113</v>
      </c>
      <c r="AS285" s="55">
        <v>0</v>
      </c>
      <c r="AT285" s="55">
        <f>IF(ISBLANK(AS285),,IF(U285="S",AD285-AS285,AS285-AD285))</f>
        <v>0</v>
      </c>
      <c r="AU285" s="54">
        <f>AV285*R285</f>
        <v>0</v>
      </c>
      <c r="AV285" s="56">
        <f t="shared" si="91"/>
        <v>0</v>
      </c>
      <c r="AW285" s="57" t="s">
        <v>155</v>
      </c>
      <c r="AX285" s="153"/>
      <c r="AY285" s="153"/>
      <c r="AZ285" s="153"/>
      <c r="BA285" s="153"/>
      <c r="BB285" s="153"/>
      <c r="BC285" s="153"/>
      <c r="BD285" s="151"/>
      <c r="BE285" s="152"/>
      <c r="BF285" s="151"/>
      <c r="BG285" s="94">
        <f>SUM($AV$4:AV285)</f>
        <v>1297.4356768034297</v>
      </c>
      <c r="BH285" s="95">
        <f>SUM($AU$4:AU285)</f>
        <v>18038.979999999814</v>
      </c>
      <c r="BI285" s="80">
        <f>SUMIFS($AU$3:AU286,$Q$3:Q286,"F")</f>
        <v>12708.400000000001</v>
      </c>
      <c r="BJ285" s="80">
        <f>SUMIFS($AU$3:AU286,$Q$3:Q286,"S")</f>
        <v>3279.9999999999918</v>
      </c>
      <c r="BK285" s="87">
        <f>SUMIFS($AU$3:AU286,$P$3:P286,"W")</f>
        <v>11277.579999999929</v>
      </c>
      <c r="BL285" s="87">
        <f>SUMIFS($AU$3:AU286,$P$3:P286,"R")</f>
        <v>4981.9999999999991</v>
      </c>
      <c r="BM285" s="87">
        <f>SUMIFS($AU$3:AU286,$AQ$3:AQ286,"M")</f>
        <v>5219.3799999995472</v>
      </c>
      <c r="BN285" s="87">
        <f>SUMIFS($AU$3:AU286,$AQ$3:AQ286,"H")</f>
        <v>2955.200000000259</v>
      </c>
      <c r="BO285" s="87">
        <f>SUMIFS($AU$3:AU286,$AQ$3:AQ286,"D")</f>
        <v>4626.0000000000009</v>
      </c>
      <c r="BP285" s="87">
        <f>SUMIFS($AU$3:AU373,$AQ$3:AQ373,"W")</f>
        <v>12022.400000000001</v>
      </c>
      <c r="BQ285" s="87">
        <f>SUMIFS($AU$3:AU286,$Q$3:Q286,"O")</f>
        <v>1770.5799999998073</v>
      </c>
      <c r="BR285" s="87">
        <f>SUMIFS($AU$3:AU286,$AA$3:AA286,"*")</f>
        <v>15823.799999999699</v>
      </c>
      <c r="BS285" s="87">
        <f>SUMIFS($AU$3:AU286,$AB$3:AB286,"*")</f>
        <v>6567.1799999999312</v>
      </c>
      <c r="BT285" s="87">
        <f>SUMIFS($AU$3:AU286,$AC$3:AC286,"*")</f>
        <v>9588.4</v>
      </c>
      <c r="BU285" s="87">
        <f>SUMIFS($AU$3:AU286,$AA$3:AA286,"*",$AB$3:AB286,"*")</f>
        <v>4415.9999999998217</v>
      </c>
      <c r="BV285" s="87">
        <f>SUMIFS($AU$3:AU286,$AA$3:AA286,"*",$AC$3:AC286,"*")</f>
        <v>9124.4</v>
      </c>
      <c r="BW285" s="87">
        <f>SUMIFS($AU$3:AU286,$AB$3:AB286,"*",$AC$3:AC286,"*")</f>
        <v>3279.9999999999982</v>
      </c>
      <c r="BX285" s="87">
        <f>SUMIFS($AV$3:AV286,$Q$3:Q286,"F")</f>
        <v>279.94786430960346</v>
      </c>
      <c r="BY285" s="87">
        <f>SUMIFS($AV$3:AV286,$Q$3:Q286,"S")</f>
        <v>280.74781249396256</v>
      </c>
      <c r="BZ285" s="87">
        <f>SUMIFS($AV$3:AV286,$Q$3:Q286,"O")</f>
        <v>520.73999999985608</v>
      </c>
    </row>
    <row r="286" spans="1:78" ht="18" customHeight="1">
      <c r="A286" s="45" t="s">
        <v>1047</v>
      </c>
      <c r="B286" s="59">
        <v>45359</v>
      </c>
      <c r="C286" s="46" t="s">
        <v>1110</v>
      </c>
      <c r="D286" s="46" t="s">
        <v>115</v>
      </c>
      <c r="E286" s="66"/>
      <c r="F286" s="47"/>
      <c r="G286" s="104" t="s">
        <v>735</v>
      </c>
      <c r="H286" s="49"/>
      <c r="I286" s="49"/>
      <c r="J286" s="49"/>
      <c r="K286" s="50"/>
      <c r="L286" s="49">
        <v>1</v>
      </c>
      <c r="M286" s="49"/>
      <c r="N286" s="49"/>
      <c r="O286" s="50" t="s">
        <v>363</v>
      </c>
      <c r="P286" s="50" t="s">
        <v>126</v>
      </c>
      <c r="Q286" s="50"/>
      <c r="R286" s="50">
        <v>2</v>
      </c>
      <c r="S286" s="50">
        <v>0</v>
      </c>
      <c r="T286" s="50">
        <v>2</v>
      </c>
      <c r="U286" s="50" t="s">
        <v>102</v>
      </c>
      <c r="V286" s="50"/>
      <c r="W286" s="50"/>
      <c r="X286" s="50"/>
      <c r="Y286" s="51">
        <f>IF(ISBLANK(O286),"",(IF(O286=UPPER("IB"),0.005,0.01)))</f>
        <v>0.01</v>
      </c>
      <c r="Z286" s="52">
        <f>IF(ISBLANK(O286),"",IF(O286="IB",8.63*200,IF(O286="IR",16*100,IF(O286="YT",20*100,IF(O286="YT-XT",24*200,IF(O286="TED",80*100))))))</f>
        <v>8000</v>
      </c>
      <c r="AA286" s="52" t="s">
        <v>177</v>
      </c>
      <c r="AB286" s="52"/>
      <c r="AC286" s="52"/>
      <c r="AD286" s="231">
        <v>-0.23</v>
      </c>
      <c r="AE286" s="49"/>
      <c r="AF286" s="84"/>
      <c r="AG286" s="49"/>
      <c r="AH286" s="49"/>
      <c r="AI286" s="49"/>
      <c r="AJ286" s="226"/>
      <c r="AK286" s="49"/>
      <c r="AL286" s="113">
        <f t="shared" si="90"/>
        <v>-160</v>
      </c>
      <c r="AM286" s="113">
        <f t="shared" si="81"/>
        <v>-320</v>
      </c>
      <c r="AN286" s="218"/>
      <c r="AO286" s="49"/>
      <c r="AP286" s="49"/>
      <c r="AQ286" s="84"/>
      <c r="AR286" s="49"/>
      <c r="AS286" s="55">
        <v>-0.23</v>
      </c>
      <c r="AT286" s="55">
        <f>IF(ISBLANK(AS286),,IF(U286="S",AD286-AS286,AS286-AD286))</f>
        <v>0</v>
      </c>
      <c r="AU286" s="54">
        <f>AV286*R286</f>
        <v>0</v>
      </c>
      <c r="AV286" s="56">
        <f t="shared" ref="AV286" si="92">IF(ISBLANK(AS286),,(AT286*Z286))</f>
        <v>0</v>
      </c>
      <c r="AW286" s="57" t="s">
        <v>155</v>
      </c>
      <c r="AX286" s="153"/>
      <c r="AY286" s="153"/>
      <c r="AZ286" s="153"/>
      <c r="BA286" s="153"/>
      <c r="BB286" s="153"/>
      <c r="BC286" s="153"/>
      <c r="BD286" s="151"/>
      <c r="BE286" s="152"/>
      <c r="BF286" s="151"/>
      <c r="BG286" s="94">
        <f>SUM($AV$4:AV286)</f>
        <v>1297.4356768034297</v>
      </c>
      <c r="BH286" s="95">
        <f>SUM($AU$4:AU286)</f>
        <v>18038.979999999814</v>
      </c>
      <c r="BI286" s="80">
        <f>SUMIFS($AU$3:AU287,$Q$3:Q287,"F")</f>
        <v>12708.400000000001</v>
      </c>
      <c r="BJ286" s="80">
        <f>SUMIFS($AU$3:AU287,$Q$3:Q287,"S")</f>
        <v>3279.9999999999918</v>
      </c>
      <c r="BK286" s="87">
        <f>SUMIFS($AU$3:AU287,$P$3:P287,"W")</f>
        <v>11277.579999999929</v>
      </c>
      <c r="BL286" s="87">
        <f>SUMIFS($AU$3:AU287,$P$3:P287,"R")</f>
        <v>4981.9999999999991</v>
      </c>
      <c r="BM286" s="87">
        <f>SUMIFS($AU$3:AU287,$AQ$3:AQ287,"M")</f>
        <v>5219.3799999995472</v>
      </c>
      <c r="BN286" s="87">
        <f>SUMIFS($AU$3:AU287,$AQ$3:AQ287,"H")</f>
        <v>2955.200000000259</v>
      </c>
      <c r="BO286" s="87">
        <f>SUMIFS($AU$3:AU287,$AQ$3:AQ287,"D")</f>
        <v>4626.0000000000009</v>
      </c>
      <c r="BP286" s="87">
        <f>SUMIFS($AU$3:AU374,$AQ$3:AQ374,"W")</f>
        <v>12022.400000000001</v>
      </c>
      <c r="BQ286" s="87">
        <f>SUMIFS($AU$3:AU287,$Q$3:Q287,"O")</f>
        <v>1770.5799999998073</v>
      </c>
      <c r="BR286" s="87">
        <f>SUMIFS($AU$3:AU287,$AA$3:AA287,"*")</f>
        <v>15823.799999999699</v>
      </c>
      <c r="BS286" s="87">
        <f>SUMIFS($AU$3:AU287,$AB$3:AB287,"*")</f>
        <v>6567.1799999999312</v>
      </c>
      <c r="BT286" s="87">
        <f>SUMIFS($AU$3:AU287,$AC$3:AC287,"*")</f>
        <v>9588.4</v>
      </c>
      <c r="BU286" s="87">
        <f>SUMIFS($AU$3:AU287,$AA$3:AA287,"*",$AB$3:AB287,"*")</f>
        <v>4415.9999999998217</v>
      </c>
      <c r="BV286" s="87">
        <f>SUMIFS($AU$3:AU287,$AA$3:AA287,"*",$AC$3:AC287,"*")</f>
        <v>9124.4</v>
      </c>
      <c r="BW286" s="87">
        <f>SUMIFS($AU$3:AU287,$AB$3:AB287,"*",$AC$3:AC287,"*")</f>
        <v>3279.9999999999982</v>
      </c>
      <c r="BX286" s="87">
        <f>SUMIFS($AV$3:AV287,$Q$3:Q287,"F")</f>
        <v>279.94786430960346</v>
      </c>
      <c r="BY286" s="87">
        <f>SUMIFS($AV$3:AV287,$Q$3:Q287,"S")</f>
        <v>280.74781249396256</v>
      </c>
      <c r="BZ286" s="87">
        <f>SUMIFS($AV$3:AV287,$Q$3:Q287,"O")</f>
        <v>520.73999999985608</v>
      </c>
    </row>
    <row r="287" spans="1:78" ht="18" customHeight="1">
      <c r="A287" s="45" t="s">
        <v>1047</v>
      </c>
      <c r="B287" s="59"/>
      <c r="C287" s="46"/>
      <c r="D287" s="46"/>
      <c r="E287" s="66"/>
      <c r="F287" s="47"/>
      <c r="G287" s="48"/>
      <c r="H287" s="49"/>
      <c r="I287" s="49"/>
      <c r="J287" s="49"/>
      <c r="K287" s="50"/>
      <c r="L287" s="49"/>
      <c r="M287" s="49"/>
      <c r="N287" s="49"/>
      <c r="O287" s="50"/>
      <c r="P287" s="50"/>
      <c r="Q287" s="50"/>
      <c r="R287" s="50"/>
      <c r="S287" s="50"/>
      <c r="T287" s="50"/>
      <c r="U287" s="50"/>
      <c r="V287" s="50"/>
      <c r="W287" s="50"/>
      <c r="X287" s="50"/>
      <c r="Y287" s="51"/>
      <c r="Z287" s="52"/>
      <c r="AA287" s="52"/>
      <c r="AB287" s="52"/>
      <c r="AC287" s="52"/>
      <c r="AD287" s="231"/>
      <c r="AE287" s="49"/>
      <c r="AF287" s="84"/>
      <c r="AG287" s="49"/>
      <c r="AH287" s="49"/>
      <c r="AI287" s="49"/>
      <c r="AJ287" s="226"/>
      <c r="AK287" s="49"/>
      <c r="AL287" s="113">
        <f t="shared" si="90"/>
        <v>0</v>
      </c>
      <c r="AM287" s="113">
        <f t="shared" si="81"/>
        <v>0</v>
      </c>
      <c r="AN287" s="218"/>
      <c r="AO287" s="49"/>
      <c r="AP287" s="49"/>
      <c r="AQ287" s="84" t="str">
        <f>UPPER(RIGHT(Journal_Live[[#This Row],[DURATION ]]))</f>
        <v/>
      </c>
      <c r="AR287" s="49"/>
      <c r="AS287" s="55"/>
      <c r="AT287" s="55"/>
      <c r="AU287" s="54"/>
      <c r="AV287" s="56"/>
      <c r="AW287" s="57"/>
      <c r="AX287" s="99" t="s">
        <v>1114</v>
      </c>
      <c r="AY287" s="153" t="s">
        <v>1115</v>
      </c>
      <c r="AZ287" s="153" t="s">
        <v>1116</v>
      </c>
      <c r="BA287" s="151" t="s">
        <v>1117</v>
      </c>
      <c r="BB287" s="153" t="s">
        <v>1118</v>
      </c>
      <c r="BC287" s="153"/>
      <c r="BD287" s="151"/>
      <c r="BE287" s="152"/>
      <c r="BF287" s="151"/>
      <c r="BG287" s="94">
        <f>SUM($AV$4:AV287)</f>
        <v>1297.4356768034297</v>
      </c>
      <c r="BH287" s="95">
        <f>SUM($AU$4:AU287)</f>
        <v>18038.979999999814</v>
      </c>
      <c r="BI287" s="80">
        <f>SUMIFS($AU$3:AU288,$Q$3:Q288,"F")</f>
        <v>12708.400000000001</v>
      </c>
      <c r="BJ287" s="80">
        <f>SUMIFS($AU$3:AU288,$Q$3:Q288,"S")</f>
        <v>3279.9999999999918</v>
      </c>
      <c r="BK287" s="87">
        <f>SUMIFS($AU$3:AU288,$P$3:P288,"W")</f>
        <v>11277.579999999929</v>
      </c>
      <c r="BL287" s="87">
        <f>SUMIFS($AU$3:AU288,$P$3:P288,"R")</f>
        <v>4981.9999999999991</v>
      </c>
      <c r="BM287" s="87">
        <f>SUMIFS($AU$3:AU288,$AQ$3:AQ288,"M")</f>
        <v>5219.3799999995472</v>
      </c>
      <c r="BN287" s="87">
        <f>SUMIFS($AU$3:AU288,$AQ$3:AQ288,"H")</f>
        <v>2955.200000000259</v>
      </c>
      <c r="BO287" s="87">
        <f>SUMIFS($AU$3:AU288,$AQ$3:AQ288,"D")</f>
        <v>4626.0000000000009</v>
      </c>
      <c r="BP287" s="87">
        <f>SUMIFS($AU$3:AU375,$AQ$3:AQ375,"W")</f>
        <v>12022.400000000001</v>
      </c>
      <c r="BQ287" s="87">
        <f>SUMIFS($AU$3:AU288,$Q$3:Q288,"O")</f>
        <v>1770.5799999998073</v>
      </c>
      <c r="BR287" s="87">
        <f>SUMIFS($AU$3:AU288,$AA$3:AA288,"*")</f>
        <v>15823.799999999699</v>
      </c>
      <c r="BS287" s="87">
        <f>SUMIFS($AU$3:AU288,$AB$3:AB288,"*")</f>
        <v>6567.1799999999312</v>
      </c>
      <c r="BT287" s="87">
        <f>SUMIFS($AU$3:AU288,$AC$3:AC288,"*")</f>
        <v>9588.4</v>
      </c>
      <c r="BU287" s="87">
        <f>SUMIFS($AU$3:AU288,$AA$3:AA288,"*",$AB$3:AB288,"*")</f>
        <v>4415.9999999998217</v>
      </c>
      <c r="BV287" s="87">
        <f>SUMIFS($AU$3:AU288,$AA$3:AA288,"*",$AC$3:AC288,"*")</f>
        <v>9124.4</v>
      </c>
      <c r="BW287" s="87">
        <f>SUMIFS($AU$3:AU288,$AB$3:AB288,"*",$AC$3:AC288,"*")</f>
        <v>3279.9999999999982</v>
      </c>
      <c r="BX287" s="87">
        <f>SUMIFS($AV$3:AV288,$Q$3:Q288,"F")</f>
        <v>279.94786430960346</v>
      </c>
      <c r="BY287" s="87">
        <f>SUMIFS($AV$3:AV288,$Q$3:Q288,"S")</f>
        <v>280.74781249396256</v>
      </c>
      <c r="BZ287" s="87">
        <f>SUMIFS($AV$3:AV288,$Q$3:Q288,"O")</f>
        <v>520.73999999985608</v>
      </c>
    </row>
    <row r="288" spans="1:78" ht="18" customHeight="1">
      <c r="A288" s="45" t="s">
        <v>1047</v>
      </c>
      <c r="B288" s="59"/>
      <c r="C288" s="46"/>
      <c r="D288" s="46"/>
      <c r="E288" s="66"/>
      <c r="F288" s="47"/>
      <c r="G288" s="48"/>
      <c r="H288" s="49"/>
      <c r="I288" s="49"/>
      <c r="J288" s="49"/>
      <c r="K288" s="50"/>
      <c r="L288" s="49"/>
      <c r="M288" s="49"/>
      <c r="N288" s="49"/>
      <c r="O288" s="50"/>
      <c r="P288" s="50"/>
      <c r="Q288" s="50"/>
      <c r="R288" s="50"/>
      <c r="S288" s="50"/>
      <c r="T288" s="50"/>
      <c r="U288" s="50"/>
      <c r="V288" s="50"/>
      <c r="W288" s="50"/>
      <c r="X288" s="50"/>
      <c r="Y288" s="51"/>
      <c r="Z288" s="52"/>
      <c r="AA288" s="52"/>
      <c r="AB288" s="52"/>
      <c r="AC288" s="52"/>
      <c r="AD288" s="231"/>
      <c r="AE288" s="49"/>
      <c r="AF288" s="84"/>
      <c r="AG288" s="49"/>
      <c r="AH288" s="49"/>
      <c r="AI288" s="49"/>
      <c r="AJ288" s="226"/>
      <c r="AK288" s="49"/>
      <c r="AL288" s="113">
        <f t="shared" si="90"/>
        <v>0</v>
      </c>
      <c r="AM288" s="113">
        <f t="shared" si="81"/>
        <v>0</v>
      </c>
      <c r="AN288" s="218"/>
      <c r="AO288" s="49"/>
      <c r="AP288" s="49"/>
      <c r="AQ288" s="84" t="str">
        <f>UPPER(RIGHT(Journal_Live[[#This Row],[DURATION ]]))</f>
        <v/>
      </c>
      <c r="AR288" s="49"/>
      <c r="AS288" s="55"/>
      <c r="AT288" s="55"/>
      <c r="AU288" s="54"/>
      <c r="AV288" s="56"/>
      <c r="AW288" s="57"/>
      <c r="AX288" s="153" t="s">
        <v>1119</v>
      </c>
      <c r="AY288" s="153" t="s">
        <v>1120</v>
      </c>
      <c r="AZ288" s="153" t="s">
        <v>1121</v>
      </c>
      <c r="BA288" s="153" t="s">
        <v>1122</v>
      </c>
      <c r="BB288" s="153" t="s">
        <v>1123</v>
      </c>
      <c r="BC288" s="153"/>
      <c r="BD288" s="151"/>
      <c r="BE288" s="152"/>
      <c r="BF288" s="151"/>
      <c r="BG288" s="94">
        <f>SUM($AV$4:AV288)</f>
        <v>1297.4356768034297</v>
      </c>
      <c r="BH288" s="95">
        <f>SUM($AU$4:AU288)</f>
        <v>18038.979999999814</v>
      </c>
      <c r="BI288" s="80">
        <f>SUMIFS($AU$3:AU289,$Q$3:Q289,"F")</f>
        <v>12708.400000000001</v>
      </c>
      <c r="BJ288" s="80">
        <f>SUMIFS($AU$3:AU289,$Q$3:Q289,"S")</f>
        <v>3759.9999999999932</v>
      </c>
      <c r="BK288" s="87">
        <f>SUMIFS($AU$3:AU289,$P$3:P289,"W")</f>
        <v>11757.579999999931</v>
      </c>
      <c r="BL288" s="87">
        <f>SUMIFS($AU$3:AU289,$P$3:P289,"R")</f>
        <v>4981.9999999999991</v>
      </c>
      <c r="BM288" s="87">
        <f>SUMIFS($AU$3:AU289,$AQ$3:AQ289,"M")</f>
        <v>5219.3799999995472</v>
      </c>
      <c r="BN288" s="87">
        <f>SUMIFS($AU$3:AU289,$AQ$3:AQ289,"H")</f>
        <v>3435.2000000002604</v>
      </c>
      <c r="BO288" s="87">
        <f>SUMIFS($AU$3:AU289,$AQ$3:AQ289,"D")</f>
        <v>4626.0000000000009</v>
      </c>
      <c r="BP288" s="87">
        <f>SUMIFS($AU$3:AU376,$AQ$3:AQ376,"W")</f>
        <v>12022.400000000001</v>
      </c>
      <c r="BQ288" s="87">
        <f>SUMIFS($AU$3:AU289,$Q$3:Q289,"O")</f>
        <v>1770.5799999998073</v>
      </c>
      <c r="BR288" s="87">
        <f>SUMIFS($AU$3:AU289,$AA$3:AA289,"*")</f>
        <v>16303.799999999701</v>
      </c>
      <c r="BS288" s="87">
        <f>SUMIFS($AU$3:AU289,$AB$3:AB289,"*")</f>
        <v>6567.1799999999312</v>
      </c>
      <c r="BT288" s="87">
        <f>SUMIFS($AU$3:AU289,$AC$3:AC289,"*")</f>
        <v>9588.4</v>
      </c>
      <c r="BU288" s="87">
        <f>SUMIFS($AU$3:AU289,$AA$3:AA289,"*",$AB$3:AB289,"*")</f>
        <v>4415.9999999998217</v>
      </c>
      <c r="BV288" s="87">
        <f>SUMIFS($AU$3:AU289,$AA$3:AA289,"*",$AC$3:AC289,"*")</f>
        <v>9124.4</v>
      </c>
      <c r="BW288" s="87">
        <f>SUMIFS($AU$3:AU289,$AB$3:AB289,"*",$AC$3:AC289,"*")</f>
        <v>3279.9999999999982</v>
      </c>
      <c r="BX288" s="87">
        <f>SUMIFS($AV$3:AV289,$Q$3:Q289,"F")</f>
        <v>279.94786430960346</v>
      </c>
      <c r="BY288" s="87">
        <f>SUMIFS($AV$3:AV289,$Q$3:Q289,"S")</f>
        <v>290.34781249396258</v>
      </c>
      <c r="BZ288" s="87">
        <f>SUMIFS($AV$3:AV289,$Q$3:Q289,"O")</f>
        <v>520.73999999985608</v>
      </c>
    </row>
    <row r="289" spans="1:78" ht="18" customHeight="1">
      <c r="A289" s="45" t="s">
        <v>1047</v>
      </c>
      <c r="B289" s="59">
        <v>45359</v>
      </c>
      <c r="C289" s="46" t="s">
        <v>1124</v>
      </c>
      <c r="D289" s="46" t="s">
        <v>115</v>
      </c>
      <c r="E289" s="66"/>
      <c r="F289" s="47"/>
      <c r="G289" s="104" t="s">
        <v>181</v>
      </c>
      <c r="H289" s="49"/>
      <c r="I289" s="49"/>
      <c r="J289" s="49"/>
      <c r="K289" s="50"/>
      <c r="L289" s="49"/>
      <c r="M289" s="49">
        <v>1</v>
      </c>
      <c r="N289" s="49"/>
      <c r="O289" s="50" t="s">
        <v>100</v>
      </c>
      <c r="P289" s="50" t="s">
        <v>101</v>
      </c>
      <c r="Q289" s="50" t="s">
        <v>102</v>
      </c>
      <c r="R289" s="50">
        <v>50</v>
      </c>
      <c r="S289" s="50">
        <v>0</v>
      </c>
      <c r="T289" s="50">
        <v>30</v>
      </c>
      <c r="U289" s="50" t="s">
        <v>102</v>
      </c>
      <c r="V289" s="50"/>
      <c r="W289" s="50"/>
      <c r="X289" s="50"/>
      <c r="Y289" s="51">
        <f>IF(ISBLANK(O289),"",(IF(O289=UPPER("IB"),0.005,0.01)))</f>
        <v>0.01</v>
      </c>
      <c r="Z289" s="52">
        <f>IF(ISBLANK(O289),"",IF(O289="IB",8.63*200,IF(O289="IR",16*100,IF(O289="YT",20*100,IF(O289="YT-XT",24*200,IF(O289="TED",80*100))))))</f>
        <v>1600</v>
      </c>
      <c r="AA289" s="52" t="s">
        <v>925</v>
      </c>
      <c r="AB289" s="52"/>
      <c r="AC289" s="52"/>
      <c r="AD289" s="231">
        <f>((-0.12*30)+(-0.13*20))/50</f>
        <v>-0.12399999999999999</v>
      </c>
      <c r="AE289" s="49"/>
      <c r="AF289" s="84"/>
      <c r="AG289" s="49"/>
      <c r="AH289" s="49"/>
      <c r="AI289" s="49"/>
      <c r="AJ289" s="226"/>
      <c r="AK289" s="49"/>
      <c r="AL289" s="113">
        <f t="shared" si="90"/>
        <v>-32</v>
      </c>
      <c r="AM289" s="113">
        <f t="shared" si="81"/>
        <v>-1600</v>
      </c>
      <c r="AN289" s="218"/>
      <c r="AO289" s="49"/>
      <c r="AP289" s="49" t="s">
        <v>379</v>
      </c>
      <c r="AQ289" s="84" t="s">
        <v>142</v>
      </c>
      <c r="AR289" s="49" t="s">
        <v>1125</v>
      </c>
      <c r="AS289" s="55">
        <v>-0.13</v>
      </c>
      <c r="AT289" s="55">
        <f>IF(ISBLANK(AS289),,IF(U289="S",AD289-AS289,AS289-AD289))</f>
        <v>6.0000000000000192E-3</v>
      </c>
      <c r="AU289" s="54">
        <f>AV289*R289</f>
        <v>480.00000000000148</v>
      </c>
      <c r="AV289" s="56">
        <f t="shared" ref="AV289:AV292" si="93">IF(ISBLANK(AS289),,(AT289*Z289))</f>
        <v>9.6000000000000298</v>
      </c>
      <c r="AW289" s="57" t="s">
        <v>101</v>
      </c>
      <c r="AX289" s="153" t="s">
        <v>443</v>
      </c>
      <c r="AY289" s="153"/>
      <c r="AZ289" s="153">
        <f>1144-480</f>
        <v>664</v>
      </c>
      <c r="BA289" s="153" t="s">
        <v>1126</v>
      </c>
      <c r="BB289" s="153"/>
      <c r="BC289" s="153"/>
      <c r="BD289" s="151"/>
      <c r="BE289" s="152"/>
      <c r="BF289" s="151"/>
      <c r="BG289" s="94">
        <f>SUM($AV$4:AV289)</f>
        <v>1307.0356768034299</v>
      </c>
      <c r="BH289" s="95">
        <f>SUM($AU$4:AU289)</f>
        <v>18518.979999999814</v>
      </c>
      <c r="BI289" s="80">
        <f>SUMIFS($AU$3:AU290,$Q$3:Q290,"F")</f>
        <v>12708.400000000001</v>
      </c>
      <c r="BJ289" s="80">
        <f>SUMIFS($AU$3:AU290,$Q$3:Q290,"S")</f>
        <v>3759.9999999999932</v>
      </c>
      <c r="BK289" s="87">
        <f>SUMIFS($AU$3:AU290,$P$3:P290,"W")</f>
        <v>11757.579999999931</v>
      </c>
      <c r="BL289" s="87">
        <f>SUMIFS($AU$3:AU290,$P$3:P290,"R")</f>
        <v>4981.9999999999991</v>
      </c>
      <c r="BM289" s="87">
        <f>SUMIFS($AU$3:AU290,$AQ$3:AQ290,"M")</f>
        <v>5219.3799999995472</v>
      </c>
      <c r="BN289" s="87">
        <f>SUMIFS($AU$3:AU290,$AQ$3:AQ290,"H")</f>
        <v>3435.2000000002604</v>
      </c>
      <c r="BO289" s="87">
        <f>SUMIFS($AU$3:AU290,$AQ$3:AQ290,"D")</f>
        <v>4626.0000000000009</v>
      </c>
      <c r="BP289" s="87">
        <f>SUMIFS($AU$3:AU377,$AQ$3:AQ377,"W")</f>
        <v>12022.400000000001</v>
      </c>
      <c r="BQ289" s="87">
        <f>SUMIFS($AU$3:AU290,$Q$3:Q290,"O")</f>
        <v>1770.5799999998073</v>
      </c>
      <c r="BR289" s="87">
        <f>SUMIFS($AU$3:AU290,$AA$3:AA290,"*")</f>
        <v>16303.799999999701</v>
      </c>
      <c r="BS289" s="87">
        <f>SUMIFS($AU$3:AU290,$AB$3:AB290,"*")</f>
        <v>6567.1799999999312</v>
      </c>
      <c r="BT289" s="87">
        <f>SUMIFS($AU$3:AU290,$AC$3:AC290,"*")</f>
        <v>9588.4</v>
      </c>
      <c r="BU289" s="87">
        <f>SUMIFS($AU$3:AU290,$AA$3:AA290,"*",$AB$3:AB290,"*")</f>
        <v>4415.9999999998217</v>
      </c>
      <c r="BV289" s="87">
        <f>SUMIFS($AU$3:AU290,$AA$3:AA290,"*",$AC$3:AC290,"*")</f>
        <v>9124.4</v>
      </c>
      <c r="BW289" s="87">
        <f>SUMIFS($AU$3:AU290,$AB$3:AB290,"*",$AC$3:AC290,"*")</f>
        <v>3279.9999999999982</v>
      </c>
      <c r="BX289" s="87">
        <f>SUMIFS($AV$3:AV290,$Q$3:Q290,"F")</f>
        <v>279.94786430960346</v>
      </c>
      <c r="BY289" s="87">
        <f>SUMIFS($AV$3:AV290,$Q$3:Q290,"S")</f>
        <v>290.34781249396258</v>
      </c>
      <c r="BZ289" s="87">
        <f>SUMIFS($AV$3:AV290,$Q$3:Q290,"O")</f>
        <v>520.73999999985608</v>
      </c>
    </row>
    <row r="290" spans="1:78" ht="18" customHeight="1">
      <c r="A290" s="45" t="s">
        <v>1047</v>
      </c>
      <c r="B290" s="59">
        <v>45359</v>
      </c>
      <c r="C290" s="46" t="s">
        <v>139</v>
      </c>
      <c r="D290" s="46" t="s">
        <v>115</v>
      </c>
      <c r="E290" s="66" t="s">
        <v>1127</v>
      </c>
      <c r="F290" s="47" t="s">
        <v>1128</v>
      </c>
      <c r="G290" s="48"/>
      <c r="H290" s="49">
        <v>1</v>
      </c>
      <c r="I290" s="49"/>
      <c r="J290" s="49"/>
      <c r="K290" s="50" t="s">
        <v>142</v>
      </c>
      <c r="L290" s="49"/>
      <c r="M290" s="49"/>
      <c r="N290" s="49"/>
      <c r="O290" s="50"/>
      <c r="P290" s="50"/>
      <c r="Q290" s="50"/>
      <c r="R290" s="50"/>
      <c r="S290" s="50"/>
      <c r="T290" s="50"/>
      <c r="U290" s="50"/>
      <c r="V290" s="50"/>
      <c r="W290" s="50"/>
      <c r="X290" s="50"/>
      <c r="Y290" s="51" t="str">
        <f>IF(ISBLANK(O290),"",(IF(O290=UPPER("IB"),0.005,0.01)))</f>
        <v/>
      </c>
      <c r="Z290" s="52"/>
      <c r="AA290" s="52"/>
      <c r="AB290" s="52"/>
      <c r="AC290" s="52"/>
      <c r="AD290" s="231"/>
      <c r="AE290" s="49"/>
      <c r="AF290" s="84"/>
      <c r="AG290" s="49"/>
      <c r="AH290" s="49"/>
      <c r="AI290" s="49"/>
      <c r="AJ290" s="226"/>
      <c r="AK290" s="49"/>
      <c r="AL290" s="113">
        <f>-0.02*Z290</f>
        <v>0</v>
      </c>
      <c r="AM290" s="113">
        <f t="shared" si="81"/>
        <v>0</v>
      </c>
      <c r="AN290" s="218"/>
      <c r="AO290" s="49"/>
      <c r="AP290" s="49"/>
      <c r="AQ290" s="84" t="str">
        <f>UPPER(RIGHT(Journal_Live[[#This Row],[DURATION ]]))</f>
        <v/>
      </c>
      <c r="AR290" s="49"/>
      <c r="AS290" s="55"/>
      <c r="AT290" s="55"/>
      <c r="AU290" s="54"/>
      <c r="AV290" s="56"/>
      <c r="AW290" s="57"/>
      <c r="AX290" s="153"/>
      <c r="AY290" s="153"/>
      <c r="AZ290" s="153"/>
      <c r="BA290" s="153"/>
      <c r="BB290" s="153"/>
      <c r="BC290" s="153"/>
      <c r="BD290" s="151"/>
      <c r="BE290" s="152"/>
      <c r="BF290" s="151"/>
      <c r="BG290" s="94">
        <f>SUM($AV$4:AV290)</f>
        <v>1307.0356768034299</v>
      </c>
      <c r="BH290" s="95">
        <f>SUM($AU$4:AU290)</f>
        <v>18518.979999999814</v>
      </c>
      <c r="BI290" s="80">
        <f>SUMIFS($AU$3:AU291,$Q$3:Q291,"F")</f>
        <v>12708.400000000001</v>
      </c>
      <c r="BJ290" s="80">
        <f>SUMIFS($AU$3:AU291,$Q$3:Q291,"S")</f>
        <v>3759.9999999999932</v>
      </c>
      <c r="BK290" s="87">
        <f>SUMIFS($AU$3:AU291,$P$3:P291,"W")</f>
        <v>11757.579999999931</v>
      </c>
      <c r="BL290" s="87">
        <f>SUMIFS($AU$3:AU291,$P$3:P291,"R")</f>
        <v>4981.9999999999991</v>
      </c>
      <c r="BM290" s="87">
        <f>SUMIFS($AU$3:AU291,$AQ$3:AQ291,"M")</f>
        <v>5219.3799999995472</v>
      </c>
      <c r="BN290" s="87">
        <f>SUMIFS($AU$3:AU291,$AQ$3:AQ291,"H")</f>
        <v>3435.2000000002604</v>
      </c>
      <c r="BO290" s="87">
        <f>SUMIFS($AU$3:AU291,$AQ$3:AQ291,"D")</f>
        <v>4626.0000000000009</v>
      </c>
      <c r="BP290" s="87">
        <f>SUMIFS($AU$3:AU378,$AQ$3:AQ378,"W")</f>
        <v>12022.400000000001</v>
      </c>
      <c r="BQ290" s="87">
        <f>SUMIFS($AU$3:AU291,$Q$3:Q291,"O")</f>
        <v>1770.5799999998073</v>
      </c>
      <c r="BR290" s="87">
        <f>SUMIFS($AU$3:AU291,$AA$3:AA291,"*")</f>
        <v>16303.799999999701</v>
      </c>
      <c r="BS290" s="87">
        <f>SUMIFS($AU$3:AU291,$AB$3:AB291,"*")</f>
        <v>6567.1799999999312</v>
      </c>
      <c r="BT290" s="87">
        <f>SUMIFS($AU$3:AU291,$AC$3:AC291,"*")</f>
        <v>9588.4</v>
      </c>
      <c r="BU290" s="87">
        <f>SUMIFS($AU$3:AU291,$AA$3:AA291,"*",$AB$3:AB291,"*")</f>
        <v>4415.9999999998217</v>
      </c>
      <c r="BV290" s="87">
        <f>SUMIFS($AU$3:AU291,$AA$3:AA291,"*",$AC$3:AC291,"*")</f>
        <v>9124.4</v>
      </c>
      <c r="BW290" s="87">
        <f>SUMIFS($AU$3:AU291,$AB$3:AB291,"*",$AC$3:AC291,"*")</f>
        <v>3279.9999999999982</v>
      </c>
      <c r="BX290" s="87">
        <f>SUMIFS($AV$3:AV291,$Q$3:Q291,"F")</f>
        <v>279.94786430960346</v>
      </c>
      <c r="BY290" s="87">
        <f>SUMIFS($AV$3:AV291,$Q$3:Q291,"S")</f>
        <v>290.34781249396258</v>
      </c>
      <c r="BZ290" s="87">
        <f>SUMIFS($AV$3:AV291,$Q$3:Q291,"O")</f>
        <v>520.73999999985608</v>
      </c>
    </row>
    <row r="291" spans="1:78" ht="18" customHeight="1">
      <c r="A291" s="45" t="s">
        <v>1047</v>
      </c>
      <c r="B291" s="59"/>
      <c r="C291" s="46"/>
      <c r="D291" s="46"/>
      <c r="E291" s="66" t="s">
        <v>1129</v>
      </c>
      <c r="F291" s="47"/>
      <c r="G291" s="48"/>
      <c r="H291" s="49">
        <v>1</v>
      </c>
      <c r="I291" s="49"/>
      <c r="J291" s="49"/>
      <c r="K291" s="50" t="s">
        <v>155</v>
      </c>
      <c r="L291" s="49"/>
      <c r="M291" s="49"/>
      <c r="N291" s="49"/>
      <c r="O291" s="50"/>
      <c r="P291" s="50"/>
      <c r="Q291" s="50"/>
      <c r="R291" s="50"/>
      <c r="S291" s="50"/>
      <c r="T291" s="50"/>
      <c r="U291" s="50"/>
      <c r="V291" s="50"/>
      <c r="W291" s="50"/>
      <c r="X291" s="50"/>
      <c r="Y291" s="50"/>
      <c r="Z291" s="50"/>
      <c r="AA291" s="52"/>
      <c r="AB291" s="52"/>
      <c r="AC291" s="52"/>
      <c r="AD291" s="231"/>
      <c r="AE291" s="49"/>
      <c r="AF291" s="84"/>
      <c r="AG291" s="49"/>
      <c r="AH291" s="49"/>
      <c r="AI291" s="49"/>
      <c r="AJ291" s="226"/>
      <c r="AK291" s="49"/>
      <c r="AL291" s="113">
        <f t="shared" si="90"/>
        <v>0</v>
      </c>
      <c r="AM291" s="113">
        <f t="shared" si="81"/>
        <v>0</v>
      </c>
      <c r="AN291" s="218"/>
      <c r="AO291" s="49"/>
      <c r="AP291" s="49"/>
      <c r="AQ291" s="84" t="str">
        <f>UPPER(RIGHT(Journal_Live[[#This Row],[DURATION ]]))</f>
        <v/>
      </c>
      <c r="AR291" s="49"/>
      <c r="AS291" s="55"/>
      <c r="AT291" s="55"/>
      <c r="AU291" s="54"/>
      <c r="AV291" s="56"/>
      <c r="AW291" s="57"/>
      <c r="AX291" s="153"/>
      <c r="AY291" s="153"/>
      <c r="AZ291" s="153"/>
      <c r="BA291" s="153"/>
      <c r="BB291" s="153"/>
      <c r="BC291" s="153"/>
      <c r="BD291" s="151"/>
      <c r="BE291" s="152"/>
      <c r="BF291" s="151"/>
      <c r="BG291" s="94">
        <f>SUM($AV$4:AV291)</f>
        <v>1307.0356768034299</v>
      </c>
      <c r="BH291" s="95">
        <f>SUM($AU$4:AU291)</f>
        <v>18518.979999999814</v>
      </c>
      <c r="BI291" s="80">
        <f>SUMIFS($AU$3:AU292,$Q$3:Q292,"F")</f>
        <v>12708.400000000001</v>
      </c>
      <c r="BJ291" s="80">
        <f>SUMIFS($AU$3:AU292,$Q$3:Q292,"S")</f>
        <v>3759.9999999999932</v>
      </c>
      <c r="BK291" s="87">
        <f>SUMIFS($AU$3:AU292,$P$3:P292,"W")</f>
        <v>11757.579999999931</v>
      </c>
      <c r="BL291" s="87">
        <f>SUMIFS($AU$3:AU292,$P$3:P292,"R")</f>
        <v>4981.9999999999991</v>
      </c>
      <c r="BM291" s="87">
        <f>SUMIFS($AU$3:AU292,$AQ$3:AQ292,"M")</f>
        <v>4848.1799999997529</v>
      </c>
      <c r="BN291" s="87">
        <f>SUMIFS($AU$3:AU292,$AQ$3:AQ292,"H")</f>
        <v>3435.2000000002604</v>
      </c>
      <c r="BO291" s="87">
        <f>SUMIFS($AU$3:AU292,$AQ$3:AQ292,"D")</f>
        <v>4626.0000000000009</v>
      </c>
      <c r="BP291" s="87">
        <f>SUMIFS($AU$3:AU379,$AQ$3:AQ379,"W")</f>
        <v>12022.400000000001</v>
      </c>
      <c r="BQ291" s="87">
        <f>SUMIFS($AU$3:AU292,$Q$3:Q292,"O")</f>
        <v>1399.3800000000131</v>
      </c>
      <c r="BR291" s="87">
        <f>SUMIFS($AU$3:AU292,$AA$3:AA292,"*")</f>
        <v>15932.599999999908</v>
      </c>
      <c r="BS291" s="87">
        <f>SUMIFS($AU$3:AU292,$AB$3:AB292,"*")</f>
        <v>6567.1799999999312</v>
      </c>
      <c r="BT291" s="87">
        <f>SUMIFS($AU$3:AU292,$AC$3:AC292,"*")</f>
        <v>9588.4</v>
      </c>
      <c r="BU291" s="87">
        <f>SUMIFS($AU$3:AU292,$AA$3:AA292,"*",$AB$3:AB292,"*")</f>
        <v>4415.9999999998217</v>
      </c>
      <c r="BV291" s="87">
        <f>SUMIFS($AU$3:AU292,$AA$3:AA292,"*",$AC$3:AC292,"*")</f>
        <v>9124.4</v>
      </c>
      <c r="BW291" s="87">
        <f>SUMIFS($AU$3:AU292,$AB$3:AB292,"*",$AC$3:AC292,"*")</f>
        <v>3279.9999999999982</v>
      </c>
      <c r="BX291" s="87">
        <f>SUMIFS($AV$3:AV292,$Q$3:Q292,"F")</f>
        <v>279.94786430960346</v>
      </c>
      <c r="BY291" s="87">
        <f>SUMIFS($AV$3:AV292,$Q$3:Q292,"S")</f>
        <v>290.34781249396258</v>
      </c>
      <c r="BZ291" s="87">
        <f>SUMIFS($AV$3:AV292,$Q$3:Q292,"O")</f>
        <v>474.3399999998818</v>
      </c>
    </row>
    <row r="292" spans="1:78" ht="18" customHeight="1">
      <c r="A292" s="45" t="s">
        <v>1047</v>
      </c>
      <c r="B292" s="59">
        <v>45359</v>
      </c>
      <c r="C292" s="46" t="s">
        <v>147</v>
      </c>
      <c r="D292" s="46" t="s">
        <v>115</v>
      </c>
      <c r="E292" s="66"/>
      <c r="F292" s="47"/>
      <c r="G292" s="48" t="s">
        <v>195</v>
      </c>
      <c r="H292" s="49"/>
      <c r="I292" s="49"/>
      <c r="J292" s="49"/>
      <c r="K292" s="50"/>
      <c r="L292" s="49">
        <v>1</v>
      </c>
      <c r="M292" s="49"/>
      <c r="N292" s="49"/>
      <c r="O292" s="50" t="s">
        <v>196</v>
      </c>
      <c r="P292" s="50" t="s">
        <v>197</v>
      </c>
      <c r="Q292" s="50" t="s">
        <v>198</v>
      </c>
      <c r="R292" s="50">
        <v>8</v>
      </c>
      <c r="S292" s="50">
        <v>0</v>
      </c>
      <c r="T292" s="50">
        <v>3</v>
      </c>
      <c r="U292" s="50" t="s">
        <v>102</v>
      </c>
      <c r="V292" s="50"/>
      <c r="W292" s="50"/>
      <c r="X292" s="50"/>
      <c r="Y292" s="51">
        <f>IF(ISBLANK(O292),"",(IF(O292=UPPER("IB"),0.005,0.01)))</f>
        <v>0.01</v>
      </c>
      <c r="Z292" s="52">
        <f>IF(ISBLANK(O292),"",IF(O292="IB",8.63*200,IF(O292="IR",16*100,IF(O292="YT",20*100,IF(O292="YT-XT",24*200,IF(O292="TED",80*100,IF(O292="XT",29*200)))))))</f>
        <v>5800</v>
      </c>
      <c r="AA292" s="52" t="s">
        <v>1130</v>
      </c>
      <c r="AB292" s="52"/>
      <c r="AC292" s="52"/>
      <c r="AD292" s="231">
        <v>96.01</v>
      </c>
      <c r="AE292" s="49"/>
      <c r="AF292" s="84"/>
      <c r="AG292" s="49"/>
      <c r="AH292" s="49"/>
      <c r="AI292" s="49"/>
      <c r="AJ292" s="226"/>
      <c r="AK292" s="49"/>
      <c r="AL292" s="113">
        <f t="shared" si="90"/>
        <v>-116</v>
      </c>
      <c r="AM292" s="113">
        <f t="shared" si="81"/>
        <v>-928</v>
      </c>
      <c r="AN292" s="218"/>
      <c r="AO292" s="49"/>
      <c r="AP292" s="49" t="s">
        <v>1131</v>
      </c>
      <c r="AQ292" s="84" t="s">
        <v>350</v>
      </c>
      <c r="AR292" s="49"/>
      <c r="AS292" s="55">
        <v>96.018000000000001</v>
      </c>
      <c r="AT292" s="55">
        <f>IF(ISBLANK(AS292),,IF(U292="S",AD292-AS292,AS292-AD292))</f>
        <v>-7.9999999999955662E-3</v>
      </c>
      <c r="AU292" s="54">
        <f>AV292*R292</f>
        <v>-371.19999999979427</v>
      </c>
      <c r="AV292" s="56">
        <f t="shared" si="93"/>
        <v>-46.399999999974284</v>
      </c>
      <c r="AW292" s="57" t="s">
        <v>121</v>
      </c>
      <c r="AX292" s="153" t="s">
        <v>1132</v>
      </c>
      <c r="AY292" s="153" t="s">
        <v>1133</v>
      </c>
      <c r="AZ292" s="153" t="s">
        <v>1134</v>
      </c>
      <c r="BA292" s="153"/>
      <c r="BB292" s="153"/>
      <c r="BC292" s="153"/>
      <c r="BD292" s="151"/>
      <c r="BE292" s="152" t="s">
        <v>1135</v>
      </c>
      <c r="BF292" s="151" t="s">
        <v>1136</v>
      </c>
      <c r="BG292" s="94">
        <f>SUM($AV$4:AV292)</f>
        <v>1260.6356768034557</v>
      </c>
      <c r="BH292" s="95">
        <f>SUM($AU$4:AU292)</f>
        <v>18147.780000000021</v>
      </c>
      <c r="BI292" s="80">
        <f>SUMIFS($AU$3:AU293,$Q$3:Q293,"F")</f>
        <v>12708.400000000001</v>
      </c>
      <c r="BJ292" s="80">
        <f>SUMIFS($AU$3:AU293,$Q$3:Q293,"S")</f>
        <v>3759.9999999999932</v>
      </c>
      <c r="BK292" s="87">
        <f>SUMIFS($AU$3:AU293,$P$3:P293,"W")</f>
        <v>11757.579999999931</v>
      </c>
      <c r="BL292" s="87">
        <f>SUMIFS($AU$3:AU293,$P$3:P293,"R")</f>
        <v>4981.9999999999991</v>
      </c>
      <c r="BM292" s="87">
        <f>SUMIFS($AU$3:AU293,$AQ$3:AQ293,"M")</f>
        <v>4830.7799999997524</v>
      </c>
      <c r="BN292" s="87">
        <f>SUMIFS($AU$3:AU293,$AQ$3:AQ293,"H")</f>
        <v>3435.2000000002604</v>
      </c>
      <c r="BO292" s="87">
        <f>SUMIFS($AU$3:AU293,$AQ$3:AQ293,"D")</f>
        <v>4626.0000000000009</v>
      </c>
      <c r="BP292" s="87">
        <f>SUMIFS($AU$3:AU380,$AQ$3:AQ380,"W")</f>
        <v>12022.400000000001</v>
      </c>
      <c r="BQ292" s="87">
        <f>SUMIFS($AU$3:AU293,$Q$3:Q293,"O")</f>
        <v>1381.9800000000123</v>
      </c>
      <c r="BR292" s="87">
        <f>SUMIFS($AU$3:AU293,$AA$3:AA293,"*")</f>
        <v>15915.199999999906</v>
      </c>
      <c r="BS292" s="87">
        <f>SUMIFS($AU$3:AU293,$AB$3:AB293,"*")</f>
        <v>6567.1799999999312</v>
      </c>
      <c r="BT292" s="87">
        <f>SUMIFS($AU$3:AU293,$AC$3:AC293,"*")</f>
        <v>9588.4</v>
      </c>
      <c r="BU292" s="87">
        <f>SUMIFS($AU$3:AU293,$AA$3:AA293,"*",$AB$3:AB293,"*")</f>
        <v>4415.9999999998217</v>
      </c>
      <c r="BV292" s="87">
        <f>SUMIFS($AU$3:AU293,$AA$3:AA293,"*",$AC$3:AC293,"*")</f>
        <v>9124.4</v>
      </c>
      <c r="BW292" s="87">
        <f>SUMIFS($AU$3:AU293,$AB$3:AB293,"*",$AC$3:AC293,"*")</f>
        <v>3279.9999999999982</v>
      </c>
      <c r="BX292" s="87">
        <f>SUMIFS($AV$3:AV293,$Q$3:Q293,"F")</f>
        <v>279.94786430960346</v>
      </c>
      <c r="BY292" s="87">
        <f>SUMIFS($AV$3:AV293,$Q$3:Q293,"S")</f>
        <v>290.34781249396258</v>
      </c>
      <c r="BZ292" s="87">
        <f>SUMIFS($AV$3:AV293,$Q$3:Q293,"O")</f>
        <v>456.93999999988114</v>
      </c>
    </row>
    <row r="293" spans="1:78" ht="18" customHeight="1">
      <c r="A293" s="45" t="s">
        <v>1047</v>
      </c>
      <c r="B293" s="59">
        <v>45363</v>
      </c>
      <c r="C293" s="46" t="s">
        <v>147</v>
      </c>
      <c r="D293" s="46" t="s">
        <v>98</v>
      </c>
      <c r="E293" s="66"/>
      <c r="F293" s="47"/>
      <c r="G293" s="48" t="s">
        <v>195</v>
      </c>
      <c r="H293" s="49"/>
      <c r="I293" s="49"/>
      <c r="J293" s="49"/>
      <c r="K293" s="50"/>
      <c r="L293" s="49">
        <v>1</v>
      </c>
      <c r="M293" s="49"/>
      <c r="N293" s="49"/>
      <c r="O293" s="50" t="s">
        <v>196</v>
      </c>
      <c r="P293" s="50" t="s">
        <v>197</v>
      </c>
      <c r="Q293" s="50" t="s">
        <v>198</v>
      </c>
      <c r="R293" s="50">
        <v>1</v>
      </c>
      <c r="S293" s="50">
        <v>0</v>
      </c>
      <c r="T293" s="50">
        <v>1</v>
      </c>
      <c r="U293" s="50" t="s">
        <v>102</v>
      </c>
      <c r="V293" s="50"/>
      <c r="W293" s="50"/>
      <c r="X293" s="50"/>
      <c r="Y293" s="51">
        <f>IF(ISBLANK(O293),"",(IF(O293=UPPER("IB"),0.005,0.01)))</f>
        <v>0.01</v>
      </c>
      <c r="Z293" s="52">
        <f>IF(ISBLANK(O293),"",IF(O293="IB",8.63*200,IF(O293="IR",16*100,IF(O293="YT",20*100,IF(O293="YT-XT",24*200,IF(O293="TED",80*100,IF(O293="XT",29*200)))))))</f>
        <v>5800</v>
      </c>
      <c r="AA293" s="52" t="s">
        <v>1130</v>
      </c>
      <c r="AB293" s="52"/>
      <c r="AC293" s="52"/>
      <c r="AD293" s="231">
        <v>96.042000000000002</v>
      </c>
      <c r="AE293" s="49"/>
      <c r="AF293" s="84"/>
      <c r="AG293" s="49"/>
      <c r="AH293" s="49"/>
      <c r="AI293" s="49"/>
      <c r="AJ293" s="226"/>
      <c r="AK293" s="49"/>
      <c r="AL293" s="113">
        <f t="shared" ref="AL293:AL294" si="94">-0.02*Z293</f>
        <v>-116</v>
      </c>
      <c r="AM293" s="113">
        <f t="shared" ref="AM293:AM321" si="95">AL293*(R293-S293)</f>
        <v>-116</v>
      </c>
      <c r="AN293" s="218"/>
      <c r="AO293" s="49"/>
      <c r="AP293" s="49" t="s">
        <v>1131</v>
      </c>
      <c r="AQ293" s="84" t="s">
        <v>350</v>
      </c>
      <c r="AR293" s="49"/>
      <c r="AS293" s="55">
        <v>96.045000000000002</v>
      </c>
      <c r="AT293" s="55">
        <f>IF(ISBLANK(AS293),,IF(U293="S",AD293-AS293,AS293-AD293))</f>
        <v>-3.0000000000001137E-3</v>
      </c>
      <c r="AU293" s="54">
        <f>AV293*R293</f>
        <v>-17.400000000000659</v>
      </c>
      <c r="AV293" s="56">
        <f t="shared" ref="AV293" si="96">IF(ISBLANK(AS293),,(AT293*Z293))</f>
        <v>-17.400000000000659</v>
      </c>
      <c r="AW293" s="57" t="s">
        <v>121</v>
      </c>
      <c r="AX293" s="153" t="s">
        <v>1132</v>
      </c>
      <c r="AY293" s="97" t="s">
        <v>1137</v>
      </c>
      <c r="AZ293" s="97" t="s">
        <v>1138</v>
      </c>
      <c r="BA293" s="151" t="s">
        <v>1139</v>
      </c>
      <c r="BB293" s="151"/>
      <c r="BC293" s="151"/>
      <c r="BD293" s="151"/>
      <c r="BE293" s="152"/>
      <c r="BF293" s="151"/>
      <c r="BG293" s="94">
        <f>SUM($AV$4:AV293)</f>
        <v>1243.2356768034551</v>
      </c>
      <c r="BH293" s="95">
        <f>SUM($AU$4:AU293)</f>
        <v>18130.380000000019</v>
      </c>
      <c r="BI293" s="80">
        <f>SUMIFS($AU$3:AU294,$Q$3:Q294,"F")</f>
        <v>12708.400000000001</v>
      </c>
      <c r="BJ293" s="80">
        <f>SUMIFS($AU$3:AU294,$Q$3:Q294,"S")</f>
        <v>3759.9999999999932</v>
      </c>
      <c r="BK293" s="87">
        <f>SUMIFS($AU$3:AU294,$P$3:P294,"W")</f>
        <v>11757.579999999931</v>
      </c>
      <c r="BL293" s="87">
        <f>SUMIFS($AU$3:AU294,$P$3:P294,"R")</f>
        <v>4981.9999999999991</v>
      </c>
      <c r="BM293" s="87">
        <f>SUMIFS($AU$3:AU294,$AQ$3:AQ294,"M")</f>
        <v>4830.7799999997524</v>
      </c>
      <c r="BN293" s="87">
        <f>SUMIFS($AU$3:AU294,$AQ$3:AQ294,"H")</f>
        <v>3435.2000000002604</v>
      </c>
      <c r="BO293" s="87">
        <f>SUMIFS($AU$3:AU294,$AQ$3:AQ294,"D")</f>
        <v>4626.0000000000009</v>
      </c>
      <c r="BP293" s="87">
        <f>SUMIFS($AU$3:AU381,$AQ$3:AQ381,"W")</f>
        <v>12022.400000000001</v>
      </c>
      <c r="BQ293" s="87">
        <f>SUMIFS($AU$3:AU294,$Q$3:Q294,"O")</f>
        <v>1381.9800000000123</v>
      </c>
      <c r="BR293" s="87">
        <f>SUMIFS($AU$3:AU294,$AA$3:AA294,"*")</f>
        <v>15915.199999999906</v>
      </c>
      <c r="BS293" s="87">
        <f>SUMIFS($AU$3:AU294,$AB$3:AB294,"*")</f>
        <v>6567.1799999999312</v>
      </c>
      <c r="BT293" s="87">
        <f>SUMIFS($AU$3:AU294,$AC$3:AC294,"*")</f>
        <v>9588.4</v>
      </c>
      <c r="BU293" s="87">
        <f>SUMIFS($AU$3:AU294,$AA$3:AA294,"*",$AB$3:AB294,"*")</f>
        <v>4415.9999999998217</v>
      </c>
      <c r="BV293" s="87">
        <f>SUMIFS($AU$3:AU294,$AA$3:AA294,"*",$AC$3:AC294,"*")</f>
        <v>9124.4</v>
      </c>
      <c r="BW293" s="87">
        <f>SUMIFS($AU$3:AU294,$AB$3:AB294,"*",$AC$3:AC294,"*")</f>
        <v>3279.9999999999982</v>
      </c>
      <c r="BX293" s="87">
        <f>SUMIFS($AV$3:AV294,$Q$3:Q294,"F")</f>
        <v>279.94786430960346</v>
      </c>
      <c r="BY293" s="87">
        <f>SUMIFS($AV$3:AV294,$Q$3:Q294,"S")</f>
        <v>290.34781249396258</v>
      </c>
      <c r="BZ293" s="87">
        <f>SUMIFS($AV$3:AV294,$Q$3:Q294,"O")</f>
        <v>456.93999999988114</v>
      </c>
    </row>
    <row r="294" spans="1:78" ht="18" customHeight="1">
      <c r="A294" s="45" t="s">
        <v>1047</v>
      </c>
      <c r="B294" s="59"/>
      <c r="C294" s="46"/>
      <c r="D294" s="46"/>
      <c r="E294" s="66"/>
      <c r="F294" s="47"/>
      <c r="G294" s="48"/>
      <c r="H294" s="49">
        <v>1</v>
      </c>
      <c r="I294" s="49"/>
      <c r="J294" s="49"/>
      <c r="K294" s="50" t="s">
        <v>142</v>
      </c>
      <c r="L294" s="49"/>
      <c r="M294" s="49"/>
      <c r="N294" s="49"/>
      <c r="O294" s="50"/>
      <c r="P294" s="50"/>
      <c r="Q294" s="50"/>
      <c r="R294" s="50"/>
      <c r="S294" s="50"/>
      <c r="T294" s="50"/>
      <c r="U294" s="50"/>
      <c r="V294" s="50"/>
      <c r="W294" s="50"/>
      <c r="X294" s="50"/>
      <c r="Y294" s="50"/>
      <c r="Z294" s="50"/>
      <c r="AA294" s="52"/>
      <c r="AB294" s="52"/>
      <c r="AC294" s="52"/>
      <c r="AD294" s="231"/>
      <c r="AE294" s="49"/>
      <c r="AF294" s="84"/>
      <c r="AG294" s="49"/>
      <c r="AH294" s="49"/>
      <c r="AI294" s="49"/>
      <c r="AJ294" s="226"/>
      <c r="AK294" s="49"/>
      <c r="AL294" s="113">
        <f t="shared" si="94"/>
        <v>0</v>
      </c>
      <c r="AM294" s="113">
        <f t="shared" si="95"/>
        <v>0</v>
      </c>
      <c r="AN294" s="218"/>
      <c r="AO294" s="49"/>
      <c r="AP294" s="49"/>
      <c r="AQ294" s="84" t="str">
        <f>UPPER(RIGHT(Journal_Live[[#This Row],[DURATION ]]))</f>
        <v/>
      </c>
      <c r="AR294" s="49"/>
      <c r="AS294" s="55"/>
      <c r="AT294" s="55"/>
      <c r="AU294" s="54"/>
      <c r="AV294" s="56"/>
      <c r="AW294" s="57"/>
      <c r="AX294" s="99" t="s">
        <v>992</v>
      </c>
      <c r="AY294" s="97" t="s">
        <v>1140</v>
      </c>
      <c r="AZ294" s="97" t="s">
        <v>1055</v>
      </c>
      <c r="BA294" s="151" t="s">
        <v>1141</v>
      </c>
      <c r="BB294" s="151" t="s">
        <v>1142</v>
      </c>
      <c r="BC294" s="151"/>
      <c r="BD294" s="151"/>
      <c r="BE294" s="152"/>
      <c r="BF294" s="151"/>
      <c r="BG294" s="94">
        <f>SUM($AV$4:AV294)</f>
        <v>1243.2356768034551</v>
      </c>
      <c r="BH294" s="95">
        <f>SUM($AU$4:AU294)</f>
        <v>18130.380000000019</v>
      </c>
      <c r="BI294" s="80">
        <f>SUMIFS($AU$3:AU295,$Q$3:Q295,"F")</f>
        <v>12708.400000000001</v>
      </c>
      <c r="BJ294" s="80">
        <f>SUMIFS($AU$3:AU295,$Q$3:Q295,"S")</f>
        <v>3759.9999999999932</v>
      </c>
      <c r="BK294" s="87">
        <f>SUMIFS($AU$3:AU295,$P$3:P295,"W")</f>
        <v>11757.579999999931</v>
      </c>
      <c r="BL294" s="87">
        <f>SUMIFS($AU$3:AU295,$P$3:P295,"R")</f>
        <v>4981.9999999999991</v>
      </c>
      <c r="BM294" s="87">
        <f>SUMIFS($AU$3:AU295,$AQ$3:AQ295,"M")</f>
        <v>4830.7799999997524</v>
      </c>
      <c r="BN294" s="87">
        <f>SUMIFS($AU$3:AU295,$AQ$3:AQ295,"H")</f>
        <v>3435.2000000002604</v>
      </c>
      <c r="BO294" s="87">
        <f>SUMIFS($AU$3:AU295,$AQ$3:AQ295,"D")</f>
        <v>4626.0000000000009</v>
      </c>
      <c r="BP294" s="87">
        <f>SUMIFS($AU$3:AU382,$AQ$3:AQ382,"W")</f>
        <v>12022.400000000001</v>
      </c>
      <c r="BQ294" s="87">
        <f>SUMIFS($AU$3:AU295,$Q$3:Q295,"O")</f>
        <v>1381.9800000000123</v>
      </c>
      <c r="BR294" s="87">
        <f>SUMIFS($AU$3:AU295,$AA$3:AA295,"*")</f>
        <v>15915.199999999906</v>
      </c>
      <c r="BS294" s="87">
        <f>SUMIFS($AU$3:AU295,$AB$3:AB295,"*")</f>
        <v>6567.1799999999312</v>
      </c>
      <c r="BT294" s="87">
        <f>SUMIFS($AU$3:AU295,$AC$3:AC295,"*")</f>
        <v>9588.4</v>
      </c>
      <c r="BU294" s="87">
        <f>SUMIFS($AU$3:AU295,$AA$3:AA295,"*",$AB$3:AB295,"*")</f>
        <v>4415.9999999998217</v>
      </c>
      <c r="BV294" s="87">
        <f>SUMIFS($AU$3:AU295,$AA$3:AA295,"*",$AC$3:AC295,"*")</f>
        <v>9124.4</v>
      </c>
      <c r="BW294" s="87">
        <f>SUMIFS($AU$3:AU295,$AB$3:AB295,"*",$AC$3:AC295,"*")</f>
        <v>3279.9999999999982</v>
      </c>
      <c r="BX294" s="87">
        <f>SUMIFS($AV$3:AV295,$Q$3:Q295,"F")</f>
        <v>279.94786430960346</v>
      </c>
      <c r="BY294" s="87">
        <f>SUMIFS($AV$3:AV295,$Q$3:Q295,"S")</f>
        <v>290.34781249396258</v>
      </c>
      <c r="BZ294" s="87">
        <f>SUMIFS($AV$3:AV295,$Q$3:Q295,"O")</f>
        <v>456.93999999988114</v>
      </c>
    </row>
    <row r="295" spans="1:78" ht="18" customHeight="1">
      <c r="A295" s="45" t="s">
        <v>1047</v>
      </c>
      <c r="B295" s="59">
        <v>45363</v>
      </c>
      <c r="C295" s="46" t="s">
        <v>1143</v>
      </c>
      <c r="D295" s="46" t="s">
        <v>98</v>
      </c>
      <c r="E295" s="66" t="s">
        <v>1144</v>
      </c>
      <c r="F295" s="47" t="s">
        <v>1145</v>
      </c>
      <c r="G295" s="48"/>
      <c r="H295" s="49">
        <v>1</v>
      </c>
      <c r="I295" s="49"/>
      <c r="J295" s="49"/>
      <c r="K295" s="50" t="s">
        <v>142</v>
      </c>
      <c r="L295" s="49"/>
      <c r="M295" s="49"/>
      <c r="N295" s="49"/>
      <c r="O295" s="50"/>
      <c r="P295" s="50"/>
      <c r="Q295" s="50"/>
      <c r="R295" s="50"/>
      <c r="S295" s="50"/>
      <c r="T295" s="50"/>
      <c r="U295" s="50"/>
      <c r="V295" s="50"/>
      <c r="W295" s="50"/>
      <c r="X295" s="50"/>
      <c r="Y295" s="50"/>
      <c r="Z295" s="50"/>
      <c r="AA295" s="52"/>
      <c r="AB295" s="52"/>
      <c r="AC295" s="52"/>
      <c r="AD295" s="231"/>
      <c r="AE295" s="49"/>
      <c r="AF295" s="84"/>
      <c r="AG295" s="49"/>
      <c r="AH295" s="49"/>
      <c r="AI295" s="49"/>
      <c r="AJ295" s="226"/>
      <c r="AK295" s="49"/>
      <c r="AL295" s="113">
        <f t="shared" si="90"/>
        <v>0</v>
      </c>
      <c r="AM295" s="113">
        <f t="shared" si="95"/>
        <v>0</v>
      </c>
      <c r="AN295" s="218"/>
      <c r="AO295" s="49"/>
      <c r="AP295" s="49"/>
      <c r="AQ295" s="84" t="str">
        <f>UPPER(RIGHT(Journal_Live[[#This Row],[DURATION ]]))</f>
        <v/>
      </c>
      <c r="AR295" s="49"/>
      <c r="AS295" s="55"/>
      <c r="AT295" s="55"/>
      <c r="AU295" s="54"/>
      <c r="AV295" s="56"/>
      <c r="AW295" s="57"/>
      <c r="AX295" s="99" t="s">
        <v>1059</v>
      </c>
      <c r="AY295" s="153" t="s">
        <v>1146</v>
      </c>
      <c r="AZ295" s="157" t="s">
        <v>1147</v>
      </c>
      <c r="BA295" s="153"/>
      <c r="BB295" s="153"/>
      <c r="BC295" s="153"/>
      <c r="BD295" s="151"/>
      <c r="BE295" s="152"/>
      <c r="BF295" s="151"/>
      <c r="BG295" s="94">
        <f>SUM($AV$4:AV295)</f>
        <v>1243.2356768034551</v>
      </c>
      <c r="BH295" s="95">
        <f>SUM($AU$4:AU295)</f>
        <v>18130.380000000019</v>
      </c>
      <c r="BI295" s="80">
        <f>SUMIFS($AU$3:AU296,$Q$3:Q296,"F")</f>
        <v>12708.400000000001</v>
      </c>
      <c r="BJ295" s="80">
        <f>SUMIFS($AU$3:AU296,$Q$3:Q296,"S")</f>
        <v>3759.9999999999932</v>
      </c>
      <c r="BK295" s="87">
        <f>SUMIFS($AU$3:AU296,$P$3:P296,"W")</f>
        <v>11757.579999999931</v>
      </c>
      <c r="BL295" s="87">
        <f>SUMIFS($AU$3:AU296,$P$3:P296,"R")</f>
        <v>4981.9999999999991</v>
      </c>
      <c r="BM295" s="87">
        <f>SUMIFS($AU$3:AU296,$AQ$3:AQ296,"M")</f>
        <v>4830.7799999997524</v>
      </c>
      <c r="BN295" s="87">
        <f>SUMIFS($AU$3:AU296,$AQ$3:AQ296,"H")</f>
        <v>3435.2000000002604</v>
      </c>
      <c r="BO295" s="87">
        <f>SUMIFS($AU$3:AU296,$AQ$3:AQ296,"D")</f>
        <v>4626.0000000000009</v>
      </c>
      <c r="BP295" s="87">
        <f>SUMIFS($AU$3:AU383,$AQ$3:AQ383,"W")</f>
        <v>12022.400000000001</v>
      </c>
      <c r="BQ295" s="87">
        <f>SUMIFS($AU$3:AU296,$Q$3:Q296,"O")</f>
        <v>1381.9800000000123</v>
      </c>
      <c r="BR295" s="87">
        <f>SUMIFS($AU$3:AU296,$AA$3:AA296,"*")</f>
        <v>15915.199999999906</v>
      </c>
      <c r="BS295" s="87">
        <f>SUMIFS($AU$3:AU296,$AB$3:AB296,"*")</f>
        <v>6567.1799999999312</v>
      </c>
      <c r="BT295" s="87">
        <f>SUMIFS($AU$3:AU296,$AC$3:AC296,"*")</f>
        <v>9588.4</v>
      </c>
      <c r="BU295" s="87">
        <f>SUMIFS($AU$3:AU296,$AA$3:AA296,"*",$AB$3:AB296,"*")</f>
        <v>4415.9999999998217</v>
      </c>
      <c r="BV295" s="87">
        <f>SUMIFS($AU$3:AU296,$AA$3:AA296,"*",$AC$3:AC296,"*")</f>
        <v>9124.4</v>
      </c>
      <c r="BW295" s="87">
        <f>SUMIFS($AU$3:AU296,$AB$3:AB296,"*",$AC$3:AC296,"*")</f>
        <v>3279.9999999999982</v>
      </c>
      <c r="BX295" s="87">
        <f>SUMIFS($AV$3:AV296,$Q$3:Q296,"F")</f>
        <v>279.94786430960346</v>
      </c>
      <c r="BY295" s="87">
        <f>SUMIFS($AV$3:AV296,$Q$3:Q296,"S")</f>
        <v>290.34781249396258</v>
      </c>
      <c r="BZ295" s="87">
        <f>SUMIFS($AV$3:AV296,$Q$3:Q296,"O")</f>
        <v>456.93999999988114</v>
      </c>
    </row>
    <row r="296" spans="1:78" ht="18" customHeight="1">
      <c r="A296" s="45" t="s">
        <v>1047</v>
      </c>
      <c r="B296" s="59"/>
      <c r="C296" s="46"/>
      <c r="D296" s="46"/>
      <c r="E296" s="66" t="s">
        <v>1148</v>
      </c>
      <c r="F296" s="47"/>
      <c r="G296" s="48"/>
      <c r="H296" s="49"/>
      <c r="I296" s="49">
        <v>1</v>
      </c>
      <c r="J296" s="49"/>
      <c r="K296" s="50"/>
      <c r="L296" s="49"/>
      <c r="M296" s="49"/>
      <c r="N296" s="49"/>
      <c r="O296" s="50"/>
      <c r="P296" s="50"/>
      <c r="Q296" s="50"/>
      <c r="R296" s="50"/>
      <c r="S296" s="50"/>
      <c r="T296" s="50"/>
      <c r="U296" s="50"/>
      <c r="V296" s="50"/>
      <c r="W296" s="50"/>
      <c r="X296" s="50"/>
      <c r="Y296" s="50"/>
      <c r="Z296" s="50"/>
      <c r="AA296" s="52"/>
      <c r="AB296" s="52"/>
      <c r="AC296" s="52"/>
      <c r="AD296" s="231"/>
      <c r="AE296" s="49"/>
      <c r="AF296" s="84"/>
      <c r="AG296" s="49"/>
      <c r="AH296" s="49"/>
      <c r="AI296" s="49"/>
      <c r="AJ296" s="226"/>
      <c r="AK296" s="49"/>
      <c r="AL296" s="113">
        <f t="shared" si="90"/>
        <v>0</v>
      </c>
      <c r="AM296" s="113">
        <f t="shared" si="95"/>
        <v>0</v>
      </c>
      <c r="AN296" s="218"/>
      <c r="AO296" s="49"/>
      <c r="AP296" s="49"/>
      <c r="AQ296" s="84" t="str">
        <f>UPPER(RIGHT(Journal_Live[[#This Row],[DURATION ]]))</f>
        <v/>
      </c>
      <c r="AR296" s="49"/>
      <c r="AS296" s="55"/>
      <c r="AT296" s="55"/>
      <c r="AU296" s="54"/>
      <c r="AV296" s="56"/>
      <c r="AW296" s="57"/>
      <c r="AX296" s="153" t="s">
        <v>1149</v>
      </c>
      <c r="AY296" s="156" t="s">
        <v>1150</v>
      </c>
      <c r="AZ296" s="153" t="s">
        <v>1151</v>
      </c>
      <c r="BA296" s="153"/>
      <c r="BB296" s="153"/>
      <c r="BC296" s="153"/>
      <c r="BD296" s="151"/>
      <c r="BE296" s="152"/>
      <c r="BF296" s="151"/>
      <c r="BG296" s="94">
        <f>SUM($AV$4:AV296)</f>
        <v>1243.2356768034551</v>
      </c>
      <c r="BH296" s="95">
        <f>SUM($AU$4:AU296)</f>
        <v>18130.380000000019</v>
      </c>
      <c r="BI296" s="80">
        <f>SUMIFS($AU$3:AU297,$Q$3:Q297,"F")</f>
        <v>12708.400000000001</v>
      </c>
      <c r="BJ296" s="80">
        <f>SUMIFS($AU$3:AU297,$Q$3:Q297,"S")</f>
        <v>3759.9999999999932</v>
      </c>
      <c r="BK296" s="87">
        <f>SUMIFS($AU$3:AU297,$P$3:P297,"W")</f>
        <v>11757.579999999931</v>
      </c>
      <c r="BL296" s="87">
        <f>SUMIFS($AU$3:AU297,$P$3:P297,"R")</f>
        <v>4981.9999999999991</v>
      </c>
      <c r="BM296" s="87">
        <f>SUMIFS($AU$3:AU297,$AQ$3:AQ297,"M")</f>
        <v>4830.7799999997524</v>
      </c>
      <c r="BN296" s="87">
        <f>SUMIFS($AU$3:AU297,$AQ$3:AQ297,"H")</f>
        <v>3435.2000000002604</v>
      </c>
      <c r="BO296" s="87">
        <f>SUMIFS($AU$3:AU297,$AQ$3:AQ297,"D")</f>
        <v>4626.0000000000009</v>
      </c>
      <c r="BP296" s="87">
        <f>SUMIFS($AU$3:AU384,$AQ$3:AQ384,"W")</f>
        <v>12022.400000000001</v>
      </c>
      <c r="BQ296" s="87">
        <f>SUMIFS($AU$3:AU297,$Q$3:Q297,"O")</f>
        <v>1381.9800000000123</v>
      </c>
      <c r="BR296" s="87">
        <f>SUMIFS($AU$3:AU297,$AA$3:AA297,"*")</f>
        <v>15915.199999999906</v>
      </c>
      <c r="BS296" s="87">
        <f>SUMIFS($AU$3:AU297,$AB$3:AB297,"*")</f>
        <v>6567.1799999999312</v>
      </c>
      <c r="BT296" s="87">
        <f>SUMIFS($AU$3:AU297,$AC$3:AC297,"*")</f>
        <v>9588.4</v>
      </c>
      <c r="BU296" s="87">
        <f>SUMIFS($AU$3:AU297,$AA$3:AA297,"*",$AB$3:AB297,"*")</f>
        <v>4415.9999999998217</v>
      </c>
      <c r="BV296" s="87">
        <f>SUMIFS($AU$3:AU297,$AA$3:AA297,"*",$AC$3:AC297,"*")</f>
        <v>9124.4</v>
      </c>
      <c r="BW296" s="87">
        <f>SUMIFS($AU$3:AU297,$AB$3:AB297,"*",$AC$3:AC297,"*")</f>
        <v>3279.9999999999982</v>
      </c>
      <c r="BX296" s="87">
        <f>SUMIFS($AV$3:AV297,$Q$3:Q297,"F")</f>
        <v>279.94786430960346</v>
      </c>
      <c r="BY296" s="87">
        <f>SUMIFS($AV$3:AV297,$Q$3:Q297,"S")</f>
        <v>290.34781249396258</v>
      </c>
      <c r="BZ296" s="87">
        <f>SUMIFS($AV$3:AV297,$Q$3:Q297,"O")</f>
        <v>456.93999999988114</v>
      </c>
    </row>
    <row r="297" spans="1:78" ht="18" customHeight="1">
      <c r="A297" s="45" t="s">
        <v>1047</v>
      </c>
      <c r="B297" s="59"/>
      <c r="C297" s="46"/>
      <c r="D297" s="46"/>
      <c r="E297" s="66" t="s">
        <v>1152</v>
      </c>
      <c r="F297" s="47"/>
      <c r="G297" s="48"/>
      <c r="H297" s="49">
        <v>1</v>
      </c>
      <c r="I297" s="49"/>
      <c r="J297" s="49"/>
      <c r="K297" s="50" t="s">
        <v>142</v>
      </c>
      <c r="L297" s="49"/>
      <c r="M297" s="49"/>
      <c r="N297" s="49"/>
      <c r="O297" s="50"/>
      <c r="P297" s="50"/>
      <c r="Q297" s="50"/>
      <c r="R297" s="50"/>
      <c r="S297" s="50"/>
      <c r="T297" s="50"/>
      <c r="U297" s="50"/>
      <c r="V297" s="50"/>
      <c r="W297" s="50"/>
      <c r="X297" s="50"/>
      <c r="Y297" s="50"/>
      <c r="Z297" s="50"/>
      <c r="AA297" s="52"/>
      <c r="AB297" s="52"/>
      <c r="AC297" s="52"/>
      <c r="AD297" s="231"/>
      <c r="AE297" s="49"/>
      <c r="AF297" s="84"/>
      <c r="AG297" s="49"/>
      <c r="AH297" s="49"/>
      <c r="AI297" s="49"/>
      <c r="AJ297" s="226"/>
      <c r="AK297" s="49"/>
      <c r="AL297" s="113">
        <f t="shared" si="90"/>
        <v>0</v>
      </c>
      <c r="AM297" s="113">
        <f t="shared" si="95"/>
        <v>0</v>
      </c>
      <c r="AN297" s="218"/>
      <c r="AO297" s="49"/>
      <c r="AP297" s="49"/>
      <c r="AQ297" s="84" t="str">
        <f>UPPER(RIGHT(Journal_Live[[#This Row],[DURATION ]]))</f>
        <v/>
      </c>
      <c r="AR297" s="49"/>
      <c r="AS297" s="55"/>
      <c r="AT297" s="55"/>
      <c r="AU297" s="54"/>
      <c r="AV297" s="56"/>
      <c r="AW297" s="57"/>
      <c r="AX297" s="99" t="s">
        <v>992</v>
      </c>
      <c r="AY297" s="97" t="s">
        <v>1140</v>
      </c>
      <c r="AZ297" s="97" t="s">
        <v>1055</v>
      </c>
      <c r="BA297" s="151" t="s">
        <v>1141</v>
      </c>
      <c r="BB297" s="151" t="s">
        <v>1142</v>
      </c>
      <c r="BC297" s="153"/>
      <c r="BD297" s="151"/>
      <c r="BE297" s="152"/>
      <c r="BF297" s="151"/>
      <c r="BG297" s="94">
        <f>SUM($AV$4:AV297)</f>
        <v>1243.2356768034551</v>
      </c>
      <c r="BH297" s="95">
        <f>SUM($AU$4:AU297)</f>
        <v>18130.380000000019</v>
      </c>
      <c r="BI297" s="80">
        <f>SUMIFS($AU$3:AU298,$Q$3:Q298,"F")</f>
        <v>15828.400000000001</v>
      </c>
      <c r="BJ297" s="80">
        <f>SUMIFS($AU$3:AU298,$Q$3:Q298,"S")</f>
        <v>3759.9999999999932</v>
      </c>
      <c r="BK297" s="87">
        <f>SUMIFS($AU$3:AU298,$P$3:P298,"W")</f>
        <v>14877.579999999931</v>
      </c>
      <c r="BL297" s="87">
        <f>SUMIFS($AU$3:AU298,$P$3:P298,"R")</f>
        <v>4981.9999999999991</v>
      </c>
      <c r="BM297" s="87">
        <f>SUMIFS($AU$3:AU298,$AQ$3:AQ298,"M")</f>
        <v>4830.7799999997524</v>
      </c>
      <c r="BN297" s="87">
        <f>SUMIFS($AU$3:AU298,$AQ$3:AQ298,"H")</f>
        <v>3435.2000000002604</v>
      </c>
      <c r="BO297" s="87">
        <f>SUMIFS($AU$3:AU298,$AQ$3:AQ298,"D")</f>
        <v>4626.0000000000009</v>
      </c>
      <c r="BP297" s="87">
        <f>SUMIFS($AU$3:AU385,$AQ$3:AQ385,"W")</f>
        <v>12022.400000000001</v>
      </c>
      <c r="BQ297" s="87">
        <f>SUMIFS($AU$3:AU298,$Q$3:Q298,"O")</f>
        <v>1381.9800000000123</v>
      </c>
      <c r="BR297" s="87">
        <f>SUMIFS($AU$3:AU298,$AA$3:AA298,"*")</f>
        <v>19035.199999999906</v>
      </c>
      <c r="BS297" s="87">
        <f>SUMIFS($AU$3:AU298,$AB$3:AB298,"*")</f>
        <v>6567.1799999999312</v>
      </c>
      <c r="BT297" s="87">
        <f>SUMIFS($AU$3:AU298,$AC$3:AC298,"*")</f>
        <v>12708.4</v>
      </c>
      <c r="BU297" s="87">
        <f>SUMIFS($AU$3:AU298,$AA$3:AA298,"*",$AB$3:AB298,"*")</f>
        <v>4415.9999999998217</v>
      </c>
      <c r="BV297" s="87">
        <f>SUMIFS($AU$3:AU298,$AA$3:AA298,"*",$AC$3:AC298,"*")</f>
        <v>12244.4</v>
      </c>
      <c r="BW297" s="87">
        <f>SUMIFS($AU$3:AU298,$AB$3:AB298,"*",$AC$3:AC298,"*")</f>
        <v>3279.9999999999982</v>
      </c>
      <c r="BX297" s="87">
        <f>SUMIFS($AV$3:AV298,$Q$3:Q298,"F")</f>
        <v>321.54786430960348</v>
      </c>
      <c r="BY297" s="87">
        <f>SUMIFS($AV$3:AV298,$Q$3:Q298,"S")</f>
        <v>290.34781249396258</v>
      </c>
      <c r="BZ297" s="87">
        <f>SUMIFS($AV$3:AV298,$Q$3:Q298,"O")</f>
        <v>456.93999999988114</v>
      </c>
    </row>
    <row r="298" spans="1:78" ht="18" customHeight="1">
      <c r="A298" s="45" t="s">
        <v>1047</v>
      </c>
      <c r="B298" s="59">
        <v>45363</v>
      </c>
      <c r="C298" s="46" t="s">
        <v>147</v>
      </c>
      <c r="D298" s="46" t="s">
        <v>98</v>
      </c>
      <c r="E298" s="66"/>
      <c r="F298" s="47"/>
      <c r="G298" s="104" t="s">
        <v>1153</v>
      </c>
      <c r="H298" s="49"/>
      <c r="I298" s="49"/>
      <c r="J298" s="49"/>
      <c r="K298" s="50"/>
      <c r="L298" s="49"/>
      <c r="M298" s="49">
        <v>2</v>
      </c>
      <c r="N298" s="49"/>
      <c r="O298" s="50" t="s">
        <v>100</v>
      </c>
      <c r="P298" s="50" t="s">
        <v>101</v>
      </c>
      <c r="Q298" s="50" t="s">
        <v>127</v>
      </c>
      <c r="R298" s="50">
        <v>75</v>
      </c>
      <c r="S298" s="50">
        <v>25</v>
      </c>
      <c r="T298" s="50">
        <v>25</v>
      </c>
      <c r="U298" s="50" t="s">
        <v>102</v>
      </c>
      <c r="V298" s="50"/>
      <c r="W298" s="50"/>
      <c r="X298" s="50"/>
      <c r="Y298" s="51">
        <f>IF(ISBLANK(O298),"",(IF(O298=UPPER("IB"),0.005,0.01)))</f>
        <v>0.01</v>
      </c>
      <c r="Z298" s="52">
        <f>IF(ISBLANK(O298),"",IF(O298="IB",8.63*200,IF(O298="IR",16*100,IF(O298="YT",20*100,IF(O298="YT-XT",24*200,IF(O298="TED",80*100))))))</f>
        <v>1600</v>
      </c>
      <c r="AA298" s="52" t="s">
        <v>1154</v>
      </c>
      <c r="AB298" s="52"/>
      <c r="AC298" s="52" t="s">
        <v>1092</v>
      </c>
      <c r="AD298" s="231">
        <f>(0.03*50+0.02*25)/75</f>
        <v>2.6666666666666668E-2</v>
      </c>
      <c r="AE298" s="49"/>
      <c r="AF298" s="84"/>
      <c r="AG298" s="49"/>
      <c r="AH298" s="49" t="s">
        <v>1155</v>
      </c>
      <c r="AI298" s="49"/>
      <c r="AJ298" s="226"/>
      <c r="AK298" s="49"/>
      <c r="AL298" s="113">
        <f>-0.035*Z298</f>
        <v>-56.000000000000007</v>
      </c>
      <c r="AM298" s="113">
        <f t="shared" si="95"/>
        <v>-2800.0000000000005</v>
      </c>
      <c r="AN298" s="218" t="s">
        <v>1156</v>
      </c>
      <c r="AO298" s="49"/>
      <c r="AP298" s="49" t="s">
        <v>1157</v>
      </c>
      <c r="AQ298" s="84" t="s">
        <v>101</v>
      </c>
      <c r="AR298" s="49" t="s">
        <v>1158</v>
      </c>
      <c r="AS298" s="55">
        <f>(0*20+0.01*5+0*50)/75</f>
        <v>6.6666666666666675E-4</v>
      </c>
      <c r="AT298" s="55">
        <f>IF(ISBLANK(AS298),,IF(U298="S",AD298-AS298,AS298-AD298))</f>
        <v>2.6000000000000002E-2</v>
      </c>
      <c r="AU298" s="54">
        <f>AV298*R298</f>
        <v>3120</v>
      </c>
      <c r="AV298" s="56">
        <f t="shared" ref="AV298:AV303" si="97">IF(ISBLANK(AS298),,(AT298*Z298))</f>
        <v>41.6</v>
      </c>
      <c r="AW298" s="57" t="s">
        <v>101</v>
      </c>
      <c r="AX298" s="153" t="s">
        <v>489</v>
      </c>
      <c r="AY298" s="153" t="s">
        <v>1159</v>
      </c>
      <c r="AZ298" s="153"/>
      <c r="BA298" s="153"/>
      <c r="BB298" s="153"/>
      <c r="BC298" s="153"/>
      <c r="BD298" s="151"/>
      <c r="BE298" s="152"/>
      <c r="BF298" s="151"/>
      <c r="BG298" s="94">
        <f>SUM($AV$4:AV298)</f>
        <v>1284.835676803455</v>
      </c>
      <c r="BH298" s="95">
        <f>SUM($AU$4:AU298)</f>
        <v>21250.380000000019</v>
      </c>
      <c r="BI298" s="80">
        <f>SUMIFS($AU$3:AU299,$Q$3:Q299,"F")</f>
        <v>15828.400000000001</v>
      </c>
      <c r="BJ298" s="80">
        <f>SUMIFS($AU$3:AU299,$Q$3:Q299,"S")</f>
        <v>3759.9999999999932</v>
      </c>
      <c r="BK298" s="87">
        <f>SUMIFS($AU$3:AU299,$P$3:P299,"W")</f>
        <v>14877.579999999931</v>
      </c>
      <c r="BL298" s="87">
        <f>SUMIFS($AU$3:AU299,$P$3:P299,"R")</f>
        <v>4981.9999999999991</v>
      </c>
      <c r="BM298" s="87">
        <f>SUMIFS($AU$3:AU299,$AQ$3:AQ299,"M")</f>
        <v>4830.7799999997524</v>
      </c>
      <c r="BN298" s="87">
        <f>SUMIFS($AU$3:AU299,$AQ$3:AQ299,"H")</f>
        <v>3435.2000000002604</v>
      </c>
      <c r="BO298" s="87">
        <f>SUMIFS($AU$3:AU299,$AQ$3:AQ299,"D")</f>
        <v>4626.0000000000009</v>
      </c>
      <c r="BP298" s="87">
        <f>SUMIFS($AU$3:AU386,$AQ$3:AQ386,"W")</f>
        <v>12022.400000000001</v>
      </c>
      <c r="BQ298" s="87">
        <f>SUMIFS($AU$3:AU299,$Q$3:Q299,"O")</f>
        <v>1381.9800000000123</v>
      </c>
      <c r="BR298" s="87">
        <f>SUMIFS($AU$3:AU299,$AA$3:AA299,"*")</f>
        <v>19035.199999999906</v>
      </c>
      <c r="BS298" s="87">
        <f>SUMIFS($AU$3:AU299,$AB$3:AB299,"*")</f>
        <v>6567.1799999999312</v>
      </c>
      <c r="BT298" s="87">
        <f>SUMIFS($AU$3:AU299,$AC$3:AC299,"*")</f>
        <v>12708.4</v>
      </c>
      <c r="BU298" s="87">
        <f>SUMIFS($AU$3:AU299,$AA$3:AA299,"*",$AB$3:AB299,"*")</f>
        <v>4415.9999999998217</v>
      </c>
      <c r="BV298" s="87">
        <f>SUMIFS($AU$3:AU299,$AA$3:AA299,"*",$AC$3:AC299,"*")</f>
        <v>12244.4</v>
      </c>
      <c r="BW298" s="87">
        <f>SUMIFS($AU$3:AU299,$AB$3:AB299,"*",$AC$3:AC299,"*")</f>
        <v>3279.9999999999982</v>
      </c>
      <c r="BX298" s="87">
        <f>SUMIFS($AV$3:AV299,$Q$3:Q299,"F")</f>
        <v>321.54786430960348</v>
      </c>
      <c r="BY298" s="87">
        <f>SUMIFS($AV$3:AV299,$Q$3:Q299,"S")</f>
        <v>290.34781249396258</v>
      </c>
      <c r="BZ298" s="87">
        <f>SUMIFS($AV$3:AV299,$Q$3:Q299,"O")</f>
        <v>456.93999999988114</v>
      </c>
    </row>
    <row r="299" spans="1:78" ht="18" customHeight="1">
      <c r="A299" s="45" t="s">
        <v>1047</v>
      </c>
      <c r="B299" s="59">
        <v>45363</v>
      </c>
      <c r="C299" s="46" t="s">
        <v>147</v>
      </c>
      <c r="D299" s="46" t="s">
        <v>98</v>
      </c>
      <c r="E299" s="66"/>
      <c r="F299" s="47"/>
      <c r="G299" s="48" t="s">
        <v>181</v>
      </c>
      <c r="H299" s="49"/>
      <c r="I299" s="49"/>
      <c r="J299" s="49"/>
      <c r="K299" s="50"/>
      <c r="L299" s="49"/>
      <c r="M299" s="49"/>
      <c r="N299" s="49"/>
      <c r="O299" s="50"/>
      <c r="P299" s="50"/>
      <c r="Q299" s="50"/>
      <c r="R299" s="50"/>
      <c r="S299" s="50"/>
      <c r="T299" s="50"/>
      <c r="U299" s="50"/>
      <c r="V299" s="50"/>
      <c r="W299" s="50"/>
      <c r="X299" s="50"/>
      <c r="Y299" s="51"/>
      <c r="Z299" s="52"/>
      <c r="AA299" s="52"/>
      <c r="AB299" s="52"/>
      <c r="AC299" s="52"/>
      <c r="AD299" s="231"/>
      <c r="AE299" s="49"/>
      <c r="AF299" s="84"/>
      <c r="AG299" s="49"/>
      <c r="AH299" s="49"/>
      <c r="AI299" s="49"/>
      <c r="AJ299" s="226"/>
      <c r="AK299" s="49"/>
      <c r="AL299" s="113">
        <f t="shared" si="90"/>
        <v>0</v>
      </c>
      <c r="AM299" s="113">
        <f t="shared" si="95"/>
        <v>0</v>
      </c>
      <c r="AN299" s="218"/>
      <c r="AO299" s="49"/>
      <c r="AP299" s="49"/>
      <c r="AQ299" s="84" t="str">
        <f>UPPER(RIGHT(Journal_Live[[#This Row],[DURATION ]]))</f>
        <v/>
      </c>
      <c r="AR299" s="49"/>
      <c r="AS299" s="55"/>
      <c r="AT299" s="55"/>
      <c r="AU299" s="54"/>
      <c r="AV299" s="56"/>
      <c r="AW299" s="57"/>
      <c r="AX299" s="153"/>
      <c r="AY299" s="153"/>
      <c r="AZ299" s="153"/>
      <c r="BA299" s="153"/>
      <c r="BB299" s="153"/>
      <c r="BC299" s="153"/>
      <c r="BD299" s="151"/>
      <c r="BE299" s="152"/>
      <c r="BF299" s="151"/>
      <c r="BG299" s="94">
        <f>SUM($AV$4:AV299)</f>
        <v>1284.835676803455</v>
      </c>
      <c r="BH299" s="95">
        <f>SUM($AU$4:AU299)</f>
        <v>21250.380000000019</v>
      </c>
      <c r="BI299" s="80">
        <f>SUMIFS($AU$3:AU300,$Q$3:Q300,"F")</f>
        <v>15828.400000000001</v>
      </c>
      <c r="BJ299" s="80">
        <f>SUMIFS($AU$3:AU300,$Q$3:Q300,"S")</f>
        <v>3759.9999999999932</v>
      </c>
      <c r="BK299" s="87">
        <f>SUMIFS($AU$3:AU300,$P$3:P300,"W")</f>
        <v>14877.579999999931</v>
      </c>
      <c r="BL299" s="87">
        <f>SUMIFS($AU$3:AU300,$P$3:P300,"R")</f>
        <v>4981.9999999999991</v>
      </c>
      <c r="BM299" s="87">
        <f>SUMIFS($AU$3:AU300,$AQ$3:AQ300,"M")</f>
        <v>4830.7799999997524</v>
      </c>
      <c r="BN299" s="87">
        <f>SUMIFS($AU$3:AU300,$AQ$3:AQ300,"H")</f>
        <v>3435.2000000002604</v>
      </c>
      <c r="BO299" s="87">
        <f>SUMIFS($AU$3:AU300,$AQ$3:AQ300,"D")</f>
        <v>4626.0000000000009</v>
      </c>
      <c r="BP299" s="87">
        <f>SUMIFS($AU$3:AU387,$AQ$3:AQ387,"W")</f>
        <v>12022.400000000001</v>
      </c>
      <c r="BQ299" s="87">
        <f>SUMIFS($AU$3:AU300,$Q$3:Q300,"O")</f>
        <v>1381.9800000000123</v>
      </c>
      <c r="BR299" s="87">
        <f>SUMIFS($AU$3:AU300,$AA$3:AA300,"*")</f>
        <v>19035.199999999906</v>
      </c>
      <c r="BS299" s="87">
        <f>SUMIFS($AU$3:AU300,$AB$3:AB300,"*")</f>
        <v>6567.1799999999312</v>
      </c>
      <c r="BT299" s="87">
        <f>SUMIFS($AU$3:AU300,$AC$3:AC300,"*")</f>
        <v>12708.4</v>
      </c>
      <c r="BU299" s="87">
        <f>SUMIFS($AU$3:AU300,$AA$3:AA300,"*",$AB$3:AB300,"*")</f>
        <v>4415.9999999998217</v>
      </c>
      <c r="BV299" s="87">
        <f>SUMIFS($AU$3:AU300,$AA$3:AA300,"*",$AC$3:AC300,"*")</f>
        <v>12244.4</v>
      </c>
      <c r="BW299" s="87">
        <f>SUMIFS($AU$3:AU300,$AB$3:AB300,"*",$AC$3:AC300,"*")</f>
        <v>3279.9999999999982</v>
      </c>
      <c r="BX299" s="87">
        <f>SUMIFS($AV$3:AV300,$Q$3:Q300,"F")</f>
        <v>321.54786430960348</v>
      </c>
      <c r="BY299" s="87">
        <f>SUMIFS($AV$3:AV300,$Q$3:Q300,"S")</f>
        <v>290.34781249396258</v>
      </c>
      <c r="BZ299" s="87">
        <f>SUMIFS($AV$3:AV300,$Q$3:Q300,"O")</f>
        <v>456.93999999988114</v>
      </c>
    </row>
    <row r="300" spans="1:78" ht="18" customHeight="1">
      <c r="A300" s="45" t="s">
        <v>1047</v>
      </c>
      <c r="B300" s="59">
        <v>45365</v>
      </c>
      <c r="C300" s="46" t="s">
        <v>1160</v>
      </c>
      <c r="D300" s="46" t="s">
        <v>107</v>
      </c>
      <c r="E300" s="66"/>
      <c r="F300" s="47"/>
      <c r="G300" s="104" t="s">
        <v>269</v>
      </c>
      <c r="H300" s="49"/>
      <c r="I300" s="49"/>
      <c r="J300" s="49"/>
      <c r="K300" s="50"/>
      <c r="L300" s="49"/>
      <c r="M300" s="49">
        <v>1</v>
      </c>
      <c r="N300" s="49"/>
      <c r="O300" s="50" t="s">
        <v>100</v>
      </c>
      <c r="P300" s="50" t="s">
        <v>126</v>
      </c>
      <c r="Q300" s="50" t="s">
        <v>102</v>
      </c>
      <c r="R300" s="50">
        <v>100</v>
      </c>
      <c r="S300" s="50">
        <v>0</v>
      </c>
      <c r="T300" s="50">
        <v>100</v>
      </c>
      <c r="U300" s="50" t="s">
        <v>102</v>
      </c>
      <c r="V300" s="50"/>
      <c r="W300" s="50"/>
      <c r="X300" s="50"/>
      <c r="Y300" s="51">
        <f>IF(ISBLANK(O300),"",(IF(O300=UPPER("IB"),0.005,0.01)))</f>
        <v>0.01</v>
      </c>
      <c r="Z300" s="52">
        <f>IF(ISBLANK(O300),"",IF(O300="IB",8.63*200,IF(O300="IR",16*100,IF(O300="YT",20*100,IF(O300="YT-XT",24*200,IF(O300="TED",80*100))))))</f>
        <v>1600</v>
      </c>
      <c r="AA300" s="52" t="s">
        <v>177</v>
      </c>
      <c r="AB300" s="52"/>
      <c r="AC300" s="52" t="s">
        <v>1161</v>
      </c>
      <c r="AD300" s="231">
        <v>-0.02</v>
      </c>
      <c r="AE300" s="49"/>
      <c r="AF300" s="84"/>
      <c r="AG300" s="49"/>
      <c r="AH300" s="49"/>
      <c r="AI300" s="49"/>
      <c r="AJ300" s="226"/>
      <c r="AK300" s="49"/>
      <c r="AL300" s="113">
        <f>-0.02*Z300</f>
        <v>-32</v>
      </c>
      <c r="AM300" s="113">
        <f t="shared" si="95"/>
        <v>-3200</v>
      </c>
      <c r="AN300" s="218"/>
      <c r="AO300" s="49"/>
      <c r="AP300" s="49" t="s">
        <v>1162</v>
      </c>
      <c r="AQ300" s="84" t="s">
        <v>155</v>
      </c>
      <c r="AR300" s="74">
        <v>45369</v>
      </c>
      <c r="AS300" s="55">
        <v>-0.02</v>
      </c>
      <c r="AT300" s="55">
        <f>IF(ISBLANK(AS300),,IF(U300="S",AD300-AS300,AS300-AD300))</f>
        <v>0</v>
      </c>
      <c r="AU300" s="54">
        <f>AV300*R300</f>
        <v>0</v>
      </c>
      <c r="AV300" s="56">
        <f t="shared" si="97"/>
        <v>0</v>
      </c>
      <c r="AW300" s="57" t="s">
        <v>155</v>
      </c>
      <c r="AX300" s="99" t="s">
        <v>1163</v>
      </c>
      <c r="AY300" s="97"/>
      <c r="AZ300" s="97"/>
      <c r="BA300" s="151"/>
      <c r="BB300" s="151"/>
      <c r="BC300" s="153"/>
      <c r="BD300" s="151"/>
      <c r="BE300" s="152"/>
      <c r="BF300" s="151"/>
      <c r="BG300" s="94">
        <f>SUM($AV$4:AV300)</f>
        <v>1284.835676803455</v>
      </c>
      <c r="BH300" s="95">
        <f>SUM($AU$4:AU300)</f>
        <v>21250.380000000019</v>
      </c>
      <c r="BI300" s="80">
        <f>SUMIFS($AU$3:AU301,$Q$3:Q301,"F")</f>
        <v>15828.400000000001</v>
      </c>
      <c r="BJ300" s="80">
        <f>SUMIFS($AU$3:AU301,$Q$3:Q301,"S")</f>
        <v>3759.9999999999932</v>
      </c>
      <c r="BK300" s="87">
        <f>SUMIFS($AU$3:AU301,$P$3:P301,"W")</f>
        <v>14877.579999999931</v>
      </c>
      <c r="BL300" s="87">
        <f>SUMIFS($AU$3:AU301,$P$3:P301,"R")</f>
        <v>4981.9999999999991</v>
      </c>
      <c r="BM300" s="87">
        <f>SUMIFS($AU$3:AU301,$AQ$3:AQ301,"M")</f>
        <v>4830.7799999997524</v>
      </c>
      <c r="BN300" s="87">
        <f>SUMIFS($AU$3:AU301,$AQ$3:AQ301,"H")</f>
        <v>3435.2000000002604</v>
      </c>
      <c r="BO300" s="87">
        <f>SUMIFS($AU$3:AU301,$AQ$3:AQ301,"D")</f>
        <v>4626.0000000000009</v>
      </c>
      <c r="BP300" s="87">
        <f>SUMIFS($AU$3:AU388,$AQ$3:AQ388,"W")</f>
        <v>12022.400000000001</v>
      </c>
      <c r="BQ300" s="87">
        <f>SUMIFS($AU$3:AU301,$Q$3:Q301,"O")</f>
        <v>1381.9800000000123</v>
      </c>
      <c r="BR300" s="87">
        <f>SUMIFS($AU$3:AU301,$AA$3:AA301,"*")</f>
        <v>19035.199999999906</v>
      </c>
      <c r="BS300" s="87">
        <f>SUMIFS($AU$3:AU301,$AB$3:AB301,"*")</f>
        <v>6567.1799999999312</v>
      </c>
      <c r="BT300" s="87">
        <f>SUMIFS($AU$3:AU301,$AC$3:AC301,"*")</f>
        <v>12708.4</v>
      </c>
      <c r="BU300" s="87">
        <f>SUMIFS($AU$3:AU301,$AA$3:AA301,"*",$AB$3:AB301,"*")</f>
        <v>4415.9999999998217</v>
      </c>
      <c r="BV300" s="87">
        <f>SUMIFS($AU$3:AU301,$AA$3:AA301,"*",$AC$3:AC301,"*")</f>
        <v>12244.4</v>
      </c>
      <c r="BW300" s="87">
        <f>SUMIFS($AU$3:AU301,$AB$3:AB301,"*",$AC$3:AC301,"*")</f>
        <v>3279.9999999999982</v>
      </c>
      <c r="BX300" s="87">
        <f>SUMIFS($AV$3:AV301,$Q$3:Q301,"F")</f>
        <v>321.54786430960348</v>
      </c>
      <c r="BY300" s="87">
        <f>SUMIFS($AV$3:AV301,$Q$3:Q301,"S")</f>
        <v>290.34781249396258</v>
      </c>
      <c r="BZ300" s="87">
        <f>SUMIFS($AV$3:AV301,$Q$3:Q301,"O")</f>
        <v>456.93999999988114</v>
      </c>
    </row>
    <row r="301" spans="1:78" ht="18" customHeight="1">
      <c r="A301" s="45" t="s">
        <v>1047</v>
      </c>
      <c r="B301" s="59">
        <v>45366</v>
      </c>
      <c r="C301" s="46" t="s">
        <v>1164</v>
      </c>
      <c r="D301" s="46" t="s">
        <v>115</v>
      </c>
      <c r="E301" s="66"/>
      <c r="F301" s="47"/>
      <c r="G301" s="48" t="s">
        <v>181</v>
      </c>
      <c r="H301" s="49"/>
      <c r="I301" s="49"/>
      <c r="J301" s="49"/>
      <c r="K301" s="50"/>
      <c r="L301" s="49"/>
      <c r="M301" s="49"/>
      <c r="N301" s="49"/>
      <c r="O301" s="50"/>
      <c r="P301" s="50"/>
      <c r="Q301" s="50"/>
      <c r="R301" s="50"/>
      <c r="S301" s="50"/>
      <c r="T301" s="50"/>
      <c r="U301" s="50"/>
      <c r="V301" s="50"/>
      <c r="W301" s="50"/>
      <c r="X301" s="50"/>
      <c r="Y301" s="51"/>
      <c r="Z301" s="52"/>
      <c r="AA301" s="52"/>
      <c r="AB301" s="52"/>
      <c r="AC301" s="52"/>
      <c r="AD301" s="231"/>
      <c r="AE301" s="49"/>
      <c r="AF301" s="84"/>
      <c r="AG301" s="49"/>
      <c r="AH301" s="49"/>
      <c r="AI301" s="49"/>
      <c r="AJ301" s="226"/>
      <c r="AK301" s="49"/>
      <c r="AL301" s="113">
        <f t="shared" si="90"/>
        <v>0</v>
      </c>
      <c r="AM301" s="113">
        <f t="shared" si="95"/>
        <v>0</v>
      </c>
      <c r="AN301" s="218"/>
      <c r="AO301" s="49"/>
      <c r="AP301" s="49"/>
      <c r="AQ301" s="84" t="str">
        <f>UPPER(RIGHT(Journal_Live[[#This Row],[DURATION ]]))</f>
        <v/>
      </c>
      <c r="AR301" s="49"/>
      <c r="AS301" s="55"/>
      <c r="AT301" s="55"/>
      <c r="AU301" s="54"/>
      <c r="AV301" s="56"/>
      <c r="AW301" s="57"/>
      <c r="AX301" s="153" t="s">
        <v>1165</v>
      </c>
      <c r="AY301" s="153" t="s">
        <v>1166</v>
      </c>
      <c r="AZ301" s="153"/>
      <c r="BA301" s="153"/>
      <c r="BB301" s="153"/>
      <c r="BC301" s="153"/>
      <c r="BD301" s="151"/>
      <c r="BE301" s="152"/>
      <c r="BF301" s="151"/>
      <c r="BG301" s="94">
        <f>SUM($AV$4:AV301)</f>
        <v>1284.835676803455</v>
      </c>
      <c r="BH301" s="95">
        <f>SUM($AU$4:AU301)</f>
        <v>21250.380000000019</v>
      </c>
      <c r="BI301" s="80">
        <f>SUMIFS($AU$3:AU302,$Q$3:Q302,"F")</f>
        <v>15828.400000000001</v>
      </c>
      <c r="BJ301" s="80">
        <f>SUMIFS($AU$3:AU302,$Q$3:Q302,"S")</f>
        <v>3759.9999999999932</v>
      </c>
      <c r="BK301" s="87">
        <f>SUMIFS($AU$3:AU302,$P$3:P302,"W")</f>
        <v>14877.579999999931</v>
      </c>
      <c r="BL301" s="87">
        <f>SUMIFS($AU$3:AU302,$P$3:P302,"R")</f>
        <v>4981.9999999999991</v>
      </c>
      <c r="BM301" s="87">
        <f>SUMIFS($AU$3:AU302,$AQ$3:AQ302,"M")</f>
        <v>4830.7799999997524</v>
      </c>
      <c r="BN301" s="87">
        <f>SUMIFS($AU$3:AU302,$AQ$3:AQ302,"H")</f>
        <v>3435.2000000002604</v>
      </c>
      <c r="BO301" s="87">
        <f>SUMIFS($AU$3:AU302,$AQ$3:AQ302,"D")</f>
        <v>4626.0000000000009</v>
      </c>
      <c r="BP301" s="87">
        <f>SUMIFS($AU$3:AU389,$AQ$3:AQ389,"W")</f>
        <v>12022.400000000001</v>
      </c>
      <c r="BQ301" s="87">
        <f>SUMIFS($AU$3:AU302,$Q$3:Q302,"O")</f>
        <v>1381.9800000000123</v>
      </c>
      <c r="BR301" s="87">
        <f>SUMIFS($AU$3:AU302,$AA$3:AA302,"*")</f>
        <v>19035.199999999906</v>
      </c>
      <c r="BS301" s="87">
        <f>SUMIFS($AU$3:AU302,$AB$3:AB302,"*")</f>
        <v>6567.1799999999312</v>
      </c>
      <c r="BT301" s="87">
        <f>SUMIFS($AU$3:AU302,$AC$3:AC302,"*")</f>
        <v>12708.4</v>
      </c>
      <c r="BU301" s="87">
        <f>SUMIFS($AU$3:AU302,$AA$3:AA302,"*",$AB$3:AB302,"*")</f>
        <v>4415.9999999998217</v>
      </c>
      <c r="BV301" s="87">
        <f>SUMIFS($AU$3:AU302,$AA$3:AA302,"*",$AC$3:AC302,"*")</f>
        <v>12244.4</v>
      </c>
      <c r="BW301" s="87">
        <f>SUMIFS($AU$3:AU302,$AB$3:AB302,"*",$AC$3:AC302,"*")</f>
        <v>3279.9999999999982</v>
      </c>
      <c r="BX301" s="87">
        <f>SUMIFS($AV$3:AV302,$Q$3:Q302,"F")</f>
        <v>321.54786430960348</v>
      </c>
      <c r="BY301" s="87">
        <f>SUMIFS($AV$3:AV302,$Q$3:Q302,"S")</f>
        <v>290.34781249396258</v>
      </c>
      <c r="BZ301" s="87">
        <f>SUMIFS($AV$3:AV302,$Q$3:Q302,"O")</f>
        <v>456.93999999988114</v>
      </c>
    </row>
    <row r="302" spans="1:78" ht="18" customHeight="1">
      <c r="A302" s="45" t="s">
        <v>1047</v>
      </c>
      <c r="B302" s="59">
        <v>45366</v>
      </c>
      <c r="C302" s="46" t="s">
        <v>194</v>
      </c>
      <c r="D302" s="46" t="s">
        <v>115</v>
      </c>
      <c r="E302" s="66"/>
      <c r="F302" s="47"/>
      <c r="G302" s="48" t="s">
        <v>227</v>
      </c>
      <c r="H302" s="49"/>
      <c r="I302" s="49"/>
      <c r="J302" s="49"/>
      <c r="K302" s="50"/>
      <c r="L302" s="49"/>
      <c r="M302" s="49"/>
      <c r="N302" s="49"/>
      <c r="O302" s="50"/>
      <c r="P302" s="50"/>
      <c r="Q302" s="50"/>
      <c r="R302" s="50"/>
      <c r="S302" s="50"/>
      <c r="T302" s="50"/>
      <c r="U302" s="50"/>
      <c r="V302" s="50"/>
      <c r="W302" s="50"/>
      <c r="X302" s="50"/>
      <c r="Y302" s="51"/>
      <c r="Z302" s="52"/>
      <c r="AA302" s="52"/>
      <c r="AB302" s="52"/>
      <c r="AC302" s="52"/>
      <c r="AD302" s="231"/>
      <c r="AE302" s="49"/>
      <c r="AF302" s="84"/>
      <c r="AG302" s="49"/>
      <c r="AH302" s="49"/>
      <c r="AI302" s="49"/>
      <c r="AJ302" s="226"/>
      <c r="AK302" s="49"/>
      <c r="AL302" s="113">
        <f t="shared" ref="AL302" si="98">-0.02*Z302</f>
        <v>0</v>
      </c>
      <c r="AM302" s="113">
        <f t="shared" si="95"/>
        <v>0</v>
      </c>
      <c r="AN302" s="218"/>
      <c r="AO302" s="49"/>
      <c r="AP302" s="49"/>
      <c r="AQ302" s="84" t="str">
        <f>UPPER(RIGHT(Journal_Live[[#This Row],[DURATION ]]))</f>
        <v/>
      </c>
      <c r="AR302" s="49"/>
      <c r="AS302" s="55"/>
      <c r="AT302" s="55"/>
      <c r="AU302" s="54"/>
      <c r="AV302" s="56"/>
      <c r="AW302" s="57"/>
      <c r="AX302" s="153" t="s">
        <v>1167</v>
      </c>
      <c r="AY302" s="153"/>
      <c r="AZ302" s="153"/>
      <c r="BA302" s="153"/>
      <c r="BB302" s="153"/>
      <c r="BC302" s="153"/>
      <c r="BD302" s="151"/>
      <c r="BE302" s="152"/>
      <c r="BF302" s="151"/>
      <c r="BG302" s="94">
        <f>SUM($AV$4:AV302)</f>
        <v>1284.835676803455</v>
      </c>
      <c r="BH302" s="95">
        <f>SUM($AU$4:AU302)</f>
        <v>21250.380000000019</v>
      </c>
      <c r="BI302" s="80">
        <f>SUMIFS($AU$3:AU303,$Q$3:Q303,"F")</f>
        <v>15828.400000000001</v>
      </c>
      <c r="BJ302" s="80">
        <f>SUMIFS($AU$3:AU303,$Q$3:Q303,"S")</f>
        <v>3759.9999999999932</v>
      </c>
      <c r="BK302" s="87">
        <f>SUMIFS($AU$3:AU303,$P$3:P303,"W")</f>
        <v>14877.579999999931</v>
      </c>
      <c r="BL302" s="87">
        <f>SUMIFS($AU$3:AU303,$P$3:P303,"R")</f>
        <v>4981.9999999999991</v>
      </c>
      <c r="BM302" s="87">
        <f>SUMIFS($AU$3:AU303,$AQ$3:AQ303,"M")</f>
        <v>4859.779999999726</v>
      </c>
      <c r="BN302" s="87">
        <f>SUMIFS($AU$3:AU303,$AQ$3:AQ303,"H")</f>
        <v>3435.2000000002604</v>
      </c>
      <c r="BO302" s="87">
        <f>SUMIFS($AU$3:AU303,$AQ$3:AQ303,"D")</f>
        <v>4626.0000000000009</v>
      </c>
      <c r="BP302" s="87">
        <f>SUMIFS($AU$3:AU390,$AQ$3:AQ390,"W")</f>
        <v>12022.400000000001</v>
      </c>
      <c r="BQ302" s="87">
        <f>SUMIFS($AU$3:AU303,$Q$3:Q303,"O")</f>
        <v>1410.9799999999859</v>
      </c>
      <c r="BR302" s="87">
        <f>SUMIFS($AU$3:AU303,$AA$3:AA303,"*")</f>
        <v>19064.199999999881</v>
      </c>
      <c r="BS302" s="87">
        <f>SUMIFS($AU$3:AU303,$AB$3:AB303,"*")</f>
        <v>6567.1799999999312</v>
      </c>
      <c r="BT302" s="87">
        <f>SUMIFS($AU$3:AU303,$AC$3:AC303,"*")</f>
        <v>12708.4</v>
      </c>
      <c r="BU302" s="87">
        <f>SUMIFS($AU$3:AU303,$AA$3:AA303,"*",$AB$3:AB303,"*")</f>
        <v>4415.9999999998217</v>
      </c>
      <c r="BV302" s="87">
        <f>SUMIFS($AU$3:AU303,$AA$3:AA303,"*",$AC$3:AC303,"*")</f>
        <v>12244.4</v>
      </c>
      <c r="BW302" s="87">
        <f>SUMIFS($AU$3:AU303,$AB$3:AB303,"*",$AC$3:AC303,"*")</f>
        <v>3279.9999999999982</v>
      </c>
      <c r="BX302" s="87">
        <f>SUMIFS($AV$3:AV303,$Q$3:Q303,"F")</f>
        <v>321.54786430960348</v>
      </c>
      <c r="BY302" s="87">
        <f>SUMIFS($AV$3:AV303,$Q$3:Q303,"S")</f>
        <v>290.34781249396258</v>
      </c>
      <c r="BZ302" s="87">
        <f>SUMIFS($AV$3:AV303,$Q$3:Q303,"O")</f>
        <v>485.93999999985476</v>
      </c>
    </row>
    <row r="303" spans="1:78" ht="18" customHeight="1">
      <c r="A303" s="45" t="s">
        <v>1047</v>
      </c>
      <c r="B303" s="59">
        <v>45366</v>
      </c>
      <c r="C303" s="46" t="s">
        <v>1168</v>
      </c>
      <c r="D303" s="46" t="s">
        <v>115</v>
      </c>
      <c r="E303" s="66"/>
      <c r="F303" s="47"/>
      <c r="G303" s="48" t="s">
        <v>1169</v>
      </c>
      <c r="H303" s="49"/>
      <c r="I303" s="49"/>
      <c r="J303" s="49"/>
      <c r="K303" s="50"/>
      <c r="L303" s="49">
        <v>1</v>
      </c>
      <c r="M303" s="49"/>
      <c r="N303" s="49"/>
      <c r="O303" s="50" t="s">
        <v>196</v>
      </c>
      <c r="P303" s="50" t="s">
        <v>197</v>
      </c>
      <c r="Q303" s="50" t="s">
        <v>198</v>
      </c>
      <c r="R303" s="50">
        <v>1</v>
      </c>
      <c r="S303" s="50">
        <v>0</v>
      </c>
      <c r="T303" s="50">
        <v>1</v>
      </c>
      <c r="U303" s="50" t="s">
        <v>22</v>
      </c>
      <c r="V303" s="50"/>
      <c r="W303" s="50"/>
      <c r="X303" s="50"/>
      <c r="Y303" s="51">
        <f>IF(ISBLANK(O303),"",(IF(O303=UPPER("IB"),0.005,0.01)))</f>
        <v>0.01</v>
      </c>
      <c r="Z303" s="52">
        <f>IF(ISBLANK(O303),"",IF(O303="IB",8.63*200,IF(O303="IR",16*100,IF(O303="YT",20*100,IF(O303="YT-XT",24*200,IF(O303="TED",80*100,IF(O303="XT",29*200)))))))</f>
        <v>5800</v>
      </c>
      <c r="AA303" s="52" t="s">
        <v>1170</v>
      </c>
      <c r="AB303" s="52"/>
      <c r="AC303" s="52"/>
      <c r="AD303" s="231">
        <v>95.849000000000004</v>
      </c>
      <c r="AE303" s="49"/>
      <c r="AF303" s="84"/>
      <c r="AG303" s="49"/>
      <c r="AH303" s="49"/>
      <c r="AI303" s="49"/>
      <c r="AJ303" s="226"/>
      <c r="AK303" s="49"/>
      <c r="AL303" s="113">
        <f t="shared" si="90"/>
        <v>-116</v>
      </c>
      <c r="AM303" s="113">
        <f t="shared" si="95"/>
        <v>-116</v>
      </c>
      <c r="AN303" s="218"/>
      <c r="AO303" s="49"/>
      <c r="AP303" s="49" t="s">
        <v>233</v>
      </c>
      <c r="AQ303" s="84" t="s">
        <v>350</v>
      </c>
      <c r="AR303" s="49" t="s">
        <v>1171</v>
      </c>
      <c r="AS303" s="55">
        <v>95.853999999999999</v>
      </c>
      <c r="AT303" s="55">
        <f>IF(ISBLANK(AS303),,IF(U303="S",AD303-AS303,AS303-AD303))</f>
        <v>4.9999999999954525E-3</v>
      </c>
      <c r="AU303" s="54">
        <f>AV303*R303</f>
        <v>28.999999999973625</v>
      </c>
      <c r="AV303" s="56">
        <f t="shared" si="97"/>
        <v>28.999999999973625</v>
      </c>
      <c r="AW303" s="57" t="s">
        <v>101</v>
      </c>
      <c r="AX303" s="153" t="s">
        <v>1172</v>
      </c>
      <c r="AY303" s="153"/>
      <c r="AZ303" s="153"/>
      <c r="BA303" s="153"/>
      <c r="BB303" s="153"/>
      <c r="BC303" s="153"/>
      <c r="BD303" s="151"/>
      <c r="BE303" s="152"/>
      <c r="BF303" s="151"/>
      <c r="BG303" s="94">
        <f>SUM($AV$4:AV303)</f>
        <v>1313.8356768034287</v>
      </c>
      <c r="BH303" s="95">
        <f>SUM($AU$4:AU303)</f>
        <v>21279.379999999994</v>
      </c>
      <c r="BI303" s="80">
        <f>SUMIFS($AU$3:AU304,$Q$3:Q304,"F")</f>
        <v>15828.400000000001</v>
      </c>
      <c r="BJ303" s="80">
        <f>SUMIFS($AU$3:AU304,$Q$3:Q304,"S")</f>
        <v>3759.9999999999932</v>
      </c>
      <c r="BK303" s="87">
        <f>SUMIFS($AU$3:AU304,$P$3:P304,"W")</f>
        <v>14877.579999999931</v>
      </c>
      <c r="BL303" s="87">
        <f>SUMIFS($AU$3:AU304,$P$3:P304,"R")</f>
        <v>4981.9999999999991</v>
      </c>
      <c r="BM303" s="87">
        <f>SUMIFS($AU$3:AU304,$AQ$3:AQ304,"M")</f>
        <v>4859.779999999726</v>
      </c>
      <c r="BN303" s="87">
        <f>SUMIFS($AU$3:AU304,$AQ$3:AQ304,"H")</f>
        <v>2955.2000000002422</v>
      </c>
      <c r="BO303" s="87">
        <f>SUMIFS($AU$3:AU304,$AQ$3:AQ304,"D")</f>
        <v>4626.0000000000009</v>
      </c>
      <c r="BP303" s="87">
        <f>SUMIFS($AU$3:AU391,$AQ$3:AQ391,"W")</f>
        <v>12022.400000000001</v>
      </c>
      <c r="BQ303" s="87">
        <f>SUMIFS($AU$3:AU304,$Q$3:Q304,"O")</f>
        <v>1410.9799999999859</v>
      </c>
      <c r="BR303" s="87">
        <f>SUMIFS($AU$3:AU304,$AA$3:AA304,"*")</f>
        <v>18584.199999999862</v>
      </c>
      <c r="BS303" s="87">
        <f>SUMIFS($AU$3:AU304,$AB$3:AB304,"*")</f>
        <v>6567.1799999999312</v>
      </c>
      <c r="BT303" s="87">
        <f>SUMIFS($AU$3:AU304,$AC$3:AC304,"*")</f>
        <v>12708.4</v>
      </c>
      <c r="BU303" s="87">
        <f>SUMIFS($AU$3:AU304,$AA$3:AA304,"*",$AB$3:AB304,"*")</f>
        <v>4415.9999999998217</v>
      </c>
      <c r="BV303" s="87">
        <f>SUMIFS($AU$3:AU304,$AA$3:AA304,"*",$AC$3:AC304,"*")</f>
        <v>12244.4</v>
      </c>
      <c r="BW303" s="87">
        <f>SUMIFS($AU$3:AU304,$AB$3:AB304,"*",$AC$3:AC304,"*")</f>
        <v>3279.9999999999982</v>
      </c>
      <c r="BX303" s="87">
        <f>SUMIFS($AV$3:AV304,$Q$3:Q304,"F")</f>
        <v>321.54786430960348</v>
      </c>
      <c r="BY303" s="87">
        <f>SUMIFS($AV$3:AV304,$Q$3:Q304,"S")</f>
        <v>290.34781249396258</v>
      </c>
      <c r="BZ303" s="87">
        <f>SUMIFS($AV$3:AV304,$Q$3:Q304,"O")</f>
        <v>485.93999999985476</v>
      </c>
    </row>
    <row r="304" spans="1:78" ht="18" customHeight="1">
      <c r="A304" s="45" t="s">
        <v>1047</v>
      </c>
      <c r="B304" s="59">
        <v>45366</v>
      </c>
      <c r="C304" s="46" t="s">
        <v>470</v>
      </c>
      <c r="D304" s="46" t="s">
        <v>176</v>
      </c>
      <c r="E304" s="66"/>
      <c r="F304" s="47"/>
      <c r="G304" s="104" t="s">
        <v>1173</v>
      </c>
      <c r="H304" s="49"/>
      <c r="I304" s="49"/>
      <c r="J304" s="49"/>
      <c r="K304" s="50"/>
      <c r="L304" s="49">
        <v>1</v>
      </c>
      <c r="M304" s="49"/>
      <c r="N304" s="49"/>
      <c r="O304" s="50" t="s">
        <v>476</v>
      </c>
      <c r="P304" s="50" t="s">
        <v>197</v>
      </c>
      <c r="Q304" s="50"/>
      <c r="R304" s="50">
        <v>8</v>
      </c>
      <c r="S304" s="50">
        <v>0</v>
      </c>
      <c r="T304" s="50">
        <v>8</v>
      </c>
      <c r="U304" s="50" t="s">
        <v>102</v>
      </c>
      <c r="V304" s="50"/>
      <c r="W304" s="50"/>
      <c r="X304" s="50"/>
      <c r="Y304" s="51">
        <f>IF(ISBLANK(O304),"",(IF(O304=UPPER("IB"),0.005,0.01)))</f>
        <v>0.01</v>
      </c>
      <c r="Z304" s="52">
        <f>IF(ISBLANK(O304),"",IF(O304="IB",8.63*200,IF(O304="IR",16*100,IF(O304="YT",20*100,IF(O304="YT-XT",24*200,IF(O304="TED",80*100,IF(O304="XT",29*200)))))))</f>
        <v>2000</v>
      </c>
      <c r="AA304" s="52" t="s">
        <v>1174</v>
      </c>
      <c r="AB304" s="52"/>
      <c r="AC304" s="52"/>
      <c r="AD304" s="231">
        <v>96.27</v>
      </c>
      <c r="AE304" s="49"/>
      <c r="AF304" s="84"/>
      <c r="AG304" s="49"/>
      <c r="AH304" s="49"/>
      <c r="AI304" s="49"/>
      <c r="AJ304" s="226"/>
      <c r="AK304" s="49"/>
      <c r="AL304" s="113">
        <f t="shared" ref="AL304:AL309" si="99">-0.02*Z304</f>
        <v>-40</v>
      </c>
      <c r="AM304" s="113">
        <f t="shared" si="95"/>
        <v>-320</v>
      </c>
      <c r="AN304" s="218"/>
      <c r="AO304" s="49"/>
      <c r="AP304" s="49" t="s">
        <v>1175</v>
      </c>
      <c r="AQ304" s="84" t="s">
        <v>142</v>
      </c>
      <c r="AR304" s="49" t="s">
        <v>1176</v>
      </c>
      <c r="AS304" s="55">
        <v>96.3</v>
      </c>
      <c r="AT304" s="55">
        <f>IF(ISBLANK(AS304),,IF(U304="S",AD304-AS304,AS304-AD304))</f>
        <v>-3.0000000000001137E-2</v>
      </c>
      <c r="AU304" s="54">
        <f>AV304*R304</f>
        <v>-480.00000000001819</v>
      </c>
      <c r="AV304" s="56">
        <f t="shared" ref="AV304" si="100">IF(ISBLANK(AS304),,(AT304*Z304))</f>
        <v>-60.000000000002274</v>
      </c>
      <c r="AW304" s="57" t="s">
        <v>121</v>
      </c>
      <c r="AX304" s="153"/>
      <c r="AY304" s="153"/>
      <c r="AZ304" s="153"/>
      <c r="BA304" s="153"/>
      <c r="BB304" s="153"/>
      <c r="BC304" s="153"/>
      <c r="BD304" s="151"/>
      <c r="BE304" s="152"/>
      <c r="BF304" s="151"/>
      <c r="BG304" s="94">
        <f>SUM($AV$4:AV304)</f>
        <v>1253.8356768034264</v>
      </c>
      <c r="BH304" s="95">
        <f>SUM($AU$4:AU304)</f>
        <v>20799.379999999976</v>
      </c>
      <c r="BI304" s="80">
        <f>SUMIFS($AU$3:AU305,$Q$3:Q305,"F")</f>
        <v>15828.400000000001</v>
      </c>
      <c r="BJ304" s="80">
        <f>SUMIFS($AU$3:AU305,$Q$3:Q305,"S")</f>
        <v>3759.9999999999932</v>
      </c>
      <c r="BK304" s="87">
        <f>SUMIFS($AU$3:AU305,$P$3:P305,"W")</f>
        <v>14877.579999999931</v>
      </c>
      <c r="BL304" s="87">
        <f>SUMIFS($AU$3:AU305,$P$3:P305,"R")</f>
        <v>4981.9999999999991</v>
      </c>
      <c r="BM304" s="87">
        <f>SUMIFS($AU$3:AU305,$AQ$3:AQ305,"M")</f>
        <v>4859.779999999726</v>
      </c>
      <c r="BN304" s="87">
        <f>SUMIFS($AU$3:AU305,$AQ$3:AQ305,"H")</f>
        <v>2955.2000000002422</v>
      </c>
      <c r="BO304" s="87">
        <f>SUMIFS($AU$3:AU305,$AQ$3:AQ305,"D")</f>
        <v>4626.0000000000009</v>
      </c>
      <c r="BP304" s="87">
        <f>SUMIFS($AU$3:AU392,$AQ$3:AQ392,"W")</f>
        <v>12022.400000000001</v>
      </c>
      <c r="BQ304" s="87">
        <f>SUMIFS($AU$3:AU305,$Q$3:Q305,"O")</f>
        <v>1410.9799999999859</v>
      </c>
      <c r="BR304" s="87">
        <f>SUMIFS($AU$3:AU305,$AA$3:AA305,"*")</f>
        <v>18584.199999999862</v>
      </c>
      <c r="BS304" s="87">
        <f>SUMIFS($AU$3:AU305,$AB$3:AB305,"*")</f>
        <v>6567.1799999999312</v>
      </c>
      <c r="BT304" s="87">
        <f>SUMIFS($AU$3:AU305,$AC$3:AC305,"*")</f>
        <v>12708.4</v>
      </c>
      <c r="BU304" s="87">
        <f>SUMIFS($AU$3:AU305,$AA$3:AA305,"*",$AB$3:AB305,"*")</f>
        <v>4415.9999999998217</v>
      </c>
      <c r="BV304" s="87">
        <f>SUMIFS($AU$3:AU305,$AA$3:AA305,"*",$AC$3:AC305,"*")</f>
        <v>12244.4</v>
      </c>
      <c r="BW304" s="87">
        <f>SUMIFS($AU$3:AU305,$AB$3:AB305,"*",$AC$3:AC305,"*")</f>
        <v>3279.9999999999982</v>
      </c>
      <c r="BX304" s="87">
        <f>SUMIFS($AV$3:AV305,$Q$3:Q305,"F")</f>
        <v>321.54786430960348</v>
      </c>
      <c r="BY304" s="87">
        <f>SUMIFS($AV$3:AV305,$Q$3:Q305,"S")</f>
        <v>290.34781249396258</v>
      </c>
      <c r="BZ304" s="87">
        <f>SUMIFS($AV$3:AV305,$Q$3:Q305,"O")</f>
        <v>485.93999999985476</v>
      </c>
    </row>
    <row r="305" spans="1:78" ht="18" customHeight="1">
      <c r="A305" s="45" t="s">
        <v>1047</v>
      </c>
      <c r="B305" s="59"/>
      <c r="C305" s="46"/>
      <c r="D305" s="46"/>
      <c r="E305" s="66"/>
      <c r="F305" s="47"/>
      <c r="G305" s="48"/>
      <c r="H305" s="49"/>
      <c r="I305" s="49"/>
      <c r="J305" s="49"/>
      <c r="K305" s="50"/>
      <c r="L305" s="49"/>
      <c r="M305" s="49"/>
      <c r="N305" s="49"/>
      <c r="O305" s="50"/>
      <c r="P305" s="50"/>
      <c r="Q305" s="50"/>
      <c r="R305" s="50"/>
      <c r="S305" s="50"/>
      <c r="T305" s="50"/>
      <c r="U305" s="50"/>
      <c r="V305" s="50"/>
      <c r="W305" s="50"/>
      <c r="X305" s="50"/>
      <c r="Y305" s="51"/>
      <c r="Z305" s="52"/>
      <c r="AA305" s="52"/>
      <c r="AB305" s="52"/>
      <c r="AC305" s="52"/>
      <c r="AD305" s="231"/>
      <c r="AE305" s="49"/>
      <c r="AF305" s="84"/>
      <c r="AG305" s="49"/>
      <c r="AH305" s="49"/>
      <c r="AI305" s="49"/>
      <c r="AJ305" s="226"/>
      <c r="AK305" s="49"/>
      <c r="AL305" s="113">
        <f t="shared" si="99"/>
        <v>0</v>
      </c>
      <c r="AM305" s="113">
        <f t="shared" si="95"/>
        <v>0</v>
      </c>
      <c r="AN305" s="218"/>
      <c r="AO305" s="49"/>
      <c r="AP305" s="49"/>
      <c r="AQ305" s="84" t="str">
        <f>UPPER(RIGHT(Journal_Live[[#This Row],[DURATION ]]))</f>
        <v/>
      </c>
      <c r="AR305" s="49"/>
      <c r="AS305" s="55"/>
      <c r="AT305" s="55"/>
      <c r="AU305" s="54"/>
      <c r="AV305" s="56"/>
      <c r="AW305" s="57"/>
      <c r="AX305" s="153" t="s">
        <v>1177</v>
      </c>
      <c r="AY305" s="153" t="s">
        <v>1178</v>
      </c>
      <c r="AZ305" s="153" t="s">
        <v>1179</v>
      </c>
      <c r="BA305" s="153" t="s">
        <v>1180</v>
      </c>
      <c r="BB305" s="153"/>
      <c r="BC305" s="153"/>
      <c r="BD305" s="151"/>
      <c r="BE305" s="152"/>
      <c r="BF305" s="151"/>
      <c r="BG305" s="94">
        <f>SUM($AV$4:AV305)</f>
        <v>1253.8356768034264</v>
      </c>
      <c r="BH305" s="95">
        <f>SUM($AU$4:AU305)</f>
        <v>20799.379999999976</v>
      </c>
      <c r="BI305" s="80">
        <f>SUMIFS($AU$3:AU306,$Q$3:Q306,"F")</f>
        <v>15828.400000000001</v>
      </c>
      <c r="BJ305" s="80">
        <f>SUMIFS($AU$3:AU306,$Q$3:Q306,"S")</f>
        <v>3759.9999999999932</v>
      </c>
      <c r="BK305" s="87">
        <f>SUMIFS($AU$3:AU306,$P$3:P306,"W")</f>
        <v>14877.579999999931</v>
      </c>
      <c r="BL305" s="87">
        <f>SUMIFS($AU$3:AU306,$P$3:P306,"R")</f>
        <v>4981.9999999999991</v>
      </c>
      <c r="BM305" s="87">
        <f>SUMIFS($AU$3:AU306,$AQ$3:AQ306,"M")</f>
        <v>4859.779999999726</v>
      </c>
      <c r="BN305" s="87">
        <f>SUMIFS($AU$3:AU306,$AQ$3:AQ306,"H")</f>
        <v>2955.2000000002422</v>
      </c>
      <c r="BO305" s="87">
        <f>SUMIFS($AU$3:AU306,$AQ$3:AQ306,"D")</f>
        <v>4626.0000000000009</v>
      </c>
      <c r="BP305" s="87">
        <f>SUMIFS($AU$3:AU393,$AQ$3:AQ393,"W")</f>
        <v>12022.400000000001</v>
      </c>
      <c r="BQ305" s="87">
        <f>SUMIFS($AU$3:AU306,$Q$3:Q306,"O")</f>
        <v>1410.9799999999859</v>
      </c>
      <c r="BR305" s="87">
        <f>SUMIFS($AU$3:AU306,$AA$3:AA306,"*")</f>
        <v>18584.199999999862</v>
      </c>
      <c r="BS305" s="87">
        <f>SUMIFS($AU$3:AU306,$AB$3:AB306,"*")</f>
        <v>6567.1799999999312</v>
      </c>
      <c r="BT305" s="87">
        <f>SUMIFS($AU$3:AU306,$AC$3:AC306,"*")</f>
        <v>12708.4</v>
      </c>
      <c r="BU305" s="87">
        <f>SUMIFS($AU$3:AU306,$AA$3:AA306,"*",$AB$3:AB306,"*")</f>
        <v>4415.9999999998217</v>
      </c>
      <c r="BV305" s="87">
        <f>SUMIFS($AU$3:AU306,$AA$3:AA306,"*",$AC$3:AC306,"*")</f>
        <v>12244.4</v>
      </c>
      <c r="BW305" s="87">
        <f>SUMIFS($AU$3:AU306,$AB$3:AB306,"*",$AC$3:AC306,"*")</f>
        <v>3279.9999999999982</v>
      </c>
      <c r="BX305" s="87">
        <f>SUMIFS($AV$3:AV306,$Q$3:Q306,"F")</f>
        <v>321.54786430960348</v>
      </c>
      <c r="BY305" s="87">
        <f>SUMIFS($AV$3:AV306,$Q$3:Q306,"S")</f>
        <v>290.34781249396258</v>
      </c>
      <c r="BZ305" s="87">
        <f>SUMIFS($AV$3:AV306,$Q$3:Q306,"O")</f>
        <v>485.93999999985476</v>
      </c>
    </row>
    <row r="306" spans="1:78" ht="18" customHeight="1">
      <c r="A306" s="45" t="s">
        <v>1047</v>
      </c>
      <c r="B306" s="59"/>
      <c r="C306" s="46"/>
      <c r="D306" s="46"/>
      <c r="E306" s="66"/>
      <c r="F306" s="47"/>
      <c r="G306" s="48"/>
      <c r="H306" s="49"/>
      <c r="I306" s="49"/>
      <c r="J306" s="49"/>
      <c r="K306" s="50"/>
      <c r="L306" s="49"/>
      <c r="M306" s="49"/>
      <c r="N306" s="49"/>
      <c r="O306" s="50"/>
      <c r="P306" s="50"/>
      <c r="Q306" s="50"/>
      <c r="R306" s="50"/>
      <c r="S306" s="50"/>
      <c r="T306" s="50"/>
      <c r="U306" s="50"/>
      <c r="V306" s="50"/>
      <c r="W306" s="50"/>
      <c r="X306" s="50"/>
      <c r="Y306" s="51"/>
      <c r="Z306" s="52"/>
      <c r="AA306" s="52"/>
      <c r="AB306" s="52"/>
      <c r="AC306" s="52"/>
      <c r="AD306" s="231"/>
      <c r="AE306" s="49"/>
      <c r="AF306" s="84"/>
      <c r="AG306" s="49"/>
      <c r="AH306" s="49"/>
      <c r="AI306" s="49"/>
      <c r="AJ306" s="226"/>
      <c r="AK306" s="49"/>
      <c r="AL306" s="113">
        <f t="shared" si="99"/>
        <v>0</v>
      </c>
      <c r="AM306" s="113">
        <f t="shared" si="95"/>
        <v>0</v>
      </c>
      <c r="AN306" s="218"/>
      <c r="AO306" s="49"/>
      <c r="AP306" s="49"/>
      <c r="AQ306" s="84" t="str">
        <f>UPPER(RIGHT(Journal_Live[[#This Row],[DURATION ]]))</f>
        <v/>
      </c>
      <c r="AR306" s="49"/>
      <c r="AS306" s="55"/>
      <c r="AT306" s="55"/>
      <c r="AU306" s="54"/>
      <c r="AV306" s="56"/>
      <c r="AW306" s="57"/>
      <c r="AX306" s="99"/>
      <c r="AY306" s="151"/>
      <c r="AZ306" s="153"/>
      <c r="BA306" s="151"/>
      <c r="BB306" s="153"/>
      <c r="BC306" s="153"/>
      <c r="BD306" s="151"/>
      <c r="BE306" s="152"/>
      <c r="BF306" s="151"/>
      <c r="BG306" s="94">
        <f>SUM($AV$4:AV306)</f>
        <v>1253.8356768034264</v>
      </c>
      <c r="BH306" s="95">
        <f>SUM($AU$4:AU306)</f>
        <v>20799.379999999976</v>
      </c>
      <c r="BI306" s="80">
        <f>SUMIFS($AU$3:AU307,$Q$3:Q307,"F")</f>
        <v>15828.400000000001</v>
      </c>
      <c r="BJ306" s="80">
        <f>SUMIFS($AU$3:AU307,$Q$3:Q307,"S")</f>
        <v>3759.9999999999932</v>
      </c>
      <c r="BK306" s="87">
        <f>SUMIFS($AU$3:AU307,$P$3:P307,"W")</f>
        <v>14877.579999999931</v>
      </c>
      <c r="BL306" s="87">
        <f>SUMIFS($AU$3:AU307,$P$3:P307,"R")</f>
        <v>4981.9999999999991</v>
      </c>
      <c r="BM306" s="87">
        <f>SUMIFS($AU$3:AU307,$AQ$3:AQ307,"M")</f>
        <v>4859.779999999726</v>
      </c>
      <c r="BN306" s="87">
        <f>SUMIFS($AU$3:AU307,$AQ$3:AQ307,"H")</f>
        <v>2955.2000000002422</v>
      </c>
      <c r="BO306" s="87">
        <f>SUMIFS($AU$3:AU307,$AQ$3:AQ307,"D")</f>
        <v>4626.0000000000009</v>
      </c>
      <c r="BP306" s="87">
        <f>SUMIFS($AU$3:AU394,$AQ$3:AQ394,"W")</f>
        <v>12022.400000000001</v>
      </c>
      <c r="BQ306" s="87">
        <f>SUMIFS($AU$3:AU307,$Q$3:Q307,"O")</f>
        <v>1410.9799999999859</v>
      </c>
      <c r="BR306" s="87">
        <f>SUMIFS($AU$3:AU307,$AA$3:AA307,"*")</f>
        <v>18584.199999999862</v>
      </c>
      <c r="BS306" s="87">
        <f>SUMIFS($AU$3:AU307,$AB$3:AB307,"*")</f>
        <v>6567.1799999999312</v>
      </c>
      <c r="BT306" s="87">
        <f>SUMIFS($AU$3:AU307,$AC$3:AC307,"*")</f>
        <v>12708.4</v>
      </c>
      <c r="BU306" s="87">
        <f>SUMIFS($AU$3:AU307,$AA$3:AA307,"*",$AB$3:AB307,"*")</f>
        <v>4415.9999999998217</v>
      </c>
      <c r="BV306" s="87">
        <f>SUMIFS($AU$3:AU307,$AA$3:AA307,"*",$AC$3:AC307,"*")</f>
        <v>12244.4</v>
      </c>
      <c r="BW306" s="87">
        <f>SUMIFS($AU$3:AU307,$AB$3:AB307,"*",$AC$3:AC307,"*")</f>
        <v>3279.9999999999982</v>
      </c>
      <c r="BX306" s="87">
        <f>SUMIFS($AV$3:AV307,$Q$3:Q307,"F")</f>
        <v>321.54786430960348</v>
      </c>
      <c r="BY306" s="87">
        <f>SUMIFS($AV$3:AV307,$Q$3:Q307,"S")</f>
        <v>290.34781249396258</v>
      </c>
      <c r="BZ306" s="87">
        <f>SUMIFS($AV$3:AV307,$Q$3:Q307,"O")</f>
        <v>485.93999999985476</v>
      </c>
    </row>
    <row r="307" spans="1:78" ht="18" customHeight="1">
      <c r="A307" s="45" t="s">
        <v>1047</v>
      </c>
      <c r="B307" s="59"/>
      <c r="C307" s="46"/>
      <c r="D307" s="46"/>
      <c r="E307" s="66"/>
      <c r="F307" s="47"/>
      <c r="G307" s="48"/>
      <c r="H307" s="49"/>
      <c r="I307" s="49"/>
      <c r="J307" s="49"/>
      <c r="K307" s="50"/>
      <c r="L307" s="49"/>
      <c r="M307" s="49"/>
      <c r="N307" s="49"/>
      <c r="O307" s="50"/>
      <c r="P307" s="50"/>
      <c r="Q307" s="50"/>
      <c r="R307" s="50"/>
      <c r="S307" s="50"/>
      <c r="T307" s="50"/>
      <c r="U307" s="50"/>
      <c r="V307" s="50"/>
      <c r="W307" s="50"/>
      <c r="X307" s="50"/>
      <c r="Y307" s="51"/>
      <c r="Z307" s="52"/>
      <c r="AA307" s="52"/>
      <c r="AB307" s="52"/>
      <c r="AC307" s="52"/>
      <c r="AD307" s="231"/>
      <c r="AE307" s="49"/>
      <c r="AF307" s="84"/>
      <c r="AG307" s="49"/>
      <c r="AH307" s="49"/>
      <c r="AI307" s="49"/>
      <c r="AJ307" s="226"/>
      <c r="AK307" s="49"/>
      <c r="AL307" s="113">
        <f t="shared" si="99"/>
        <v>0</v>
      </c>
      <c r="AM307" s="113">
        <f t="shared" si="95"/>
        <v>0</v>
      </c>
      <c r="AN307" s="218"/>
      <c r="AO307" s="49"/>
      <c r="AP307" s="49"/>
      <c r="AQ307" s="84" t="str">
        <f>UPPER(RIGHT(Journal_Live[[#This Row],[DURATION ]]))</f>
        <v/>
      </c>
      <c r="AR307" s="49"/>
      <c r="AS307" s="55"/>
      <c r="AT307" s="55"/>
      <c r="AU307" s="54"/>
      <c r="AV307" s="56"/>
      <c r="AW307" s="57"/>
      <c r="AX307" s="99"/>
      <c r="AY307" s="153"/>
      <c r="AZ307" s="153"/>
      <c r="BA307" s="151"/>
      <c r="BB307" s="153"/>
      <c r="BC307" s="153"/>
      <c r="BD307" s="151" t="s">
        <v>1181</v>
      </c>
      <c r="BE307" s="152" t="s">
        <v>1182</v>
      </c>
      <c r="BF307" s="151"/>
      <c r="BG307" s="94">
        <f>SUM($AV$4:AV307)</f>
        <v>1253.8356768034264</v>
      </c>
      <c r="BH307" s="95">
        <f>SUM($AU$4:AU307)</f>
        <v>20799.379999999976</v>
      </c>
      <c r="BI307" s="80">
        <f>SUMIFS($AU$3:AU308,$Q$3:Q308,"F")</f>
        <v>15828.400000000001</v>
      </c>
      <c r="BJ307" s="80">
        <f>SUMIFS($AU$3:AU308,$Q$3:Q308,"S")</f>
        <v>3759.9999999999932</v>
      </c>
      <c r="BK307" s="87">
        <f>SUMIFS($AU$3:AU308,$P$3:P308,"W")</f>
        <v>14877.579999999931</v>
      </c>
      <c r="BL307" s="87">
        <f>SUMIFS($AU$3:AU308,$P$3:P308,"R")</f>
        <v>4981.9999999999991</v>
      </c>
      <c r="BM307" s="87">
        <f>SUMIFS($AU$3:AU308,$AQ$3:AQ308,"M")</f>
        <v>4859.779999999726</v>
      </c>
      <c r="BN307" s="87">
        <f>SUMIFS($AU$3:AU308,$AQ$3:AQ308,"H")</f>
        <v>2955.2000000002422</v>
      </c>
      <c r="BO307" s="87">
        <f>SUMIFS($AU$3:AU308,$AQ$3:AQ308,"D")</f>
        <v>4626.0000000000009</v>
      </c>
      <c r="BP307" s="87">
        <f>SUMIFS($AU$3:AU395,$AQ$3:AQ395,"W")</f>
        <v>12022.400000000001</v>
      </c>
      <c r="BQ307" s="87">
        <f>SUMIFS($AU$3:AU308,$Q$3:Q308,"O")</f>
        <v>1410.9799999999859</v>
      </c>
      <c r="BR307" s="87">
        <f>SUMIFS($AU$3:AU308,$AA$3:AA308,"*")</f>
        <v>18584.199999999862</v>
      </c>
      <c r="BS307" s="87">
        <f>SUMIFS($AU$3:AU308,$AB$3:AB308,"*")</f>
        <v>6567.1799999999312</v>
      </c>
      <c r="BT307" s="87">
        <f>SUMIFS($AU$3:AU308,$AC$3:AC308,"*")</f>
        <v>12708.4</v>
      </c>
      <c r="BU307" s="87">
        <f>SUMIFS($AU$3:AU308,$AA$3:AA308,"*",$AB$3:AB308,"*")</f>
        <v>4415.9999999998217</v>
      </c>
      <c r="BV307" s="87">
        <f>SUMIFS($AU$3:AU308,$AA$3:AA308,"*",$AC$3:AC308,"*")</f>
        <v>12244.4</v>
      </c>
      <c r="BW307" s="87">
        <f>SUMIFS($AU$3:AU308,$AB$3:AB308,"*",$AC$3:AC308,"*")</f>
        <v>3279.9999999999982</v>
      </c>
      <c r="BX307" s="87">
        <f>SUMIFS($AV$3:AV308,$Q$3:Q308,"F")</f>
        <v>321.54786430960348</v>
      </c>
      <c r="BY307" s="87">
        <f>SUMIFS($AV$3:AV308,$Q$3:Q308,"S")</f>
        <v>290.34781249396258</v>
      </c>
      <c r="BZ307" s="87">
        <f>SUMIFS($AV$3:AV308,$Q$3:Q308,"O")</f>
        <v>485.93999999985476</v>
      </c>
    </row>
    <row r="308" spans="1:78" ht="18" customHeight="1">
      <c r="A308" s="45" t="s">
        <v>1047</v>
      </c>
      <c r="B308" s="59"/>
      <c r="C308" s="46"/>
      <c r="D308" s="46"/>
      <c r="E308" s="66"/>
      <c r="F308" s="47"/>
      <c r="G308" s="48"/>
      <c r="H308" s="49"/>
      <c r="I308" s="49"/>
      <c r="J308" s="49"/>
      <c r="K308" s="50"/>
      <c r="L308" s="49"/>
      <c r="M308" s="49"/>
      <c r="N308" s="49"/>
      <c r="O308" s="50"/>
      <c r="P308" s="50"/>
      <c r="Q308" s="50"/>
      <c r="R308" s="50"/>
      <c r="S308" s="50"/>
      <c r="T308" s="50"/>
      <c r="U308" s="50"/>
      <c r="V308" s="50"/>
      <c r="W308" s="50"/>
      <c r="X308" s="50"/>
      <c r="Y308" s="51"/>
      <c r="Z308" s="52"/>
      <c r="AA308" s="52"/>
      <c r="AB308" s="52"/>
      <c r="AC308" s="52"/>
      <c r="AD308" s="231"/>
      <c r="AE308" s="49"/>
      <c r="AF308" s="84"/>
      <c r="AG308" s="49"/>
      <c r="AH308" s="49"/>
      <c r="AI308" s="49"/>
      <c r="AJ308" s="226"/>
      <c r="AK308" s="49"/>
      <c r="AL308" s="113">
        <f t="shared" si="99"/>
        <v>0</v>
      </c>
      <c r="AM308" s="113">
        <f t="shared" si="95"/>
        <v>0</v>
      </c>
      <c r="AN308" s="218"/>
      <c r="AO308" s="49"/>
      <c r="AP308" s="49"/>
      <c r="AQ308" s="84" t="str">
        <f>UPPER(RIGHT(Journal_Live[[#This Row],[DURATION ]]))</f>
        <v/>
      </c>
      <c r="AR308" s="49"/>
      <c r="AS308" s="55"/>
      <c r="AT308" s="55"/>
      <c r="AU308" s="54"/>
      <c r="AV308" s="56"/>
      <c r="AW308" s="57"/>
      <c r="AX308" s="153"/>
      <c r="AY308" s="153"/>
      <c r="AZ308" s="153"/>
      <c r="BA308" s="153"/>
      <c r="BB308" s="153"/>
      <c r="BC308" s="153"/>
      <c r="BD308" s="151"/>
      <c r="BE308" s="152"/>
      <c r="BF308" s="151"/>
      <c r="BG308" s="94">
        <f>SUM($AV$4:AV308)</f>
        <v>1253.8356768034264</v>
      </c>
      <c r="BH308" s="95">
        <f>SUM($AU$4:AU308)</f>
        <v>20799.379999999976</v>
      </c>
      <c r="BI308" s="80">
        <f>SUMIFS($AU$3:AU309,$Q$3:Q309,"F")</f>
        <v>15828.400000000001</v>
      </c>
      <c r="BJ308" s="80">
        <f>SUMIFS($AU$3:AU309,$Q$3:Q309,"S")</f>
        <v>3759.9999999999932</v>
      </c>
      <c r="BK308" s="87">
        <f>SUMIFS($AU$3:AU309,$P$3:P309,"W")</f>
        <v>14877.579999999931</v>
      </c>
      <c r="BL308" s="87">
        <f>SUMIFS($AU$3:AU309,$P$3:P309,"R")</f>
        <v>4981.9999999999991</v>
      </c>
      <c r="BM308" s="87">
        <f>SUMIFS($AU$3:AU309,$AQ$3:AQ309,"M")</f>
        <v>4859.779999999726</v>
      </c>
      <c r="BN308" s="87">
        <f>SUMIFS($AU$3:AU309,$AQ$3:AQ309,"H")</f>
        <v>2955.2000000002422</v>
      </c>
      <c r="BO308" s="87">
        <f>SUMIFS($AU$3:AU309,$AQ$3:AQ309,"D")</f>
        <v>4626.0000000000009</v>
      </c>
      <c r="BP308" s="87">
        <f>SUMIFS($AU$3:AU396,$AQ$3:AQ396,"W")</f>
        <v>12022.400000000001</v>
      </c>
      <c r="BQ308" s="87">
        <f>SUMIFS($AU$3:AU309,$Q$3:Q309,"O")</f>
        <v>1410.9799999999859</v>
      </c>
      <c r="BR308" s="87">
        <f>SUMIFS($AU$3:AU309,$AA$3:AA309,"*")</f>
        <v>18584.199999999862</v>
      </c>
      <c r="BS308" s="87">
        <f>SUMIFS($AU$3:AU309,$AB$3:AB309,"*")</f>
        <v>6567.1799999999312</v>
      </c>
      <c r="BT308" s="87">
        <f>SUMIFS($AU$3:AU309,$AC$3:AC309,"*")</f>
        <v>12708.4</v>
      </c>
      <c r="BU308" s="87">
        <f>SUMIFS($AU$3:AU309,$AA$3:AA309,"*",$AB$3:AB309,"*")</f>
        <v>4415.9999999998217</v>
      </c>
      <c r="BV308" s="87">
        <f>SUMIFS($AU$3:AU309,$AA$3:AA309,"*",$AC$3:AC309,"*")</f>
        <v>12244.4</v>
      </c>
      <c r="BW308" s="87">
        <f>SUMIFS($AU$3:AU309,$AB$3:AB309,"*",$AC$3:AC309,"*")</f>
        <v>3279.9999999999982</v>
      </c>
      <c r="BX308" s="87">
        <f>SUMIFS($AV$3:AV309,$Q$3:Q309,"F")</f>
        <v>321.54786430960348</v>
      </c>
      <c r="BY308" s="87">
        <f>SUMIFS($AV$3:AV309,$Q$3:Q309,"S")</f>
        <v>290.34781249396258</v>
      </c>
      <c r="BZ308" s="87">
        <f>SUMIFS($AV$3:AV309,$Q$3:Q309,"O")</f>
        <v>485.93999999985476</v>
      </c>
    </row>
    <row r="309" spans="1:78" ht="18" customHeight="1">
      <c r="A309" s="45" t="s">
        <v>1047</v>
      </c>
      <c r="B309" s="59">
        <v>45370</v>
      </c>
      <c r="C309" s="46" t="s">
        <v>1183</v>
      </c>
      <c r="D309" s="46" t="s">
        <v>98</v>
      </c>
      <c r="E309" s="66" t="s">
        <v>1184</v>
      </c>
      <c r="F309" s="47"/>
      <c r="G309" s="48"/>
      <c r="H309" s="49"/>
      <c r="I309" s="49"/>
      <c r="J309" s="49"/>
      <c r="K309" s="50"/>
      <c r="L309" s="49"/>
      <c r="M309" s="49"/>
      <c r="N309" s="49"/>
      <c r="O309" s="50"/>
      <c r="P309" s="50"/>
      <c r="Q309" s="50"/>
      <c r="R309" s="50"/>
      <c r="S309" s="50"/>
      <c r="T309" s="50"/>
      <c r="U309" s="50"/>
      <c r="V309" s="50"/>
      <c r="W309" s="50"/>
      <c r="X309" s="50"/>
      <c r="Y309" s="51"/>
      <c r="Z309" s="52"/>
      <c r="AA309" s="52"/>
      <c r="AB309" s="52"/>
      <c r="AC309" s="52"/>
      <c r="AD309" s="231"/>
      <c r="AE309" s="49"/>
      <c r="AF309" s="84"/>
      <c r="AG309" s="49"/>
      <c r="AH309" s="49"/>
      <c r="AI309" s="49"/>
      <c r="AJ309" s="226"/>
      <c r="AK309" s="49"/>
      <c r="AL309" s="113">
        <f t="shared" si="99"/>
        <v>0</v>
      </c>
      <c r="AM309" s="113">
        <f t="shared" si="95"/>
        <v>0</v>
      </c>
      <c r="AN309" s="218"/>
      <c r="AO309" s="49"/>
      <c r="AP309" s="49"/>
      <c r="AQ309" s="84" t="str">
        <f>UPPER(RIGHT(Journal_Live[[#This Row],[DURATION ]]))</f>
        <v/>
      </c>
      <c r="AR309" s="49"/>
      <c r="AS309" s="55"/>
      <c r="AT309" s="55"/>
      <c r="AU309" s="54"/>
      <c r="AV309" s="56"/>
      <c r="AW309" s="57"/>
      <c r="AX309" s="153"/>
      <c r="AY309" s="153"/>
      <c r="AZ309" s="153"/>
      <c r="BA309" s="153"/>
      <c r="BB309" s="153"/>
      <c r="BC309" s="153"/>
      <c r="BD309" s="151"/>
      <c r="BE309" s="152"/>
      <c r="BF309" s="151"/>
      <c r="BG309" s="94">
        <f>SUM($AV$4:AV309)</f>
        <v>1253.8356768034264</v>
      </c>
      <c r="BH309" s="95">
        <f>SUM($AU$4:AU309)</f>
        <v>20799.379999999976</v>
      </c>
      <c r="BI309" s="80">
        <f>SUMIFS($AU$3:AU310,$Q$3:Q310,"F")</f>
        <v>15828.400000000001</v>
      </c>
      <c r="BJ309" s="80">
        <f>SUMIFS($AU$3:AU310,$Q$3:Q310,"S")</f>
        <v>3759.9999999999932</v>
      </c>
      <c r="BK309" s="87">
        <f>SUMIFS($AU$3:AU310,$P$3:P310,"W")</f>
        <v>14877.579999999931</v>
      </c>
      <c r="BL309" s="87">
        <f>SUMIFS($AU$3:AU310,$P$3:P310,"R")</f>
        <v>4981.9999999999991</v>
      </c>
      <c r="BM309" s="87">
        <f>SUMIFS($AU$3:AU310,$AQ$3:AQ310,"M")</f>
        <v>4859.779999999726</v>
      </c>
      <c r="BN309" s="87">
        <f>SUMIFS($AU$3:AU310,$AQ$3:AQ310,"H")</f>
        <v>2955.2000000002422</v>
      </c>
      <c r="BO309" s="87">
        <f>SUMIFS($AU$3:AU310,$AQ$3:AQ310,"D")</f>
        <v>4626.0000000000009</v>
      </c>
      <c r="BP309" s="87">
        <f>SUMIFS($AU$3:AU397,$AQ$3:AQ397,"W")</f>
        <v>12022.400000000001</v>
      </c>
      <c r="BQ309" s="87">
        <f>SUMIFS($AU$3:AU310,$Q$3:Q310,"O")</f>
        <v>1410.9799999999859</v>
      </c>
      <c r="BR309" s="87">
        <f>SUMIFS($AU$3:AU310,$AA$3:AA310,"*")</f>
        <v>18584.199999999862</v>
      </c>
      <c r="BS309" s="87">
        <f>SUMIFS($AU$3:AU310,$AB$3:AB310,"*")</f>
        <v>6567.1799999999312</v>
      </c>
      <c r="BT309" s="87">
        <f>SUMIFS($AU$3:AU310,$AC$3:AC310,"*")</f>
        <v>12708.4</v>
      </c>
      <c r="BU309" s="87">
        <f>SUMIFS($AU$3:AU310,$AA$3:AA310,"*",$AB$3:AB310,"*")</f>
        <v>4415.9999999998217</v>
      </c>
      <c r="BV309" s="87">
        <f>SUMIFS($AU$3:AU310,$AA$3:AA310,"*",$AC$3:AC310,"*")</f>
        <v>12244.4</v>
      </c>
      <c r="BW309" s="87">
        <f>SUMIFS($AU$3:AU310,$AB$3:AB310,"*",$AC$3:AC310,"*")</f>
        <v>3279.9999999999982</v>
      </c>
      <c r="BX309" s="87">
        <f>SUMIFS($AV$3:AV310,$Q$3:Q310,"F")</f>
        <v>321.54786430960348</v>
      </c>
      <c r="BY309" s="87">
        <f>SUMIFS($AV$3:AV310,$Q$3:Q310,"S")</f>
        <v>290.34781249396258</v>
      </c>
      <c r="BZ309" s="87">
        <f>SUMIFS($AV$3:AV310,$Q$3:Q310,"O")</f>
        <v>485.93999999985476</v>
      </c>
    </row>
    <row r="310" spans="1:78" ht="18" customHeight="1">
      <c r="A310" s="45" t="s">
        <v>1047</v>
      </c>
      <c r="B310" s="59">
        <v>45370</v>
      </c>
      <c r="C310" s="46" t="s">
        <v>1185</v>
      </c>
      <c r="D310" s="46" t="s">
        <v>98</v>
      </c>
      <c r="E310" s="66" t="s">
        <v>1186</v>
      </c>
      <c r="F310" s="47"/>
      <c r="G310" s="48"/>
      <c r="H310" s="49"/>
      <c r="I310" s="49"/>
      <c r="J310" s="49"/>
      <c r="K310" s="50"/>
      <c r="L310" s="49"/>
      <c r="M310" s="49"/>
      <c r="N310" s="49"/>
      <c r="O310" s="50"/>
      <c r="P310" s="50"/>
      <c r="Q310" s="50"/>
      <c r="R310" s="50"/>
      <c r="S310" s="50"/>
      <c r="T310" s="50"/>
      <c r="U310" s="50"/>
      <c r="V310" s="50"/>
      <c r="W310" s="50"/>
      <c r="X310" s="50"/>
      <c r="Y310" s="51"/>
      <c r="Z310" s="52"/>
      <c r="AA310" s="52"/>
      <c r="AB310" s="52"/>
      <c r="AC310" s="52"/>
      <c r="AD310" s="231"/>
      <c r="AE310" s="49"/>
      <c r="AF310" s="84"/>
      <c r="AG310" s="49"/>
      <c r="AH310" s="49"/>
      <c r="AI310" s="49"/>
      <c r="AJ310" s="226"/>
      <c r="AK310" s="49"/>
      <c r="AL310" s="113">
        <f t="shared" si="90"/>
        <v>0</v>
      </c>
      <c r="AM310" s="113">
        <f t="shared" si="95"/>
        <v>0</v>
      </c>
      <c r="AN310" s="218"/>
      <c r="AO310" s="49"/>
      <c r="AP310" s="49"/>
      <c r="AQ310" s="84" t="str">
        <f>UPPER(RIGHT(Journal_Live[[#This Row],[DURATION ]]))</f>
        <v/>
      </c>
      <c r="AR310" s="49"/>
      <c r="AS310" s="55"/>
      <c r="AT310" s="55"/>
      <c r="AU310" s="54"/>
      <c r="AV310" s="56"/>
      <c r="AW310" s="57"/>
      <c r="AX310" s="153"/>
      <c r="AY310" s="153"/>
      <c r="AZ310" s="153"/>
      <c r="BA310" s="153"/>
      <c r="BB310" s="153"/>
      <c r="BC310" s="153"/>
      <c r="BD310" s="151"/>
      <c r="BE310" s="152"/>
      <c r="BF310" s="151"/>
      <c r="BG310" s="94">
        <f>SUM($AV$4:AV310)</f>
        <v>1253.8356768034264</v>
      </c>
      <c r="BH310" s="95">
        <f>SUM($AU$4:AU310)</f>
        <v>20799.379999999976</v>
      </c>
      <c r="BI310" s="80">
        <f>SUMIFS($AU$3:AU311,$Q$3:Q311,"F")</f>
        <v>15828.400000000001</v>
      </c>
      <c r="BJ310" s="80">
        <f>SUMIFS($AU$3:AU311,$Q$3:Q311,"S")</f>
        <v>4143.9999999999927</v>
      </c>
      <c r="BK310" s="87">
        <f>SUMIFS($AU$3:AU311,$P$3:P311,"W")</f>
        <v>15261.579999999931</v>
      </c>
      <c r="BL310" s="87">
        <f>SUMIFS($AU$3:AU311,$P$3:P311,"R")</f>
        <v>4981.9999999999991</v>
      </c>
      <c r="BM310" s="87">
        <f>SUMIFS($AU$3:AU311,$AQ$3:AQ311,"M")</f>
        <v>5243.779999999726</v>
      </c>
      <c r="BN310" s="87">
        <f>SUMIFS($AU$3:AU311,$AQ$3:AQ311,"H")</f>
        <v>2955.2000000002422</v>
      </c>
      <c r="BO310" s="87">
        <f>SUMIFS($AU$3:AU311,$AQ$3:AQ311,"D")</f>
        <v>4626.0000000000009</v>
      </c>
      <c r="BP310" s="87">
        <f>SUMIFS($AU$3:AU398,$AQ$3:AQ398,"W")</f>
        <v>12022.400000000001</v>
      </c>
      <c r="BQ310" s="87">
        <f>SUMIFS($AU$3:AU311,$Q$3:Q311,"O")</f>
        <v>1410.9799999999859</v>
      </c>
      <c r="BR310" s="87">
        <f>SUMIFS($AU$3:AU311,$AA$3:AA311,"*")</f>
        <v>18584.199999999862</v>
      </c>
      <c r="BS310" s="87">
        <f>SUMIFS($AU$3:AU311,$AB$3:AB311,"*")</f>
        <v>6951.1799999999312</v>
      </c>
      <c r="BT310" s="87">
        <f>SUMIFS($AU$3:AU311,$AC$3:AC311,"*")</f>
        <v>12708.4</v>
      </c>
      <c r="BU310" s="87">
        <f>SUMIFS($AU$3:AU311,$AA$3:AA311,"*",$AB$3:AB311,"*")</f>
        <v>4415.9999999998217</v>
      </c>
      <c r="BV310" s="87">
        <f>SUMIFS($AU$3:AU311,$AA$3:AA311,"*",$AC$3:AC311,"*")</f>
        <v>12244.4</v>
      </c>
      <c r="BW310" s="87">
        <f>SUMIFS($AU$3:AU311,$AB$3:AB311,"*",$AC$3:AC311,"*")</f>
        <v>3279.9999999999982</v>
      </c>
      <c r="BX310" s="87">
        <f>SUMIFS($AV$3:AV311,$Q$3:Q311,"F")</f>
        <v>321.54786430960348</v>
      </c>
      <c r="BY310" s="87">
        <f>SUMIFS($AV$3:AV311,$Q$3:Q311,"S")</f>
        <v>306.34781249396258</v>
      </c>
      <c r="BZ310" s="87">
        <f>SUMIFS($AV$3:AV311,$Q$3:Q311,"O")</f>
        <v>485.93999999985476</v>
      </c>
    </row>
    <row r="311" spans="1:78" ht="18" customHeight="1">
      <c r="A311" s="45" t="s">
        <v>1047</v>
      </c>
      <c r="B311" s="59">
        <v>45370</v>
      </c>
      <c r="C311" s="46" t="s">
        <v>1187</v>
      </c>
      <c r="D311" s="46" t="s">
        <v>98</v>
      </c>
      <c r="E311" s="66"/>
      <c r="F311" s="47"/>
      <c r="G311" s="104" t="s">
        <v>111</v>
      </c>
      <c r="H311" s="49"/>
      <c r="I311" s="49"/>
      <c r="J311" s="49"/>
      <c r="K311" s="50"/>
      <c r="L311" s="49">
        <v>2</v>
      </c>
      <c r="M311" s="49"/>
      <c r="N311" s="49"/>
      <c r="O311" s="50" t="s">
        <v>100</v>
      </c>
      <c r="P311" s="50" t="s">
        <v>101</v>
      </c>
      <c r="Q311" s="50" t="s">
        <v>102</v>
      </c>
      <c r="R311" s="50">
        <v>24</v>
      </c>
      <c r="S311" s="50"/>
      <c r="T311" s="50">
        <v>24</v>
      </c>
      <c r="U311" s="50" t="s">
        <v>102</v>
      </c>
      <c r="V311" s="50"/>
      <c r="W311" s="50"/>
      <c r="X311" s="50"/>
      <c r="Y311" s="51">
        <f>IF(ISBLANK(O311),"",(IF(O311=UPPER("IB"),0.005,0.01)))</f>
        <v>0.01</v>
      </c>
      <c r="Z311" s="52">
        <f>IF(ISBLANK(O311),"",IF(O311="IB",8.63*200,IF(O311="IR",16*100,IF(O311="YT",20*100,IF(O311="YT-XT",24*200,IF(O311="TED",80*100,IF(O311="XT",29*200)))))))</f>
        <v>1600</v>
      </c>
      <c r="AA311" s="52"/>
      <c r="AB311" s="52" t="s">
        <v>1188</v>
      </c>
      <c r="AC311" s="52"/>
      <c r="AD311" s="231">
        <v>-0.1</v>
      </c>
      <c r="AE311" s="49"/>
      <c r="AF311" s="84"/>
      <c r="AG311" s="49"/>
      <c r="AH311" s="49"/>
      <c r="AI311" s="49"/>
      <c r="AJ311" s="226"/>
      <c r="AK311" s="49"/>
      <c r="AL311" s="113">
        <f t="shared" si="90"/>
        <v>-32</v>
      </c>
      <c r="AM311" s="113">
        <f t="shared" si="95"/>
        <v>-768</v>
      </c>
      <c r="AN311" s="218"/>
      <c r="AO311" s="49"/>
      <c r="AP311" s="49" t="s">
        <v>1189</v>
      </c>
      <c r="AQ311" s="84" t="s">
        <v>350</v>
      </c>
      <c r="AR311" s="49"/>
      <c r="AS311" s="55">
        <v>-0.11</v>
      </c>
      <c r="AT311" s="55">
        <f>IF(ISBLANK(AS311),,IF(U311="S",AD311-AS311,AS311-AD311))</f>
        <v>9.999999999999995E-3</v>
      </c>
      <c r="AU311" s="54">
        <f>AV311*R311</f>
        <v>383.99999999999983</v>
      </c>
      <c r="AV311" s="56">
        <f t="shared" ref="AV311" si="101">IF(ISBLANK(AS311),,(AT311*Z311))</f>
        <v>15.999999999999993</v>
      </c>
      <c r="AW311" s="57" t="s">
        <v>101</v>
      </c>
      <c r="AX311" s="153" t="s">
        <v>1040</v>
      </c>
      <c r="AY311" s="153"/>
      <c r="AZ311" s="153"/>
      <c r="BA311" s="153"/>
      <c r="BB311" s="153"/>
      <c r="BC311" s="153"/>
      <c r="BD311" s="151"/>
      <c r="BE311" s="152"/>
      <c r="BF311" s="151"/>
      <c r="BG311" s="94">
        <f>SUM($AV$4:AV311)</f>
        <v>1269.8356768034264</v>
      </c>
      <c r="BH311" s="95">
        <f>SUM($AU$4:AU311)</f>
        <v>21183.379999999976</v>
      </c>
      <c r="BI311" s="80">
        <f>SUMIFS($AU$3:AU312,$Q$3:Q312,"F")</f>
        <v>15828.400000000001</v>
      </c>
      <c r="BJ311" s="80">
        <f>SUMIFS($AU$3:AU312,$Q$3:Q312,"S")</f>
        <v>4143.9999999999927</v>
      </c>
      <c r="BK311" s="87">
        <f>SUMIFS($AU$3:AU312,$P$3:P312,"W")</f>
        <v>15261.579999999931</v>
      </c>
      <c r="BL311" s="87">
        <f>SUMIFS($AU$3:AU312,$P$3:P312,"R")</f>
        <v>4981.9999999999991</v>
      </c>
      <c r="BM311" s="87">
        <f>SUMIFS($AU$3:AU312,$AQ$3:AQ312,"M")</f>
        <v>5313.3799999997282</v>
      </c>
      <c r="BN311" s="87">
        <f>SUMIFS($AU$3:AU312,$AQ$3:AQ312,"H")</f>
        <v>2955.2000000002422</v>
      </c>
      <c r="BO311" s="87">
        <f>SUMIFS($AU$3:AU312,$AQ$3:AQ312,"D")</f>
        <v>4626.0000000000009</v>
      </c>
      <c r="BP311" s="87">
        <f>SUMIFS($AU$3:AU399,$AQ$3:AQ399,"W")</f>
        <v>12022.400000000001</v>
      </c>
      <c r="BQ311" s="87">
        <f>SUMIFS($AU$3:AU312,$Q$3:Q312,"O")</f>
        <v>1480.5799999999886</v>
      </c>
      <c r="BR311" s="87">
        <f>SUMIFS($AU$3:AU312,$AA$3:AA312,"*")</f>
        <v>18653.799999999865</v>
      </c>
      <c r="BS311" s="87">
        <f>SUMIFS($AU$3:AU312,$AB$3:AB312,"*")</f>
        <v>6951.1799999999312</v>
      </c>
      <c r="BT311" s="87">
        <f>SUMIFS($AU$3:AU312,$AC$3:AC312,"*")</f>
        <v>12708.4</v>
      </c>
      <c r="BU311" s="87">
        <f>SUMIFS($AU$3:AU312,$AA$3:AA312,"*",$AB$3:AB312,"*")</f>
        <v>4415.9999999998217</v>
      </c>
      <c r="BV311" s="87">
        <f>SUMIFS($AU$3:AU312,$AA$3:AA312,"*",$AC$3:AC312,"*")</f>
        <v>12244.4</v>
      </c>
      <c r="BW311" s="87">
        <f>SUMIFS($AU$3:AU312,$AB$3:AB312,"*",$AC$3:AC312,"*")</f>
        <v>3279.9999999999982</v>
      </c>
      <c r="BX311" s="87">
        <f>SUMIFS($AV$3:AV312,$Q$3:Q312,"F")</f>
        <v>321.54786430960348</v>
      </c>
      <c r="BY311" s="87">
        <f>SUMIFS($AV$3:AV312,$Q$3:Q312,"S")</f>
        <v>306.34781249396258</v>
      </c>
      <c r="BZ311" s="87">
        <f>SUMIFS($AV$3:AV312,$Q$3:Q312,"O")</f>
        <v>503.33999999985542</v>
      </c>
    </row>
    <row r="312" spans="1:78" ht="18" customHeight="1">
      <c r="A312" s="45" t="s">
        <v>1047</v>
      </c>
      <c r="B312" s="59">
        <v>45370</v>
      </c>
      <c r="C312" s="46" t="s">
        <v>1190</v>
      </c>
      <c r="D312" s="46" t="s">
        <v>98</v>
      </c>
      <c r="E312" s="66"/>
      <c r="F312" s="47"/>
      <c r="G312" s="48" t="s">
        <v>1169</v>
      </c>
      <c r="H312" s="49"/>
      <c r="I312" s="49"/>
      <c r="J312" s="49"/>
      <c r="K312" s="50"/>
      <c r="L312" s="49">
        <v>1</v>
      </c>
      <c r="M312" s="49"/>
      <c r="N312" s="49"/>
      <c r="O312" s="50" t="s">
        <v>196</v>
      </c>
      <c r="P312" s="50" t="s">
        <v>197</v>
      </c>
      <c r="Q312" s="50" t="s">
        <v>198</v>
      </c>
      <c r="R312" s="50">
        <v>4</v>
      </c>
      <c r="S312" s="50">
        <v>0</v>
      </c>
      <c r="T312" s="50">
        <v>2</v>
      </c>
      <c r="U312" s="50" t="s">
        <v>22</v>
      </c>
      <c r="V312" s="50"/>
      <c r="W312" s="50"/>
      <c r="X312" s="50"/>
      <c r="Y312" s="51">
        <f>IF(ISBLANK(O312),"",(IF(O312=UPPER("IB"),0.005,0.01)))</f>
        <v>0.01</v>
      </c>
      <c r="Z312" s="52">
        <f>IF(ISBLANK(O312),"",IF(O312="IB",8.63*200,IF(O312="IR",16*100,IF(O312="YT",20*100,IF(O312="YT-XT",24*200,IF(O312="TED",80*100,IF(O312="XT",29*200)))))))</f>
        <v>5800</v>
      </c>
      <c r="AA312" s="52" t="s">
        <v>908</v>
      </c>
      <c r="AB312" s="52"/>
      <c r="AC312" s="52"/>
      <c r="AD312" s="231">
        <v>95.882000000000005</v>
      </c>
      <c r="AE312" s="49"/>
      <c r="AF312" s="84"/>
      <c r="AG312" s="49"/>
      <c r="AH312" s="49"/>
      <c r="AI312" s="49"/>
      <c r="AJ312" s="226"/>
      <c r="AK312" s="49"/>
      <c r="AL312" s="113">
        <f t="shared" si="90"/>
        <v>-116</v>
      </c>
      <c r="AM312" s="113">
        <f t="shared" si="95"/>
        <v>-464</v>
      </c>
      <c r="AN312" s="218"/>
      <c r="AO312" s="49"/>
      <c r="AP312" s="49"/>
      <c r="AQ312" s="84" t="s">
        <v>350</v>
      </c>
      <c r="AR312" s="49"/>
      <c r="AS312" s="55">
        <v>95.885000000000005</v>
      </c>
      <c r="AT312" s="55">
        <f>IF(ISBLANK(AS312),,IF(U312="S",AD312-AS312,AS312-AD312))</f>
        <v>3.0000000000001137E-3</v>
      </c>
      <c r="AU312" s="54">
        <f>AV312*R312</f>
        <v>69.600000000002638</v>
      </c>
      <c r="AV312" s="56">
        <f t="shared" ref="AV312" si="102">IF(ISBLANK(AS312),,(AT312*Z312))</f>
        <v>17.400000000000659</v>
      </c>
      <c r="AW312" s="57" t="s">
        <v>101</v>
      </c>
      <c r="AX312" s="153" t="s">
        <v>1191</v>
      </c>
      <c r="AY312" s="153"/>
      <c r="AZ312" s="153"/>
      <c r="BA312" s="153"/>
      <c r="BB312" s="153"/>
      <c r="BC312" s="153"/>
      <c r="BD312" s="151"/>
      <c r="BE312" s="152"/>
      <c r="BF312" s="151"/>
      <c r="BG312" s="94">
        <f>SUM($AV$4:AV312)</f>
        <v>1287.2356768034269</v>
      </c>
      <c r="BH312" s="95">
        <f>SUM($AU$4:AU312)</f>
        <v>21252.979999999978</v>
      </c>
      <c r="BI312" s="80">
        <f>SUMIFS($AU$3:AU313,$Q$3:Q313,"F")</f>
        <v>15828.400000000001</v>
      </c>
      <c r="BJ312" s="80">
        <f>SUMIFS($AU$3:AU313,$Q$3:Q313,"S")</f>
        <v>4143.9999999999927</v>
      </c>
      <c r="BK312" s="87">
        <f>SUMIFS($AU$3:AU313,$P$3:P313,"W")</f>
        <v>15661.580000000136</v>
      </c>
      <c r="BL312" s="87">
        <f>SUMIFS($AU$3:AU313,$P$3:P313,"R")</f>
        <v>4981.9999999999991</v>
      </c>
      <c r="BM312" s="87">
        <f>SUMIFS($AU$3:AU313,$AQ$3:AQ313,"M")</f>
        <v>5313.3799999997282</v>
      </c>
      <c r="BN312" s="87">
        <f>SUMIFS($AU$3:AU313,$AQ$3:AQ313,"H")</f>
        <v>3355.2000000004468</v>
      </c>
      <c r="BO312" s="87">
        <f>SUMIFS($AU$3:AU313,$AQ$3:AQ313,"D")</f>
        <v>4626.0000000000009</v>
      </c>
      <c r="BP312" s="87">
        <f>SUMIFS($AU$3:AU400,$AQ$3:AQ400,"W")</f>
        <v>12022.400000000001</v>
      </c>
      <c r="BQ312" s="87">
        <f>SUMIFS($AU$3:AU313,$Q$3:Q313,"O")</f>
        <v>1880.5800000001932</v>
      </c>
      <c r="BR312" s="87">
        <f>SUMIFS($AU$3:AU313,$AA$3:AA313,"*")</f>
        <v>19053.800000000068</v>
      </c>
      <c r="BS312" s="87">
        <f>SUMIFS($AU$3:AU313,$AB$3:AB313,"*")</f>
        <v>6951.1799999999312</v>
      </c>
      <c r="BT312" s="87">
        <f>SUMIFS($AU$3:AU313,$AC$3:AC313,"*")</f>
        <v>12708.4</v>
      </c>
      <c r="BU312" s="87">
        <f>SUMIFS($AU$3:AU313,$AA$3:AA313,"*",$AB$3:AB313,"*")</f>
        <v>4415.9999999998217</v>
      </c>
      <c r="BV312" s="87">
        <f>SUMIFS($AU$3:AU313,$AA$3:AA313,"*",$AC$3:AC313,"*")</f>
        <v>12244.4</v>
      </c>
      <c r="BW312" s="87">
        <f>SUMIFS($AU$3:AU313,$AB$3:AB313,"*",$AC$3:AC313,"*")</f>
        <v>3279.9999999999982</v>
      </c>
      <c r="BX312" s="87">
        <f>SUMIFS($AV$3:AV313,$Q$3:Q313,"F")</f>
        <v>321.54786430960348</v>
      </c>
      <c r="BY312" s="87">
        <f>SUMIFS($AV$3:AV313,$Q$3:Q313,"S")</f>
        <v>306.34781249396258</v>
      </c>
      <c r="BZ312" s="87">
        <f>SUMIFS($AV$3:AV313,$Q$3:Q313,"O")</f>
        <v>519.33999999986361</v>
      </c>
    </row>
    <row r="313" spans="1:78" ht="18" customHeight="1">
      <c r="A313" s="45" t="s">
        <v>1047</v>
      </c>
      <c r="B313" s="59">
        <v>45370</v>
      </c>
      <c r="C313" s="46" t="s">
        <v>1192</v>
      </c>
      <c r="D313" s="46" t="s">
        <v>98</v>
      </c>
      <c r="E313" s="66"/>
      <c r="F313" s="47"/>
      <c r="G313" s="104" t="s">
        <v>1193</v>
      </c>
      <c r="H313" s="49"/>
      <c r="I313" s="49"/>
      <c r="J313" s="49"/>
      <c r="K313" s="50"/>
      <c r="L313" s="49">
        <v>1</v>
      </c>
      <c r="M313" s="49">
        <v>1</v>
      </c>
      <c r="N313" s="49"/>
      <c r="O313" s="50" t="s">
        <v>100</v>
      </c>
      <c r="P313" s="50" t="s">
        <v>101</v>
      </c>
      <c r="Q313" s="50" t="s">
        <v>198</v>
      </c>
      <c r="R313" s="50">
        <v>25</v>
      </c>
      <c r="S313" s="50">
        <v>0</v>
      </c>
      <c r="T313" s="50">
        <v>25</v>
      </c>
      <c r="U313" s="50" t="s">
        <v>102</v>
      </c>
      <c r="V313" s="50"/>
      <c r="W313" s="50"/>
      <c r="X313" s="50"/>
      <c r="Y313" s="51">
        <f>IF(ISBLANK(O313),"",(IF(O313=UPPER("IB"),0.005,0.01)))</f>
        <v>0.01</v>
      </c>
      <c r="Z313" s="52">
        <f>IF(ISBLANK(O313),"",IF(O313="IB",8.63*200,IF(O313="IR",16*100,IF(O313="YT",20*100,IF(O313="YT-XT",24*200,IF(O313="TED",80*100,IF(O313="XT",29*200)))))))</f>
        <v>1600</v>
      </c>
      <c r="AA313" s="52" t="s">
        <v>1194</v>
      </c>
      <c r="AB313" s="52"/>
      <c r="AC313" s="52"/>
      <c r="AD313" s="231">
        <v>95.76</v>
      </c>
      <c r="AE313" s="49"/>
      <c r="AF313" s="84"/>
      <c r="AG313" s="49"/>
      <c r="AH313" s="49"/>
      <c r="AI313" s="49"/>
      <c r="AJ313" s="226"/>
      <c r="AK313" s="49"/>
      <c r="AL313" s="113">
        <f t="shared" ref="AL313:AL324" si="103">-0.02*Z313</f>
        <v>-32</v>
      </c>
      <c r="AM313" s="113">
        <f t="shared" si="95"/>
        <v>-800</v>
      </c>
      <c r="AN313" s="218"/>
      <c r="AO313" s="49"/>
      <c r="AP313" s="49" t="s">
        <v>226</v>
      </c>
      <c r="AQ313" s="84" t="s">
        <v>142</v>
      </c>
      <c r="AR313" s="49" t="s">
        <v>1195</v>
      </c>
      <c r="AS313" s="55">
        <v>95.75</v>
      </c>
      <c r="AT313" s="55">
        <f>IF(ISBLANK(AS313),,IF(U313="S",AD313-AS313,AS313-AD313))</f>
        <v>1.0000000000005116E-2</v>
      </c>
      <c r="AU313" s="54">
        <f>AV313*R313</f>
        <v>400.00000000020464</v>
      </c>
      <c r="AV313" s="56">
        <f t="shared" ref="AV313" si="104">IF(ISBLANK(AS313),,(AT313*Z313))</f>
        <v>16.000000000008185</v>
      </c>
      <c r="AW313" s="57" t="s">
        <v>101</v>
      </c>
      <c r="AX313" s="153" t="s">
        <v>1040</v>
      </c>
      <c r="AY313" s="153"/>
      <c r="AZ313" s="153"/>
      <c r="BA313" s="153"/>
      <c r="BB313" s="153"/>
      <c r="BC313" s="153"/>
      <c r="BD313" s="151"/>
      <c r="BE313" s="152"/>
      <c r="BF313" s="151"/>
      <c r="BG313" s="94">
        <f>SUM($AV$4:AV313)</f>
        <v>1303.2356768034351</v>
      </c>
      <c r="BH313" s="95">
        <f>SUM($AU$4:AU313)</f>
        <v>21652.980000000181</v>
      </c>
      <c r="BI313" s="80">
        <f>SUMIFS($AU$3:AU314,$Q$3:Q314,"F")</f>
        <v>15828.400000000001</v>
      </c>
      <c r="BJ313" s="80">
        <f>SUMIFS($AU$3:AU314,$Q$3:Q314,"S")</f>
        <v>4143.9999999999927</v>
      </c>
      <c r="BK313" s="87">
        <f>SUMIFS($AU$3:AU314,$P$3:P314,"W")</f>
        <v>15661.580000000136</v>
      </c>
      <c r="BL313" s="87">
        <f>SUMIFS($AU$3:AU314,$P$3:P314,"R")</f>
        <v>4981.9999999999991</v>
      </c>
      <c r="BM313" s="87">
        <f>SUMIFS($AU$3:AU314,$AQ$3:AQ314,"M")</f>
        <v>5313.3799999997282</v>
      </c>
      <c r="BN313" s="87">
        <f>SUMIFS($AU$3:AU314,$AQ$3:AQ314,"H")</f>
        <v>3355.2000000004468</v>
      </c>
      <c r="BO313" s="87">
        <f>SUMIFS($AU$3:AU314,$AQ$3:AQ314,"D")</f>
        <v>4626.0000000000009</v>
      </c>
      <c r="BP313" s="87">
        <f>SUMIFS($AU$3:AU401,$AQ$3:AQ401,"W")</f>
        <v>12022.400000000001</v>
      </c>
      <c r="BQ313" s="87">
        <f>SUMIFS($AU$3:AU314,$Q$3:Q314,"O")</f>
        <v>1880.5800000001932</v>
      </c>
      <c r="BR313" s="87">
        <f>SUMIFS($AU$3:AU314,$AA$3:AA314,"*")</f>
        <v>19053.800000000068</v>
      </c>
      <c r="BS313" s="87">
        <f>SUMIFS($AU$3:AU314,$AB$3:AB314,"*")</f>
        <v>6951.1799999999312</v>
      </c>
      <c r="BT313" s="87">
        <f>SUMIFS($AU$3:AU314,$AC$3:AC314,"*")</f>
        <v>12708.4</v>
      </c>
      <c r="BU313" s="87">
        <f>SUMIFS($AU$3:AU314,$AA$3:AA314,"*",$AB$3:AB314,"*")</f>
        <v>4415.9999999998217</v>
      </c>
      <c r="BV313" s="87">
        <f>SUMIFS($AU$3:AU314,$AA$3:AA314,"*",$AC$3:AC314,"*")</f>
        <v>12244.4</v>
      </c>
      <c r="BW313" s="87">
        <f>SUMIFS($AU$3:AU314,$AB$3:AB314,"*",$AC$3:AC314,"*")</f>
        <v>3279.9999999999982</v>
      </c>
      <c r="BX313" s="87">
        <f>SUMIFS($AV$3:AV314,$Q$3:Q314,"F")</f>
        <v>321.54786430960348</v>
      </c>
      <c r="BY313" s="87">
        <f>SUMIFS($AV$3:AV314,$Q$3:Q314,"S")</f>
        <v>306.34781249396258</v>
      </c>
      <c r="BZ313" s="87">
        <f>SUMIFS($AV$3:AV314,$Q$3:Q314,"O")</f>
        <v>519.33999999986361</v>
      </c>
    </row>
    <row r="314" spans="1:78" ht="27">
      <c r="A314" s="45" t="s">
        <v>1047</v>
      </c>
      <c r="B314" s="59"/>
      <c r="C314" s="46"/>
      <c r="D314" s="46"/>
      <c r="E314" s="66"/>
      <c r="F314" s="47"/>
      <c r="G314" s="48"/>
      <c r="H314" s="49"/>
      <c r="I314" s="49"/>
      <c r="J314" s="49"/>
      <c r="K314" s="50"/>
      <c r="L314" s="49"/>
      <c r="M314" s="49"/>
      <c r="N314" s="49"/>
      <c r="O314" s="50"/>
      <c r="P314" s="50"/>
      <c r="Q314" s="50"/>
      <c r="R314" s="50"/>
      <c r="S314" s="50"/>
      <c r="T314" s="50"/>
      <c r="U314" s="50"/>
      <c r="V314" s="50"/>
      <c r="W314" s="50"/>
      <c r="X314" s="50"/>
      <c r="Y314" s="50"/>
      <c r="Z314" s="50"/>
      <c r="AA314" s="52"/>
      <c r="AB314" s="52"/>
      <c r="AC314" s="52"/>
      <c r="AD314" s="231"/>
      <c r="AE314" s="49"/>
      <c r="AF314" s="84"/>
      <c r="AG314" s="49"/>
      <c r="AH314" s="49"/>
      <c r="AI314" s="49"/>
      <c r="AJ314" s="226"/>
      <c r="AK314" s="49"/>
      <c r="AL314" s="113">
        <f t="shared" si="103"/>
        <v>0</v>
      </c>
      <c r="AM314" s="113">
        <f t="shared" si="95"/>
        <v>0</v>
      </c>
      <c r="AN314" s="218"/>
      <c r="AO314" s="49"/>
      <c r="AP314" s="49"/>
      <c r="AQ314" s="84" t="str">
        <f>UPPER(RIGHT(Journal_Live[[#This Row],[DURATION ]]))</f>
        <v/>
      </c>
      <c r="AR314" s="49"/>
      <c r="AS314" s="55"/>
      <c r="AT314" s="55"/>
      <c r="AU314" s="54"/>
      <c r="AV314" s="56"/>
      <c r="AW314" s="57"/>
      <c r="AX314" s="99" t="s">
        <v>992</v>
      </c>
      <c r="AY314" s="151" t="s">
        <v>1196</v>
      </c>
      <c r="AZ314" s="153" t="s">
        <v>1197</v>
      </c>
      <c r="BA314" s="153" t="s">
        <v>1198</v>
      </c>
      <c r="BB314" s="153" t="s">
        <v>1199</v>
      </c>
      <c r="BC314" s="153" t="s">
        <v>1200</v>
      </c>
      <c r="BD314" s="151"/>
      <c r="BE314" s="152"/>
      <c r="BF314" s="151"/>
      <c r="BG314" s="94">
        <f>SUM($AV$4:AV314)</f>
        <v>1303.2356768034351</v>
      </c>
      <c r="BH314" s="95">
        <f>SUM($AU$4:AU314)</f>
        <v>21652.980000000181</v>
      </c>
      <c r="BI314" s="80">
        <f>SUMIFS($AU$3:AU315,$Q$3:Q315,"F")</f>
        <v>15828.400000000001</v>
      </c>
      <c r="BJ314" s="80">
        <f>SUMIFS($AU$3:AU315,$Q$3:Q315,"S")</f>
        <v>4143.9999999999927</v>
      </c>
      <c r="BK314" s="87">
        <f>SUMIFS($AU$3:AU315,$P$3:P315,"W")</f>
        <v>15661.580000000136</v>
      </c>
      <c r="BL314" s="87">
        <f>SUMIFS($AU$3:AU315,$P$3:P315,"R")</f>
        <v>4981.9999999999991</v>
      </c>
      <c r="BM314" s="87">
        <f>SUMIFS($AU$3:AU315,$AQ$3:AQ315,"M")</f>
        <v>5313.3799999997282</v>
      </c>
      <c r="BN314" s="87">
        <f>SUMIFS($AU$3:AU315,$AQ$3:AQ315,"H")</f>
        <v>3355.2000000004468</v>
      </c>
      <c r="BO314" s="87">
        <f>SUMIFS($AU$3:AU315,$AQ$3:AQ315,"D")</f>
        <v>4626.0000000000009</v>
      </c>
      <c r="BP314" s="87">
        <f>SUMIFS($AU$3:AU402,$AQ$3:AQ402,"W")</f>
        <v>12022.400000000001</v>
      </c>
      <c r="BQ314" s="87">
        <f>SUMIFS($AU$3:AU315,$Q$3:Q315,"O")</f>
        <v>1880.5800000001932</v>
      </c>
      <c r="BR314" s="87">
        <f>SUMIFS($AU$3:AU315,$AA$3:AA315,"*")</f>
        <v>19053.800000000068</v>
      </c>
      <c r="BS314" s="87">
        <f>SUMIFS($AU$3:AU315,$AB$3:AB315,"*")</f>
        <v>6951.1799999999312</v>
      </c>
      <c r="BT314" s="87">
        <f>SUMIFS($AU$3:AU315,$AC$3:AC315,"*")</f>
        <v>12708.4</v>
      </c>
      <c r="BU314" s="87">
        <f>SUMIFS($AU$3:AU315,$AA$3:AA315,"*",$AB$3:AB315,"*")</f>
        <v>4415.9999999998217</v>
      </c>
      <c r="BV314" s="87">
        <f>SUMIFS($AU$3:AU315,$AA$3:AA315,"*",$AC$3:AC315,"*")</f>
        <v>12244.4</v>
      </c>
      <c r="BW314" s="87">
        <f>SUMIFS($AU$3:AU315,$AB$3:AB315,"*",$AC$3:AC315,"*")</f>
        <v>3279.9999999999982</v>
      </c>
      <c r="BX314" s="87">
        <f>SUMIFS($AV$3:AV315,$Q$3:Q315,"F")</f>
        <v>321.54786430960348</v>
      </c>
      <c r="BY314" s="87">
        <f>SUMIFS($AV$3:AV315,$Q$3:Q315,"S")</f>
        <v>306.34781249396258</v>
      </c>
      <c r="BZ314" s="87">
        <f>SUMIFS($AV$3:AV315,$Q$3:Q315,"O")</f>
        <v>519.33999999986361</v>
      </c>
    </row>
    <row r="315" spans="1:78" ht="40.5">
      <c r="A315" s="45" t="s">
        <v>1047</v>
      </c>
      <c r="B315" s="59">
        <v>45370</v>
      </c>
      <c r="C315" s="46" t="s">
        <v>147</v>
      </c>
      <c r="D315" s="46" t="s">
        <v>98</v>
      </c>
      <c r="E315" s="66"/>
      <c r="F315" s="47"/>
      <c r="G315" s="48" t="s">
        <v>276</v>
      </c>
      <c r="H315" s="49"/>
      <c r="I315" s="49"/>
      <c r="J315" s="49"/>
      <c r="K315" s="50"/>
      <c r="L315" s="49">
        <v>1</v>
      </c>
      <c r="M315" s="49"/>
      <c r="N315" s="49"/>
      <c r="O315" s="50" t="s">
        <v>100</v>
      </c>
      <c r="P315" s="50" t="s">
        <v>101</v>
      </c>
      <c r="Q315" s="50" t="s">
        <v>102</v>
      </c>
      <c r="R315" s="50">
        <v>55</v>
      </c>
      <c r="S315" s="50">
        <v>0</v>
      </c>
      <c r="T315" s="50">
        <v>55</v>
      </c>
      <c r="U315" s="50" t="s">
        <v>22</v>
      </c>
      <c r="V315" s="50"/>
      <c r="W315" s="50"/>
      <c r="X315" s="50"/>
      <c r="Y315" s="51">
        <f>IF(ISBLANK(O315),"",(IF(O315=UPPER("IB"),0.005,0.01)))</f>
        <v>0.01</v>
      </c>
      <c r="Z315" s="52">
        <f>IF(ISBLANK(O315),"",IF(O315="IB",8.63*200,IF(O315="IR",16*100,IF(O315="YT",20*100,IF(O315="YT-XT",24*200,IF(O315="TED",80*100,IF(O315="XT",29*200)))))))</f>
        <v>1600</v>
      </c>
      <c r="AA315" s="52"/>
      <c r="AB315" s="52"/>
      <c r="AC315" s="52" t="s">
        <v>415</v>
      </c>
      <c r="AD315" s="231">
        <v>-0.09</v>
      </c>
      <c r="AE315" s="49"/>
      <c r="AF315" s="84"/>
      <c r="AG315" s="49"/>
      <c r="AH315" s="49"/>
      <c r="AI315" s="49"/>
      <c r="AJ315" s="226"/>
      <c r="AK315" s="49"/>
      <c r="AL315" s="113">
        <f t="shared" ref="AL315:AL316" si="105">-0.02*Z315</f>
        <v>-32</v>
      </c>
      <c r="AM315" s="113">
        <f t="shared" si="95"/>
        <v>-1760</v>
      </c>
      <c r="AN315" s="218"/>
      <c r="AO315" s="49"/>
      <c r="AP315" s="49" t="s">
        <v>1201</v>
      </c>
      <c r="AQ315" s="84" t="s">
        <v>142</v>
      </c>
      <c r="AR315" s="74">
        <v>45371</v>
      </c>
      <c r="AS315" s="55">
        <v>-0.09</v>
      </c>
      <c r="AT315" s="55">
        <f>IF(ISBLANK(AS315),,IF(U315="S",AD315-AS315,AS315-AD315))</f>
        <v>0</v>
      </c>
      <c r="AU315" s="54">
        <f>AV315*R315</f>
        <v>0</v>
      </c>
      <c r="AV315" s="56">
        <f t="shared" ref="AV315" si="106">IF(ISBLANK(AS315),,(AT315*Z315))</f>
        <v>0</v>
      </c>
      <c r="AW315" s="57" t="s">
        <v>155</v>
      </c>
      <c r="AX315" s="153" t="s">
        <v>1202</v>
      </c>
      <c r="AY315" s="153" t="s">
        <v>1203</v>
      </c>
      <c r="AZ315" s="153" t="s">
        <v>1204</v>
      </c>
      <c r="BA315" s="153"/>
      <c r="BB315" s="153"/>
      <c r="BC315" s="153"/>
      <c r="BD315" s="151"/>
      <c r="BE315" s="152"/>
      <c r="BF315" s="151"/>
      <c r="BG315" s="94">
        <f>SUM($AV$4:AV315)</f>
        <v>1303.2356768034351</v>
      </c>
      <c r="BH315" s="95">
        <f>SUM($AU$4:AU315)</f>
        <v>21652.980000000181</v>
      </c>
      <c r="BI315" s="80">
        <f>SUMIFS($AU$3:AU316,$Q$3:Q316,"F")</f>
        <v>15828.400000000001</v>
      </c>
      <c r="BJ315" s="80">
        <f>SUMIFS($AU$3:AU316,$Q$3:Q316,"S")</f>
        <v>4143.9999999999927</v>
      </c>
      <c r="BK315" s="87">
        <f>SUMIFS($AU$3:AU316,$P$3:P316,"W")</f>
        <v>15661.580000000136</v>
      </c>
      <c r="BL315" s="87">
        <f>SUMIFS($AU$3:AU316,$P$3:P316,"R")</f>
        <v>4981.9999999999991</v>
      </c>
      <c r="BM315" s="87">
        <f>SUMIFS($AU$3:AU316,$AQ$3:AQ316,"M")</f>
        <v>5313.3799999997282</v>
      </c>
      <c r="BN315" s="87">
        <f>SUMIFS($AU$3:AU316,$AQ$3:AQ316,"H")</f>
        <v>3355.2000000004468</v>
      </c>
      <c r="BO315" s="87">
        <f>SUMIFS($AU$3:AU316,$AQ$3:AQ316,"D")</f>
        <v>4626.0000000000009</v>
      </c>
      <c r="BP315" s="87">
        <f>SUMIFS($AU$3:AU403,$AQ$3:AQ403,"W")</f>
        <v>12022.400000000001</v>
      </c>
      <c r="BQ315" s="87">
        <f>SUMIFS($AU$3:AU316,$Q$3:Q316,"O")</f>
        <v>1880.5800000001932</v>
      </c>
      <c r="BR315" s="87">
        <f>SUMIFS($AU$3:AU316,$AA$3:AA316,"*")</f>
        <v>19053.800000000068</v>
      </c>
      <c r="BS315" s="87">
        <f>SUMIFS($AU$3:AU316,$AB$3:AB316,"*")</f>
        <v>6951.1799999999312</v>
      </c>
      <c r="BT315" s="87">
        <f>SUMIFS($AU$3:AU316,$AC$3:AC316,"*")</f>
        <v>12708.4</v>
      </c>
      <c r="BU315" s="87">
        <f>SUMIFS($AU$3:AU316,$AA$3:AA316,"*",$AB$3:AB316,"*")</f>
        <v>4415.9999999998217</v>
      </c>
      <c r="BV315" s="87">
        <f>SUMIFS($AU$3:AU316,$AA$3:AA316,"*",$AC$3:AC316,"*")</f>
        <v>12244.4</v>
      </c>
      <c r="BW315" s="87">
        <f>SUMIFS($AU$3:AU316,$AB$3:AB316,"*",$AC$3:AC316,"*")</f>
        <v>3279.9999999999982</v>
      </c>
      <c r="BX315" s="87">
        <f>SUMIFS($AV$3:AV316,$Q$3:Q316,"F")</f>
        <v>321.54786430960348</v>
      </c>
      <c r="BY315" s="87">
        <f>SUMIFS($AV$3:AV316,$Q$3:Q316,"S")</f>
        <v>306.34781249396258</v>
      </c>
      <c r="BZ315" s="87">
        <f>SUMIFS($AV$3:AV316,$Q$3:Q316,"O")</f>
        <v>519.33999999986361</v>
      </c>
    </row>
    <row r="316" spans="1:78" ht="15">
      <c r="A316" s="45" t="s">
        <v>1047</v>
      </c>
      <c r="B316" s="59">
        <v>45370</v>
      </c>
      <c r="C316" s="46" t="s">
        <v>147</v>
      </c>
      <c r="D316" s="46" t="s">
        <v>98</v>
      </c>
      <c r="E316" s="66"/>
      <c r="F316" s="47"/>
      <c r="G316" s="104" t="s">
        <v>227</v>
      </c>
      <c r="H316" s="49"/>
      <c r="I316" s="49"/>
      <c r="J316" s="49"/>
      <c r="K316" s="50"/>
      <c r="L316" s="49">
        <v>1</v>
      </c>
      <c r="M316" s="49"/>
      <c r="N316" s="49"/>
      <c r="O316" s="50" t="s">
        <v>100</v>
      </c>
      <c r="P316" s="50" t="s">
        <v>101</v>
      </c>
      <c r="Q316" s="50" t="s">
        <v>102</v>
      </c>
      <c r="R316" s="50">
        <v>55</v>
      </c>
      <c r="S316" s="50">
        <v>0</v>
      </c>
      <c r="T316" s="50">
        <v>55</v>
      </c>
      <c r="U316" s="50" t="s">
        <v>22</v>
      </c>
      <c r="V316" s="50"/>
      <c r="W316" s="50"/>
      <c r="X316" s="50"/>
      <c r="Y316" s="51">
        <f>IF(ISBLANK(O316),"",(IF(O316=UPPER("IB"),0.005,0.01)))</f>
        <v>0.01</v>
      </c>
      <c r="Z316" s="52">
        <f>IF(ISBLANK(O316),"",IF(O316="IB",8.63*200,IF(O316="IR",16*100,IF(O316="YT",20*100,IF(O316="YT-XT",24*200,IF(O316="TED",80*100,IF(O316="XT",29*200)))))))</f>
        <v>1600</v>
      </c>
      <c r="AA316" s="52" t="s">
        <v>177</v>
      </c>
      <c r="AB316" s="52"/>
      <c r="AC316" s="52" t="s">
        <v>415</v>
      </c>
      <c r="AD316" s="231">
        <v>-0.13</v>
      </c>
      <c r="AE316" s="49"/>
      <c r="AF316" s="84"/>
      <c r="AG316" s="49"/>
      <c r="AH316" s="49"/>
      <c r="AI316" s="49"/>
      <c r="AJ316" s="226"/>
      <c r="AK316" s="49"/>
      <c r="AL316" s="113">
        <f t="shared" si="105"/>
        <v>-32</v>
      </c>
      <c r="AM316" s="113">
        <f t="shared" si="95"/>
        <v>-1760</v>
      </c>
      <c r="AN316" s="218"/>
      <c r="AO316" s="49"/>
      <c r="AP316" s="49" t="s">
        <v>1201</v>
      </c>
      <c r="AQ316" s="84" t="s">
        <v>142</v>
      </c>
      <c r="AR316" s="74">
        <v>45371</v>
      </c>
      <c r="AS316" s="55">
        <v>-0.13</v>
      </c>
      <c r="AT316" s="55">
        <f>IF(ISBLANK(AS316),,IF(U316="S",AD316-AS316,AS316-AD316))</f>
        <v>0</v>
      </c>
      <c r="AU316" s="54">
        <f>AV316*R316</f>
        <v>0</v>
      </c>
      <c r="AV316" s="56">
        <f t="shared" ref="AV316" si="107">IF(ISBLANK(AS316),,(AT316*Z316))</f>
        <v>0</v>
      </c>
      <c r="AW316" s="57" t="s">
        <v>155</v>
      </c>
      <c r="AX316" s="153"/>
      <c r="AY316" s="153"/>
      <c r="AZ316" s="153"/>
      <c r="BA316" s="153"/>
      <c r="BB316" s="153"/>
      <c r="BC316" s="153"/>
      <c r="BD316" s="151"/>
      <c r="BE316" s="152"/>
      <c r="BF316" s="151"/>
      <c r="BG316" s="94">
        <f>SUM($AV$4:AV316)</f>
        <v>1303.2356768034351</v>
      </c>
      <c r="BH316" s="95">
        <f>SUM($AU$4:AU316)</f>
        <v>21652.980000000181</v>
      </c>
      <c r="BI316" s="80">
        <f>SUMIFS($AU$3:AU317,$Q$3:Q317,"F")</f>
        <v>15828.400000000001</v>
      </c>
      <c r="BJ316" s="80">
        <f>SUMIFS($AU$3:AU317,$Q$3:Q317,"S")</f>
        <v>4143.9999999999927</v>
      </c>
      <c r="BK316" s="87">
        <f>SUMIFS($AU$3:AU317,$P$3:P317,"W")</f>
        <v>15661.580000000136</v>
      </c>
      <c r="BL316" s="87">
        <f>SUMIFS($AU$3:AU317,$P$3:P317,"R")</f>
        <v>4981.9999999999991</v>
      </c>
      <c r="BM316" s="87">
        <f>SUMIFS($AU$3:AU317,$AQ$3:AQ317,"M")</f>
        <v>5313.3799999997282</v>
      </c>
      <c r="BN316" s="87">
        <f>SUMIFS($AU$3:AU317,$AQ$3:AQ317,"H")</f>
        <v>3355.2000000004468</v>
      </c>
      <c r="BO316" s="87">
        <f>SUMIFS($AU$3:AU317,$AQ$3:AQ317,"D")</f>
        <v>4626.0000000000009</v>
      </c>
      <c r="BP316" s="87">
        <f>SUMIFS($AU$3:AU404,$AQ$3:AQ404,"W")</f>
        <v>12022.400000000001</v>
      </c>
      <c r="BQ316" s="87">
        <f>SUMIFS($AU$3:AU317,$Q$3:Q317,"O")</f>
        <v>1880.5800000001932</v>
      </c>
      <c r="BR316" s="87">
        <f>SUMIFS($AU$3:AU317,$AA$3:AA317,"*")</f>
        <v>19053.800000000068</v>
      </c>
      <c r="BS316" s="87">
        <f>SUMIFS($AU$3:AU317,$AB$3:AB317,"*")</f>
        <v>6951.1799999999312</v>
      </c>
      <c r="BT316" s="87">
        <f>SUMIFS($AU$3:AU317,$AC$3:AC317,"*")</f>
        <v>12708.4</v>
      </c>
      <c r="BU316" s="87">
        <f>SUMIFS($AU$3:AU317,$AA$3:AA317,"*",$AB$3:AB317,"*")</f>
        <v>4415.9999999998217</v>
      </c>
      <c r="BV316" s="87">
        <f>SUMIFS($AU$3:AU317,$AA$3:AA317,"*",$AC$3:AC317,"*")</f>
        <v>12244.4</v>
      </c>
      <c r="BW316" s="87">
        <f>SUMIFS($AU$3:AU317,$AB$3:AB317,"*",$AC$3:AC317,"*")</f>
        <v>3279.9999999999982</v>
      </c>
      <c r="BX316" s="87">
        <f>SUMIFS($AV$3:AV317,$Q$3:Q317,"F")</f>
        <v>321.54786430960348</v>
      </c>
      <c r="BY316" s="87">
        <f>SUMIFS($AV$3:AV317,$Q$3:Q317,"S")</f>
        <v>306.34781249396258</v>
      </c>
      <c r="BZ316" s="87">
        <f>SUMIFS($AV$3:AV317,$Q$3:Q317,"O")</f>
        <v>519.33999999986361</v>
      </c>
    </row>
    <row r="317" spans="1:78" ht="12.75">
      <c r="A317" s="45" t="s">
        <v>1047</v>
      </c>
      <c r="B317" s="59">
        <v>45372</v>
      </c>
      <c r="C317" s="46" t="s">
        <v>470</v>
      </c>
      <c r="D317" s="46" t="s">
        <v>107</v>
      </c>
      <c r="E317" s="66" t="s">
        <v>1205</v>
      </c>
      <c r="F317" s="47" t="s">
        <v>1206</v>
      </c>
      <c r="G317" s="48"/>
      <c r="H317" s="49">
        <v>1</v>
      </c>
      <c r="I317" s="49"/>
      <c r="J317" s="49"/>
      <c r="K317" s="50" t="s">
        <v>142</v>
      </c>
      <c r="L317" s="49"/>
      <c r="M317" s="49"/>
      <c r="N317" s="49"/>
      <c r="O317" s="50"/>
      <c r="P317" s="50"/>
      <c r="Q317" s="50"/>
      <c r="R317" s="50"/>
      <c r="S317" s="50"/>
      <c r="T317" s="50"/>
      <c r="U317" s="50"/>
      <c r="V317" s="50"/>
      <c r="W317" s="50"/>
      <c r="X317" s="50"/>
      <c r="Y317" s="50"/>
      <c r="Z317" s="50"/>
      <c r="AA317" s="52"/>
      <c r="AB317" s="52"/>
      <c r="AC317" s="52"/>
      <c r="AD317" s="231"/>
      <c r="AE317" s="49"/>
      <c r="AF317" s="84"/>
      <c r="AG317" s="49"/>
      <c r="AH317" s="49"/>
      <c r="AI317" s="49"/>
      <c r="AJ317" s="226"/>
      <c r="AK317" s="49"/>
      <c r="AL317" s="113">
        <f t="shared" ref="AL317:AL321" si="108">-0.02*Z317</f>
        <v>0</v>
      </c>
      <c r="AM317" s="113">
        <f t="shared" si="95"/>
        <v>0</v>
      </c>
      <c r="AN317" s="218"/>
      <c r="AO317" s="49"/>
      <c r="AP317" s="49"/>
      <c r="AQ317" s="84" t="str">
        <f>UPPER(RIGHT(Journal_Live[[#This Row],[DURATION ]]))</f>
        <v/>
      </c>
      <c r="AR317" s="49"/>
      <c r="AS317" s="55"/>
      <c r="AT317" s="55"/>
      <c r="AU317" s="54"/>
      <c r="AV317" s="56"/>
      <c r="AW317" s="57"/>
      <c r="AX317" s="153"/>
      <c r="AY317" s="153"/>
      <c r="AZ317" s="153"/>
      <c r="BA317" s="153"/>
      <c r="BB317" s="153"/>
      <c r="BC317" s="153"/>
      <c r="BD317" s="151"/>
      <c r="BE317" s="152"/>
      <c r="BF317" s="151"/>
      <c r="BG317" s="94">
        <f>SUM($AV$4:AV317)</f>
        <v>1303.2356768034351</v>
      </c>
      <c r="BH317" s="95">
        <f>SUM($AU$4:AU317)</f>
        <v>21652.980000000181</v>
      </c>
      <c r="BI317" s="80">
        <f>SUMIFS($AU$3:AU318,$Q$3:Q318,"F")</f>
        <v>15828.400000000001</v>
      </c>
      <c r="BJ317" s="80">
        <f>SUMIFS($AU$3:AU318,$Q$3:Q318,"S")</f>
        <v>4143.9999999999927</v>
      </c>
      <c r="BK317" s="87">
        <f>SUMIFS($AU$3:AU318,$P$3:P318,"W")</f>
        <v>15661.580000000136</v>
      </c>
      <c r="BL317" s="87">
        <f>SUMIFS($AU$3:AU318,$P$3:P318,"R")</f>
        <v>4981.9999999999991</v>
      </c>
      <c r="BM317" s="87">
        <f>SUMIFS($AU$3:AU318,$AQ$3:AQ318,"M")</f>
        <v>5313.3799999997282</v>
      </c>
      <c r="BN317" s="87">
        <f>SUMIFS($AU$3:AU318,$AQ$3:AQ318,"H")</f>
        <v>3355.2000000004468</v>
      </c>
      <c r="BO317" s="87">
        <f>SUMIFS($AU$3:AU318,$AQ$3:AQ318,"D")</f>
        <v>4626.0000000000009</v>
      </c>
      <c r="BP317" s="87">
        <f>SUMIFS($AU$3:AU405,$AQ$3:AQ405,"W")</f>
        <v>12022.400000000001</v>
      </c>
      <c r="BQ317" s="87">
        <f>SUMIFS($AU$3:AU318,$Q$3:Q318,"O")</f>
        <v>1880.5800000001932</v>
      </c>
      <c r="BR317" s="87">
        <f>SUMIFS($AU$3:AU318,$AA$3:AA318,"*")</f>
        <v>19053.800000000068</v>
      </c>
      <c r="BS317" s="87">
        <f>SUMIFS($AU$3:AU318,$AB$3:AB318,"*")</f>
        <v>6951.1799999999312</v>
      </c>
      <c r="BT317" s="87">
        <f>SUMIFS($AU$3:AU318,$AC$3:AC318,"*")</f>
        <v>12708.4</v>
      </c>
      <c r="BU317" s="87">
        <f>SUMIFS($AU$3:AU318,$AA$3:AA318,"*",$AB$3:AB318,"*")</f>
        <v>4415.9999999998217</v>
      </c>
      <c r="BV317" s="87">
        <f>SUMIFS($AU$3:AU318,$AA$3:AA318,"*",$AC$3:AC318,"*")</f>
        <v>12244.4</v>
      </c>
      <c r="BW317" s="87">
        <f>SUMIFS($AU$3:AU318,$AB$3:AB318,"*",$AC$3:AC318,"*")</f>
        <v>3279.9999999999982</v>
      </c>
      <c r="BX317" s="87">
        <f>SUMIFS($AV$3:AV318,$Q$3:Q318,"F")</f>
        <v>321.54786430960348</v>
      </c>
      <c r="BY317" s="87">
        <f>SUMIFS($AV$3:AV318,$Q$3:Q318,"S")</f>
        <v>306.34781249396258</v>
      </c>
      <c r="BZ317" s="87">
        <f>SUMIFS($AV$3:AV318,$Q$3:Q318,"O")</f>
        <v>519.33999999986361</v>
      </c>
    </row>
    <row r="318" spans="1:78" ht="12.75">
      <c r="A318" s="45" t="s">
        <v>1047</v>
      </c>
      <c r="B318" s="59"/>
      <c r="C318" s="46"/>
      <c r="D318" s="46"/>
      <c r="E318" s="66" t="s">
        <v>1207</v>
      </c>
      <c r="F318" s="47"/>
      <c r="G318" s="48"/>
      <c r="H318" s="49">
        <v>1</v>
      </c>
      <c r="I318" s="49"/>
      <c r="J318" s="49"/>
      <c r="K318" s="50" t="s">
        <v>142</v>
      </c>
      <c r="L318" s="49"/>
      <c r="M318" s="49"/>
      <c r="N318" s="49"/>
      <c r="O318" s="50"/>
      <c r="P318" s="50"/>
      <c r="Q318" s="50"/>
      <c r="R318" s="50"/>
      <c r="S318" s="50"/>
      <c r="T318" s="50"/>
      <c r="U318" s="50"/>
      <c r="V318" s="50"/>
      <c r="W318" s="50"/>
      <c r="X318" s="50"/>
      <c r="Y318" s="50"/>
      <c r="Z318" s="50"/>
      <c r="AA318" s="52"/>
      <c r="AB318" s="52"/>
      <c r="AC318" s="52"/>
      <c r="AD318" s="231"/>
      <c r="AE318" s="49"/>
      <c r="AF318" s="84"/>
      <c r="AG318" s="49"/>
      <c r="AH318" s="49"/>
      <c r="AI318" s="49"/>
      <c r="AJ318" s="226"/>
      <c r="AK318" s="49"/>
      <c r="AL318" s="113">
        <f t="shared" si="108"/>
        <v>0</v>
      </c>
      <c r="AM318" s="113">
        <f t="shared" si="95"/>
        <v>0</v>
      </c>
      <c r="AN318" s="218"/>
      <c r="AO318" s="49"/>
      <c r="AP318" s="49"/>
      <c r="AQ318" s="84" t="str">
        <f>UPPER(RIGHT(Journal_Live[[#This Row],[DURATION ]]))</f>
        <v/>
      </c>
      <c r="AR318" s="49"/>
      <c r="AS318" s="55"/>
      <c r="AT318" s="55"/>
      <c r="AU318" s="54"/>
      <c r="AV318" s="56"/>
      <c r="AW318" s="57"/>
      <c r="AX318" s="153"/>
      <c r="AY318" s="153"/>
      <c r="AZ318" s="153"/>
      <c r="BA318" s="153"/>
      <c r="BB318" s="153"/>
      <c r="BC318" s="153"/>
      <c r="BD318" s="151"/>
      <c r="BE318" s="152"/>
      <c r="BF318" s="151"/>
      <c r="BG318" s="94">
        <f>SUM($AV$4:AV318)</f>
        <v>1303.2356768034351</v>
      </c>
      <c r="BH318" s="95">
        <f>SUM($AU$4:AU318)</f>
        <v>21652.980000000181</v>
      </c>
      <c r="BI318" s="80">
        <f>SUMIFS($AU$3:AU319,$Q$3:Q319,"F")</f>
        <v>15828.400000000001</v>
      </c>
      <c r="BJ318" s="80">
        <f>SUMIFS($AU$3:AU319,$Q$3:Q319,"S")</f>
        <v>4143.9999999999927</v>
      </c>
      <c r="BK318" s="87">
        <f>SUMIFS($AU$3:AU319,$P$3:P319,"W")</f>
        <v>15661.580000000136</v>
      </c>
      <c r="BL318" s="87">
        <f>SUMIFS($AU$3:AU319,$P$3:P319,"R")</f>
        <v>4981.9999999999991</v>
      </c>
      <c r="BM318" s="87">
        <f>SUMIFS($AU$3:AU319,$AQ$3:AQ319,"M")</f>
        <v>5522.1799999997365</v>
      </c>
      <c r="BN318" s="87">
        <f>SUMIFS($AU$3:AU319,$AQ$3:AQ319,"H")</f>
        <v>3355.2000000004468</v>
      </c>
      <c r="BO318" s="87">
        <f>SUMIFS($AU$3:AU319,$AQ$3:AQ319,"D")</f>
        <v>4626.0000000000009</v>
      </c>
      <c r="BP318" s="87">
        <f>SUMIFS($AU$3:AU406,$AQ$3:AQ406,"W")</f>
        <v>12022.400000000001</v>
      </c>
      <c r="BQ318" s="87">
        <f>SUMIFS($AU$3:AU319,$Q$3:Q319,"O")</f>
        <v>2089.3800000002011</v>
      </c>
      <c r="BR318" s="87">
        <f>SUMIFS($AU$3:AU319,$AA$3:AA319,"*")</f>
        <v>19262.600000000075</v>
      </c>
      <c r="BS318" s="87">
        <f>SUMIFS($AU$3:AU319,$AB$3:AB319,"*")</f>
        <v>6951.1799999999312</v>
      </c>
      <c r="BT318" s="87">
        <f>SUMIFS($AU$3:AU319,$AC$3:AC319,"*")</f>
        <v>12708.4</v>
      </c>
      <c r="BU318" s="87">
        <f>SUMIFS($AU$3:AU319,$AA$3:AA319,"*",$AB$3:AB319,"*")</f>
        <v>4415.9999999998217</v>
      </c>
      <c r="BV318" s="87">
        <f>SUMIFS($AU$3:AU319,$AA$3:AA319,"*",$AC$3:AC319,"*")</f>
        <v>12244.4</v>
      </c>
      <c r="BW318" s="87">
        <f>SUMIFS($AU$3:AU319,$AB$3:AB319,"*",$AC$3:AC319,"*")</f>
        <v>3279.9999999999982</v>
      </c>
      <c r="BX318" s="87">
        <f>SUMIFS($AV$3:AV319,$Q$3:Q319,"F")</f>
        <v>321.54786430960348</v>
      </c>
      <c r="BY318" s="87">
        <f>SUMIFS($AV$3:AV319,$Q$3:Q319,"S")</f>
        <v>306.34781249396258</v>
      </c>
      <c r="BZ318" s="87">
        <f>SUMIFS($AV$3:AV319,$Q$3:Q319,"O")</f>
        <v>571.53999999986559</v>
      </c>
    </row>
    <row r="319" spans="1:78" ht="15">
      <c r="A319" s="45" t="s">
        <v>1047</v>
      </c>
      <c r="B319" s="59">
        <v>45372</v>
      </c>
      <c r="C319" s="46" t="s">
        <v>147</v>
      </c>
      <c r="D319" s="46" t="s">
        <v>107</v>
      </c>
      <c r="E319" s="66"/>
      <c r="F319" s="47"/>
      <c r="G319" s="48" t="s">
        <v>1169</v>
      </c>
      <c r="H319" s="49"/>
      <c r="I319" s="49"/>
      <c r="J319" s="49"/>
      <c r="K319" s="50"/>
      <c r="L319" s="49">
        <v>2</v>
      </c>
      <c r="M319" s="49"/>
      <c r="N319" s="49"/>
      <c r="O319" s="50" t="s">
        <v>196</v>
      </c>
      <c r="P319" s="50" t="s">
        <v>197</v>
      </c>
      <c r="Q319" s="50" t="s">
        <v>198</v>
      </c>
      <c r="R319" s="50">
        <v>4</v>
      </c>
      <c r="S319" s="50">
        <v>0</v>
      </c>
      <c r="T319" s="50">
        <v>2</v>
      </c>
      <c r="U319" s="50" t="s">
        <v>102</v>
      </c>
      <c r="V319" s="50"/>
      <c r="W319" s="50"/>
      <c r="X319" s="50"/>
      <c r="Y319" s="51">
        <f>IF(ISBLANK(O319),"",(IF(O319=UPPER("IB"),0.005,0.01)))</f>
        <v>0.01</v>
      </c>
      <c r="Z319" s="52">
        <f>IF(ISBLANK(O319),"",IF(O319="IB",8.63*200,IF(O319="IR",16*100,IF(O319="YT",20*100,IF(O319="YT-XT",24*200,IF(O319="TED",80*100,IF(O319="XT",29*200)))))))</f>
        <v>5800</v>
      </c>
      <c r="AA319" s="52" t="s">
        <v>1208</v>
      </c>
      <c r="AB319" s="52"/>
      <c r="AC319" s="52"/>
      <c r="AD319" s="231">
        <v>95.933000000000007</v>
      </c>
      <c r="AE319" s="49"/>
      <c r="AF319" s="84"/>
      <c r="AG319" s="49"/>
      <c r="AH319" s="49"/>
      <c r="AI319" s="49"/>
      <c r="AJ319" s="226"/>
      <c r="AK319" s="49"/>
      <c r="AL319" s="113">
        <f t="shared" si="108"/>
        <v>-116</v>
      </c>
      <c r="AM319" s="113">
        <f t="shared" si="95"/>
        <v>-464</v>
      </c>
      <c r="AN319" s="218"/>
      <c r="AO319" s="49"/>
      <c r="AP319" s="49" t="s">
        <v>1209</v>
      </c>
      <c r="AQ319" s="84" t="s">
        <v>350</v>
      </c>
      <c r="AR319" s="49"/>
      <c r="AS319" s="55">
        <v>95.924000000000007</v>
      </c>
      <c r="AT319" s="55">
        <f>IF(ISBLANK(AS319),,IF(U319="S",AD319-AS319,AS319-AD319))</f>
        <v>9.0000000000003411E-3</v>
      </c>
      <c r="AU319" s="54">
        <f>AV319*R319</f>
        <v>208.80000000000791</v>
      </c>
      <c r="AV319" s="56">
        <f t="shared" ref="AV319" si="109">IF(ISBLANK(AS319),,(AT319*Z319))</f>
        <v>52.200000000001978</v>
      </c>
      <c r="AW319" s="57" t="s">
        <v>101</v>
      </c>
      <c r="AX319" s="153" t="s">
        <v>1040</v>
      </c>
      <c r="AY319" s="153"/>
      <c r="AZ319" s="153"/>
      <c r="BA319" s="153"/>
      <c r="BB319" s="153"/>
      <c r="BC319" s="153"/>
      <c r="BD319" s="151"/>
      <c r="BE319" s="152"/>
      <c r="BF319" s="151"/>
      <c r="BG319" s="94">
        <f>SUM($AV$4:AV319)</f>
        <v>1355.4356768034372</v>
      </c>
      <c r="BH319" s="95">
        <f>SUM($AU$4:AU319)</f>
        <v>21861.780000000188</v>
      </c>
      <c r="BI319" s="80">
        <f>SUMIFS($AU$3:AU320,$Q$3:Q320,"F")</f>
        <v>15828.400000000001</v>
      </c>
      <c r="BJ319" s="80">
        <f>SUMIFS($AU$3:AU320,$Q$3:Q320,"S")</f>
        <v>4143.9999999999927</v>
      </c>
      <c r="BK319" s="87">
        <f>SUMIFS($AU$3:AU320,$P$3:P320,"W")</f>
        <v>15661.580000000136</v>
      </c>
      <c r="BL319" s="87">
        <f>SUMIFS($AU$3:AU320,$P$3:P320,"R")</f>
        <v>4981.9999999999991</v>
      </c>
      <c r="BM319" s="87">
        <f>SUMIFS($AU$3:AU320,$AQ$3:AQ320,"M")</f>
        <v>5522.1799999997365</v>
      </c>
      <c r="BN319" s="87">
        <f>SUMIFS($AU$3:AU320,$AQ$3:AQ320,"H")</f>
        <v>3355.2000000004468</v>
      </c>
      <c r="BO319" s="87">
        <f>SUMIFS($AU$3:AU320,$AQ$3:AQ320,"D")</f>
        <v>4626.0000000000009</v>
      </c>
      <c r="BP319" s="87">
        <f>SUMIFS($AU$3:AU407,$AQ$3:AQ407,"W")</f>
        <v>12022.400000000001</v>
      </c>
      <c r="BQ319" s="87">
        <f>SUMIFS($AU$3:AU320,$Q$3:Q320,"O")</f>
        <v>2089.3800000002011</v>
      </c>
      <c r="BR319" s="87">
        <f>SUMIFS($AU$3:AU320,$AA$3:AA320,"*")</f>
        <v>19262.600000000075</v>
      </c>
      <c r="BS319" s="87">
        <f>SUMIFS($AU$3:AU320,$AB$3:AB320,"*")</f>
        <v>6951.1799999999312</v>
      </c>
      <c r="BT319" s="87">
        <f>SUMIFS($AU$3:AU320,$AC$3:AC320,"*")</f>
        <v>12708.4</v>
      </c>
      <c r="BU319" s="87">
        <f>SUMIFS($AU$3:AU320,$AA$3:AA320,"*",$AB$3:AB320,"*")</f>
        <v>4415.9999999998217</v>
      </c>
      <c r="BV319" s="87">
        <f>SUMIFS($AU$3:AU320,$AA$3:AA320,"*",$AC$3:AC320,"*")</f>
        <v>12244.4</v>
      </c>
      <c r="BW319" s="87">
        <f>SUMIFS($AU$3:AU320,$AB$3:AB320,"*",$AC$3:AC320,"*")</f>
        <v>3279.9999999999982</v>
      </c>
      <c r="BX319" s="87">
        <f>SUMIFS($AV$3:AV320,$Q$3:Q320,"F")</f>
        <v>321.54786430960348</v>
      </c>
      <c r="BY319" s="87">
        <f>SUMIFS($AV$3:AV320,$Q$3:Q320,"S")</f>
        <v>306.34781249396258</v>
      </c>
      <c r="BZ319" s="87">
        <f>SUMIFS($AV$3:AV320,$Q$3:Q320,"O")</f>
        <v>571.53999999986559</v>
      </c>
    </row>
    <row r="320" spans="1:78" ht="15">
      <c r="A320" s="45" t="s">
        <v>1047</v>
      </c>
      <c r="B320" s="59">
        <v>45372</v>
      </c>
      <c r="C320" s="46" t="s">
        <v>147</v>
      </c>
      <c r="D320" s="46" t="s">
        <v>107</v>
      </c>
      <c r="E320" s="66"/>
      <c r="F320" s="47"/>
      <c r="G320" s="48" t="s">
        <v>527</v>
      </c>
      <c r="H320" s="49"/>
      <c r="I320" s="49"/>
      <c r="J320" s="49"/>
      <c r="K320" s="50"/>
      <c r="L320" s="49"/>
      <c r="M320" s="49"/>
      <c r="N320" s="49"/>
      <c r="O320" s="50"/>
      <c r="P320" s="50"/>
      <c r="Q320" s="50"/>
      <c r="R320" s="50"/>
      <c r="S320" s="50"/>
      <c r="T320" s="50"/>
      <c r="U320" s="50"/>
      <c r="V320" s="50"/>
      <c r="W320" s="50"/>
      <c r="X320" s="50"/>
      <c r="Y320" s="51"/>
      <c r="Z320" s="52"/>
      <c r="AA320" s="52"/>
      <c r="AB320" s="52"/>
      <c r="AC320" s="52"/>
      <c r="AD320" s="231"/>
      <c r="AE320" s="49"/>
      <c r="AF320" s="84"/>
      <c r="AG320" s="49"/>
      <c r="AH320" s="49"/>
      <c r="AI320" s="49"/>
      <c r="AJ320" s="226" t="s">
        <v>1210</v>
      </c>
      <c r="AK320" s="49"/>
      <c r="AL320" s="113">
        <f t="shared" si="108"/>
        <v>0</v>
      </c>
      <c r="AM320" s="113">
        <f t="shared" si="95"/>
        <v>0</v>
      </c>
      <c r="AN320" s="218"/>
      <c r="AO320" s="49"/>
      <c r="AP320" s="49"/>
      <c r="AQ320" s="84" t="str">
        <f>UPPER(RIGHT(Journal_Live[[#This Row],[DURATION ]]))</f>
        <v/>
      </c>
      <c r="AR320" s="49"/>
      <c r="AS320" s="55"/>
      <c r="AT320" s="55">
        <f>IF(ISBLANK(AS320),,IF(U320="S",AD320-AS320,AS320-AD320))</f>
        <v>0</v>
      </c>
      <c r="AU320" s="54">
        <f>AV320*R320</f>
        <v>0</v>
      </c>
      <c r="AV320" s="56">
        <f t="shared" ref="AV320:AV321" si="110">IF(ISBLANK(AS320),,(AT320*Z320))</f>
        <v>0</v>
      </c>
      <c r="AW320" s="57"/>
      <c r="AX320" s="153"/>
      <c r="AY320" s="153"/>
      <c r="AZ320" s="153"/>
      <c r="BA320" s="153"/>
      <c r="BB320" s="153"/>
      <c r="BC320" s="153"/>
      <c r="BD320" s="151"/>
      <c r="BE320" s="152"/>
      <c r="BF320" s="151"/>
      <c r="BG320" s="94">
        <f>SUM($AV$4:AV320)</f>
        <v>1355.4356768034372</v>
      </c>
      <c r="BH320" s="95">
        <f>SUM($AU$4:AU320)</f>
        <v>21861.780000000188</v>
      </c>
      <c r="BI320" s="80">
        <f>SUMIFS($AU$3:AU321,$Q$3:Q321,"F")</f>
        <v>15828.400000000001</v>
      </c>
      <c r="BJ320" s="80">
        <f>SUMIFS($AU$3:AU321,$Q$3:Q321,"S")</f>
        <v>4607.9999999999927</v>
      </c>
      <c r="BK320" s="87">
        <f>SUMIFS($AU$3:AU321,$P$3:P321,"W")</f>
        <v>16125.580000000136</v>
      </c>
      <c r="BL320" s="87">
        <f>SUMIFS($AU$3:AU321,$P$3:P321,"R")</f>
        <v>4981.9999999999991</v>
      </c>
      <c r="BM320" s="87">
        <f>SUMIFS($AU$3:AU321,$AQ$3:AQ321,"M")</f>
        <v>5522.1799999997365</v>
      </c>
      <c r="BN320" s="87">
        <f>SUMIFS($AU$3:AU321,$AQ$3:AQ321,"H")</f>
        <v>3819.2000000004464</v>
      </c>
      <c r="BO320" s="87">
        <f>SUMIFS($AU$3:AU321,$AQ$3:AQ321,"D")</f>
        <v>4626.0000000000009</v>
      </c>
      <c r="BP320" s="87">
        <f>SUMIFS($AU$3:AU408,$AQ$3:AQ408,"W")</f>
        <v>12022.400000000001</v>
      </c>
      <c r="BQ320" s="87">
        <f>SUMIFS($AU$3:AU321,$Q$3:Q321,"O")</f>
        <v>2089.3800000002011</v>
      </c>
      <c r="BR320" s="87">
        <f>SUMIFS($AU$3:AU321,$AA$3:AA321,"*")</f>
        <v>19726.600000000075</v>
      </c>
      <c r="BS320" s="87">
        <f>SUMIFS($AU$3:AU321,$AB$3:AB321,"*")</f>
        <v>6951.1799999999312</v>
      </c>
      <c r="BT320" s="87">
        <f>SUMIFS($AU$3:AU321,$AC$3:AC321,"*")</f>
        <v>12708.4</v>
      </c>
      <c r="BU320" s="87">
        <f>SUMIFS($AU$3:AU321,$AA$3:AA321,"*",$AB$3:AB321,"*")</f>
        <v>4415.9999999998217</v>
      </c>
      <c r="BV320" s="87">
        <f>SUMIFS($AU$3:AU321,$AA$3:AA321,"*",$AC$3:AC321,"*")</f>
        <v>12244.4</v>
      </c>
      <c r="BW320" s="87">
        <f>SUMIFS($AU$3:AU321,$AB$3:AB321,"*",$AC$3:AC321,"*")</f>
        <v>3279.9999999999982</v>
      </c>
      <c r="BX320" s="87">
        <f>SUMIFS($AV$3:AV321,$Q$3:Q321,"F")</f>
        <v>321.54786430960348</v>
      </c>
      <c r="BY320" s="87">
        <f>SUMIFS($AV$3:AV321,$Q$3:Q321,"S")</f>
        <v>322.34781249396258</v>
      </c>
      <c r="BZ320" s="87">
        <f>SUMIFS($AV$3:AV321,$Q$3:Q321,"O")</f>
        <v>571.53999999986559</v>
      </c>
    </row>
    <row r="321" spans="1:78" ht="15">
      <c r="A321" s="45" t="s">
        <v>1047</v>
      </c>
      <c r="B321" s="59">
        <v>45372</v>
      </c>
      <c r="C321" s="46" t="s">
        <v>1211</v>
      </c>
      <c r="D321" s="46" t="s">
        <v>107</v>
      </c>
      <c r="E321" s="66"/>
      <c r="F321" s="47"/>
      <c r="G321" s="104" t="s">
        <v>111</v>
      </c>
      <c r="H321" s="49"/>
      <c r="I321" s="49"/>
      <c r="J321" s="49"/>
      <c r="K321" s="50"/>
      <c r="L321" s="49"/>
      <c r="M321" s="49">
        <v>2</v>
      </c>
      <c r="N321" s="49"/>
      <c r="O321" s="50" t="s">
        <v>100</v>
      </c>
      <c r="P321" s="50" t="s">
        <v>101</v>
      </c>
      <c r="Q321" s="50" t="s">
        <v>102</v>
      </c>
      <c r="R321" s="50">
        <v>29</v>
      </c>
      <c r="S321" s="50">
        <v>9</v>
      </c>
      <c r="T321" s="50">
        <v>29</v>
      </c>
      <c r="U321" s="50" t="s">
        <v>102</v>
      </c>
      <c r="V321" s="50"/>
      <c r="W321" s="50"/>
      <c r="X321" s="50"/>
      <c r="Y321" s="51">
        <f>IF(ISBLANK(O321),"",(IF(O321=UPPER("IB"),0.005,0.01)))</f>
        <v>0.01</v>
      </c>
      <c r="Z321" s="52">
        <f>IF(ISBLANK(O321),"",IF(O321="IB",8.63*200,IF(O321="IR",16*100,IF(O321="YT",20*100,IF(O321="YT-XT",24*200,IF(O321="TED",80*100,IF(O321="XT",29*200)))))))</f>
        <v>1600</v>
      </c>
      <c r="AA321" s="52" t="s">
        <v>645</v>
      </c>
      <c r="AB321" s="52"/>
      <c r="AC321" s="52"/>
      <c r="AD321" s="231">
        <v>-0.1</v>
      </c>
      <c r="AE321" s="49"/>
      <c r="AF321" s="84"/>
      <c r="AG321" s="49"/>
      <c r="AH321" s="49"/>
      <c r="AI321" s="49"/>
      <c r="AJ321" s="226"/>
      <c r="AK321" s="49"/>
      <c r="AL321" s="113">
        <f t="shared" si="108"/>
        <v>-32</v>
      </c>
      <c r="AM321" s="113">
        <f t="shared" si="95"/>
        <v>-640</v>
      </c>
      <c r="AN321" s="218"/>
      <c r="AO321" s="49"/>
      <c r="AP321" s="49" t="s">
        <v>1212</v>
      </c>
      <c r="AQ321" s="84" t="s">
        <v>142</v>
      </c>
      <c r="AR321" s="49" t="s">
        <v>1213</v>
      </c>
      <c r="AS321" s="55">
        <v>-0.11</v>
      </c>
      <c r="AT321" s="55">
        <f>IF(ISBLANK(AS321),,IF(U321="S",AD321-AS321,AS321-AD321))</f>
        <v>9.999999999999995E-3</v>
      </c>
      <c r="AU321" s="54">
        <f>AV321*R321</f>
        <v>463.99999999999977</v>
      </c>
      <c r="AV321" s="56">
        <f t="shared" si="110"/>
        <v>15.999999999999993</v>
      </c>
      <c r="AW321" s="57" t="s">
        <v>101</v>
      </c>
      <c r="AX321" s="153" t="s">
        <v>1040</v>
      </c>
      <c r="AY321" s="153"/>
      <c r="AZ321" s="153"/>
      <c r="BA321" s="153"/>
      <c r="BB321" s="153"/>
      <c r="BC321" s="153"/>
      <c r="BD321" s="151"/>
      <c r="BE321" s="152"/>
      <c r="BF321" s="151"/>
      <c r="BG321" s="94">
        <f>SUM($AV$4:AV321)</f>
        <v>1371.4356768034372</v>
      </c>
      <c r="BH321" s="95">
        <f>SUM($AU$4:AU321)</f>
        <v>22325.780000000188</v>
      </c>
      <c r="BI321" s="80">
        <f>SUMIFS($AU$3:AU322,$Q$3:Q322,"F")</f>
        <v>15828.400000000001</v>
      </c>
      <c r="BJ321" s="80">
        <f>SUMIFS($AU$3:AU322,$Q$3:Q322,"S")</f>
        <v>4607.9999999999927</v>
      </c>
      <c r="BK321" s="87">
        <f>SUMIFS($AU$3:AU322,$P$3:P322,"W")</f>
        <v>16125.580000000136</v>
      </c>
      <c r="BL321" s="87">
        <f>SUMIFS($AU$3:AU322,$P$3:P322,"R")</f>
        <v>4981.9999999999991</v>
      </c>
      <c r="BM321" s="87">
        <f>SUMIFS($AU$3:AU322,$AQ$3:AQ322,"M")</f>
        <v>5522.1799999997365</v>
      </c>
      <c r="BN321" s="87">
        <f>SUMIFS($AU$3:AU322,$AQ$3:AQ322,"H")</f>
        <v>3819.2000000004464</v>
      </c>
      <c r="BO321" s="87">
        <f>SUMIFS($AU$3:AU322,$AQ$3:AQ322,"D")</f>
        <v>4626.0000000000009</v>
      </c>
      <c r="BP321" s="87">
        <f>SUMIFS($AU$3:AU409,$AQ$3:AQ409,"W")</f>
        <v>12022.400000000001</v>
      </c>
      <c r="BQ321" s="87">
        <f>SUMIFS($AU$3:AU322,$Q$3:Q322,"O")</f>
        <v>2089.3800000002011</v>
      </c>
      <c r="BR321" s="87">
        <f>SUMIFS($AU$3:AU322,$AA$3:AA322,"*")</f>
        <v>19726.600000000075</v>
      </c>
      <c r="BS321" s="87">
        <f>SUMIFS($AU$3:AU322,$AB$3:AB322,"*")</f>
        <v>6951.1799999999312</v>
      </c>
      <c r="BT321" s="87">
        <f>SUMIFS($AU$3:AU322,$AC$3:AC322,"*")</f>
        <v>12708.4</v>
      </c>
      <c r="BU321" s="87">
        <f>SUMIFS($AU$3:AU322,$AA$3:AA322,"*",$AB$3:AB322,"*")</f>
        <v>4415.9999999998217</v>
      </c>
      <c r="BV321" s="87">
        <f>SUMIFS($AU$3:AU322,$AA$3:AA322,"*",$AC$3:AC322,"*")</f>
        <v>12244.4</v>
      </c>
      <c r="BW321" s="87">
        <f>SUMIFS($AU$3:AU322,$AB$3:AB322,"*",$AC$3:AC322,"*")</f>
        <v>3279.9999999999982</v>
      </c>
      <c r="BX321" s="87">
        <f>SUMIFS($AV$3:AV322,$Q$3:Q322,"F")</f>
        <v>321.54786430960348</v>
      </c>
      <c r="BY321" s="87">
        <f>SUMIFS($AV$3:AV322,$Q$3:Q322,"S")</f>
        <v>322.34781249396258</v>
      </c>
      <c r="BZ321" s="87">
        <f>SUMIFS($AV$3:AV322,$Q$3:Q322,"O")</f>
        <v>571.53999999986559</v>
      </c>
    </row>
    <row r="322" spans="1:78" ht="53.25">
      <c r="A322" s="45" t="s">
        <v>1047</v>
      </c>
      <c r="B322" s="59">
        <v>45373</v>
      </c>
      <c r="C322" s="46"/>
      <c r="D322" s="46"/>
      <c r="E322" s="66"/>
      <c r="F322" s="47"/>
      <c r="G322" s="48"/>
      <c r="H322" s="49"/>
      <c r="I322" s="49"/>
      <c r="J322" s="49"/>
      <c r="K322" s="50"/>
      <c r="L322" s="49"/>
      <c r="M322" s="49"/>
      <c r="N322" s="49"/>
      <c r="O322" s="50"/>
      <c r="P322" s="50"/>
      <c r="Q322" s="50"/>
      <c r="R322" s="50"/>
      <c r="S322" s="50"/>
      <c r="T322" s="50"/>
      <c r="U322" s="50"/>
      <c r="V322" s="50"/>
      <c r="W322" s="50"/>
      <c r="X322" s="50"/>
      <c r="Y322" s="51"/>
      <c r="Z322" s="52"/>
      <c r="AA322" s="52"/>
      <c r="AB322" s="52"/>
      <c r="AC322" s="52"/>
      <c r="AD322" s="231"/>
      <c r="AE322" s="49"/>
      <c r="AF322" s="84"/>
      <c r="AG322" s="49"/>
      <c r="AH322" s="49"/>
      <c r="AI322" s="49"/>
      <c r="AJ322" s="226"/>
      <c r="AK322" s="49"/>
      <c r="AL322" s="113"/>
      <c r="AM322" s="113"/>
      <c r="AN322" s="218"/>
      <c r="AO322" s="49"/>
      <c r="AP322" s="49"/>
      <c r="AQ322" s="84"/>
      <c r="AR322" s="49"/>
      <c r="AS322" s="55"/>
      <c r="AT322" s="55"/>
      <c r="AU322" s="54"/>
      <c r="AV322" s="56"/>
      <c r="AW322" s="57"/>
      <c r="AX322" s="151" t="s">
        <v>539</v>
      </c>
      <c r="AY322" s="153" t="s">
        <v>1214</v>
      </c>
      <c r="AZ322" s="153" t="s">
        <v>1215</v>
      </c>
      <c r="BA322" s="151" t="s">
        <v>1216</v>
      </c>
      <c r="BB322" s="153"/>
      <c r="BC322" s="153"/>
      <c r="BD322" s="151"/>
      <c r="BE322" s="152"/>
      <c r="BF322" s="151"/>
      <c r="BG322" s="94">
        <f>SUM($AV$4:AV322)</f>
        <v>1371.4356768034372</v>
      </c>
      <c r="BH322" s="95">
        <f>SUM($AU$4:AU322)</f>
        <v>22325.780000000188</v>
      </c>
      <c r="BI322" s="80">
        <f>SUMIFS($AU$3:AU323,$Q$3:Q323,"F")</f>
        <v>15828.400000000001</v>
      </c>
      <c r="BJ322" s="80">
        <f>SUMIFS($AU$3:AU323,$Q$3:Q323,"S")</f>
        <v>4607.9999999999927</v>
      </c>
      <c r="BK322" s="87">
        <f>SUMIFS($AU$3:AU323,$P$3:P323,"W")</f>
        <v>16125.580000000136</v>
      </c>
      <c r="BL322" s="87">
        <f>SUMIFS($AU$3:AU323,$P$3:P323,"R")</f>
        <v>5061.9999999999991</v>
      </c>
      <c r="BM322" s="87">
        <f>SUMIFS($AU$3:AU323,$AQ$3:AQ323,"M")</f>
        <v>5522.1799999997365</v>
      </c>
      <c r="BN322" s="87">
        <f>SUMIFS($AU$3:AU323,$AQ$3:AQ323,"H")</f>
        <v>3819.2000000004464</v>
      </c>
      <c r="BO322" s="87">
        <f>SUMIFS($AU$3:AU323,$AQ$3:AQ323,"D")</f>
        <v>4706.0000000000009</v>
      </c>
      <c r="BP322" s="87">
        <f>SUMIFS($AU$3:AU410,$AQ$3:AQ410,"W")</f>
        <v>12022.400000000001</v>
      </c>
      <c r="BQ322" s="87">
        <f>SUMIFS($AU$3:AU323,$Q$3:Q323,"O")</f>
        <v>2089.3800000002011</v>
      </c>
      <c r="BR322" s="87">
        <f>SUMIFS($AU$3:AU323,$AA$3:AA323,"*")</f>
        <v>19806.600000000075</v>
      </c>
      <c r="BS322" s="87">
        <f>SUMIFS($AU$3:AU323,$AB$3:AB323,"*")</f>
        <v>6951.1799999999312</v>
      </c>
      <c r="BT322" s="87">
        <f>SUMIFS($AU$3:AU323,$AC$3:AC323,"*")</f>
        <v>12708.4</v>
      </c>
      <c r="BU322" s="87">
        <f>SUMIFS($AU$3:AU323,$AA$3:AA323,"*",$AB$3:AB323,"*")</f>
        <v>4415.9999999998217</v>
      </c>
      <c r="BV322" s="87">
        <f>SUMIFS($AU$3:AU323,$AA$3:AA323,"*",$AC$3:AC323,"*")</f>
        <v>12244.4</v>
      </c>
      <c r="BW322" s="87">
        <f>SUMIFS($AU$3:AU323,$AB$3:AB323,"*",$AC$3:AC323,"*")</f>
        <v>3279.9999999999982</v>
      </c>
      <c r="BX322" s="87">
        <f>SUMIFS($AV$3:AV323,$Q$3:Q323,"F")</f>
        <v>321.54786430960348</v>
      </c>
      <c r="BY322" s="87">
        <f>SUMIFS($AV$3:AV323,$Q$3:Q323,"S")</f>
        <v>322.34781249396258</v>
      </c>
      <c r="BZ322" s="87">
        <f>SUMIFS($AV$3:AV323,$Q$3:Q323,"O")</f>
        <v>571.53999999986559</v>
      </c>
    </row>
    <row r="323" spans="1:78" ht="15">
      <c r="A323" s="45" t="s">
        <v>1047</v>
      </c>
      <c r="B323" s="59">
        <v>45373</v>
      </c>
      <c r="C323" s="46" t="s">
        <v>1217</v>
      </c>
      <c r="D323" s="46" t="s">
        <v>115</v>
      </c>
      <c r="E323" s="66"/>
      <c r="F323" s="47"/>
      <c r="G323" s="104" t="s">
        <v>1218</v>
      </c>
      <c r="H323" s="49"/>
      <c r="I323" s="49"/>
      <c r="J323" s="49"/>
      <c r="K323" s="50"/>
      <c r="L323" s="49">
        <v>1</v>
      </c>
      <c r="M323" s="49"/>
      <c r="N323" s="49"/>
      <c r="O323" s="50" t="s">
        <v>363</v>
      </c>
      <c r="P323" s="50" t="s">
        <v>126</v>
      </c>
      <c r="Q323" s="50"/>
      <c r="R323" s="50">
        <v>1</v>
      </c>
      <c r="S323" s="50">
        <v>0</v>
      </c>
      <c r="T323" s="50">
        <v>1</v>
      </c>
      <c r="U323" s="50" t="s">
        <v>22</v>
      </c>
      <c r="V323" s="50"/>
      <c r="W323" s="50"/>
      <c r="X323" s="50"/>
      <c r="Y323" s="51">
        <f>IF(ISBLANK(O323),"",(IF(O323=UPPER("IB"),0.005,0.01)))</f>
        <v>0.01</v>
      </c>
      <c r="Z323" s="52">
        <f>IF(ISBLANK(O323),"",IF(O323="IB",8.63*200,IF(O323="IR",16*100,IF(O323="YT",20*100,IF(O323="YT-XT",24*200,IF(O323="TED",80*100))))))</f>
        <v>8000</v>
      </c>
      <c r="AA323" s="52" t="s">
        <v>1219</v>
      </c>
      <c r="AB323" s="52"/>
      <c r="AC323" s="52"/>
      <c r="AD323" s="231">
        <v>-0.01</v>
      </c>
      <c r="AE323" s="49"/>
      <c r="AF323" s="84"/>
      <c r="AG323" s="49"/>
      <c r="AH323" s="49"/>
      <c r="AI323" s="49"/>
      <c r="AJ323" s="226"/>
      <c r="AK323" s="49"/>
      <c r="AL323" s="113">
        <f t="shared" si="103"/>
        <v>-160</v>
      </c>
      <c r="AM323" s="113">
        <f t="shared" ref="AM323:AM330" si="111">AL323*(R323-S323)</f>
        <v>-160</v>
      </c>
      <c r="AN323" s="218"/>
      <c r="AO323" s="49"/>
      <c r="AP323" s="49" t="s">
        <v>297</v>
      </c>
      <c r="AQ323" s="84" t="s">
        <v>155</v>
      </c>
      <c r="AR323" s="49" t="s">
        <v>1220</v>
      </c>
      <c r="AS323" s="55">
        <v>0</v>
      </c>
      <c r="AT323" s="55">
        <f>IF(ISBLANK(AS323),,IF(U323="S",AD323-AS323,AS323-AD323))</f>
        <v>0.01</v>
      </c>
      <c r="AU323" s="54">
        <f>AV323*R323</f>
        <v>80</v>
      </c>
      <c r="AV323" s="56">
        <f t="shared" ref="AV323:AV324" si="112">IF(ISBLANK(AS323),,(AT323*Z323))</f>
        <v>80</v>
      </c>
      <c r="AW323" s="57" t="s">
        <v>101</v>
      </c>
      <c r="AX323" s="153" t="s">
        <v>1040</v>
      </c>
      <c r="AY323" s="153" t="s">
        <v>1221</v>
      </c>
      <c r="AZ323" s="153"/>
      <c r="BA323" s="153"/>
      <c r="BB323" s="153"/>
      <c r="BC323" s="153"/>
      <c r="BD323" s="151"/>
      <c r="BE323" s="152"/>
      <c r="BF323" s="151"/>
      <c r="BG323" s="94">
        <f>SUM($AV$4:AV323)</f>
        <v>1451.4356768034372</v>
      </c>
      <c r="BH323" s="95">
        <f>SUM($AU$4:AU323)</f>
        <v>22405.780000000188</v>
      </c>
      <c r="BI323" s="80">
        <f>SUMIFS($AU$3:AU324,$Q$3:Q324,"F")</f>
        <v>15828.400000000001</v>
      </c>
      <c r="BJ323" s="80">
        <f>SUMIFS($AU$3:AU324,$Q$3:Q324,"S")</f>
        <v>4607.9999999999927</v>
      </c>
      <c r="BK323" s="87">
        <f>SUMIFS($AU$3:AU324,$P$3:P324,"W")</f>
        <v>16125.580000000136</v>
      </c>
      <c r="BL323" s="87">
        <f>SUMIFS($AU$3:AU324,$P$3:P324,"R")</f>
        <v>5061.9999999999991</v>
      </c>
      <c r="BM323" s="87">
        <f>SUMIFS($AU$3:AU324,$AQ$3:AQ324,"M")</f>
        <v>5261.1799999997265</v>
      </c>
      <c r="BN323" s="87">
        <f>SUMIFS($AU$3:AU324,$AQ$3:AQ324,"H")</f>
        <v>3819.2000000004464</v>
      </c>
      <c r="BO323" s="87">
        <f>SUMIFS($AU$3:AU324,$AQ$3:AQ324,"D")</f>
        <v>4706.0000000000009</v>
      </c>
      <c r="BP323" s="87">
        <f>SUMIFS($AU$3:AU411,$AQ$3:AQ411,"W")</f>
        <v>12022.400000000001</v>
      </c>
      <c r="BQ323" s="87">
        <f>SUMIFS($AU$3:AU324,$Q$3:Q324,"O")</f>
        <v>1828.3800000001911</v>
      </c>
      <c r="BR323" s="87">
        <f>SUMIFS($AU$3:AU324,$AA$3:AA324,"*")</f>
        <v>19545.600000000064</v>
      </c>
      <c r="BS323" s="87">
        <f>SUMIFS($AU$3:AU324,$AB$3:AB324,"*")</f>
        <v>6951.1799999999312</v>
      </c>
      <c r="BT323" s="87">
        <f>SUMIFS($AU$3:AU324,$AC$3:AC324,"*")</f>
        <v>12708.4</v>
      </c>
      <c r="BU323" s="87">
        <f>SUMIFS($AU$3:AU324,$AA$3:AA324,"*",$AB$3:AB324,"*")</f>
        <v>4415.9999999998217</v>
      </c>
      <c r="BV323" s="87">
        <f>SUMIFS($AU$3:AU324,$AA$3:AA324,"*",$AC$3:AC324,"*")</f>
        <v>12244.4</v>
      </c>
      <c r="BW323" s="87">
        <f>SUMIFS($AU$3:AU324,$AB$3:AB324,"*",$AC$3:AC324,"*")</f>
        <v>3279.9999999999982</v>
      </c>
      <c r="BX323" s="87">
        <f>SUMIFS($AV$3:AV324,$Q$3:Q324,"F")</f>
        <v>321.54786430960348</v>
      </c>
      <c r="BY323" s="87">
        <f>SUMIFS($AV$3:AV324,$Q$3:Q324,"S")</f>
        <v>322.34781249396258</v>
      </c>
      <c r="BZ323" s="87">
        <f>SUMIFS($AV$3:AV324,$Q$3:Q324,"O")</f>
        <v>519.33999999986361</v>
      </c>
    </row>
    <row r="324" spans="1:78" ht="40.5">
      <c r="A324" s="45" t="s">
        <v>1047</v>
      </c>
      <c r="B324" s="59">
        <v>45373</v>
      </c>
      <c r="C324" s="46" t="s">
        <v>1217</v>
      </c>
      <c r="D324" s="46" t="s">
        <v>115</v>
      </c>
      <c r="E324" s="66"/>
      <c r="F324" s="47"/>
      <c r="G324" s="48" t="s">
        <v>1169</v>
      </c>
      <c r="H324" s="49"/>
      <c r="I324" s="49"/>
      <c r="J324" s="49"/>
      <c r="K324" s="50"/>
      <c r="L324" s="49">
        <v>2</v>
      </c>
      <c r="M324" s="49"/>
      <c r="N324" s="49"/>
      <c r="O324" s="50" t="s">
        <v>196</v>
      </c>
      <c r="P324" s="50" t="s">
        <v>197</v>
      </c>
      <c r="Q324" s="50" t="s">
        <v>198</v>
      </c>
      <c r="R324" s="50">
        <v>5</v>
      </c>
      <c r="S324" s="50">
        <v>0</v>
      </c>
      <c r="T324" s="50">
        <v>3</v>
      </c>
      <c r="U324" s="50" t="s">
        <v>102</v>
      </c>
      <c r="V324" s="50"/>
      <c r="W324" s="50"/>
      <c r="X324" s="50"/>
      <c r="Y324" s="51">
        <f>IF(ISBLANK(O324),"",(IF(O324=UPPER("IB"),0.005,0.01)))</f>
        <v>0.01</v>
      </c>
      <c r="Z324" s="52">
        <f>IF(ISBLANK(O324),"",IF(O324="IB",8.63*200,IF(O324="IR",16*100,IF(O324="YT",20*100,IF(O324="YT-XT",24*200,IF(O324="TED",80*100,IF(O324="XT",29*200)))))))</f>
        <v>5800</v>
      </c>
      <c r="AA324" s="52" t="s">
        <v>1222</v>
      </c>
      <c r="AB324" s="52"/>
      <c r="AC324" s="52"/>
      <c r="AD324" s="231">
        <v>95.941000000000003</v>
      </c>
      <c r="AE324" s="49"/>
      <c r="AF324" s="84"/>
      <c r="AG324" s="49"/>
      <c r="AH324" s="49"/>
      <c r="AI324" s="49"/>
      <c r="AJ324" s="226"/>
      <c r="AK324" s="49"/>
      <c r="AL324" s="113">
        <f t="shared" si="103"/>
        <v>-116</v>
      </c>
      <c r="AM324" s="113">
        <f t="shared" si="111"/>
        <v>-580</v>
      </c>
      <c r="AN324" s="218"/>
      <c r="AO324" s="49"/>
      <c r="AP324" s="49" t="s">
        <v>1223</v>
      </c>
      <c r="AQ324" s="84" t="s">
        <v>350</v>
      </c>
      <c r="AR324" s="49" t="s">
        <v>450</v>
      </c>
      <c r="AS324" s="55">
        <v>95.95</v>
      </c>
      <c r="AT324" s="55">
        <f>IF(ISBLANK(AS324),,IF(U324="S",AD324-AS324,AS324-AD324))</f>
        <v>-9.0000000000003411E-3</v>
      </c>
      <c r="AU324" s="54">
        <f>AV324*R324</f>
        <v>-261.00000000000989</v>
      </c>
      <c r="AV324" s="56">
        <f t="shared" si="112"/>
        <v>-52.200000000001978</v>
      </c>
      <c r="AW324" s="57" t="s">
        <v>121</v>
      </c>
      <c r="AX324" s="153" t="s">
        <v>1224</v>
      </c>
      <c r="AY324" s="153" t="s">
        <v>1225</v>
      </c>
      <c r="AZ324" s="153" t="s">
        <v>1226</v>
      </c>
      <c r="BA324" s="153" t="s">
        <v>1227</v>
      </c>
      <c r="BB324" s="153" t="s">
        <v>1228</v>
      </c>
      <c r="BC324" s="153"/>
      <c r="BD324" s="151" t="s">
        <v>1229</v>
      </c>
      <c r="BE324" s="152"/>
      <c r="BF324" s="151"/>
      <c r="BG324" s="94">
        <f>SUM($AV$4:AV324)</f>
        <v>1399.2356768034351</v>
      </c>
      <c r="BH324" s="95">
        <f>SUM($AU$4:AU324)</f>
        <v>22144.780000000177</v>
      </c>
      <c r="BI324" s="80">
        <f>SUMIFS($AU$3:AU325,$Q$3:Q325,"F")</f>
        <v>15828.400000000001</v>
      </c>
      <c r="BJ324" s="80">
        <f>SUMIFS($AU$3:AU325,$Q$3:Q325,"S")</f>
        <v>4607.9999999999927</v>
      </c>
      <c r="BK324" s="87">
        <f>SUMIFS($AU$3:AU325,$P$3:P325,"W")</f>
        <v>16125.580000000136</v>
      </c>
      <c r="BL324" s="87">
        <f>SUMIFS($AU$3:AU325,$P$3:P325,"R")</f>
        <v>5061.9999999999991</v>
      </c>
      <c r="BM324" s="87">
        <f>SUMIFS($AU$3:AU325,$AQ$3:AQ325,"M")</f>
        <v>5261.1799999997265</v>
      </c>
      <c r="BN324" s="87">
        <f>SUMIFS($AU$3:AU325,$AQ$3:AQ325,"H")</f>
        <v>3819.2000000004464</v>
      </c>
      <c r="BO324" s="87">
        <f>SUMIFS($AU$3:AU325,$AQ$3:AQ325,"D")</f>
        <v>4706.0000000000009</v>
      </c>
      <c r="BP324" s="87">
        <f>SUMIFS($AU$3:AU412,$AQ$3:AQ412,"W")</f>
        <v>12022.400000000001</v>
      </c>
      <c r="BQ324" s="87">
        <f>SUMIFS($AU$3:AU325,$Q$3:Q325,"O")</f>
        <v>1828.3800000001911</v>
      </c>
      <c r="BR324" s="87">
        <f>SUMIFS($AU$3:AU325,$AA$3:AA325,"*")</f>
        <v>19545.600000000064</v>
      </c>
      <c r="BS324" s="87">
        <f>SUMIFS($AU$3:AU325,$AB$3:AB325,"*")</f>
        <v>6951.1799999999312</v>
      </c>
      <c r="BT324" s="87">
        <f>SUMIFS($AU$3:AU325,$AC$3:AC325,"*")</f>
        <v>12708.4</v>
      </c>
      <c r="BU324" s="87">
        <f>SUMIFS($AU$3:AU325,$AA$3:AA325,"*",$AB$3:AB325,"*")</f>
        <v>4415.9999999998217</v>
      </c>
      <c r="BV324" s="87">
        <f>SUMIFS($AU$3:AU325,$AA$3:AA325,"*",$AC$3:AC325,"*")</f>
        <v>12244.4</v>
      </c>
      <c r="BW324" s="87">
        <f>SUMIFS($AU$3:AU325,$AB$3:AB325,"*",$AC$3:AC325,"*")</f>
        <v>3279.9999999999982</v>
      </c>
      <c r="BX324" s="87">
        <f>SUMIFS($AV$3:AV325,$Q$3:Q325,"F")</f>
        <v>321.54786430960348</v>
      </c>
      <c r="BY324" s="87">
        <f>SUMIFS($AV$3:AV325,$Q$3:Q325,"S")</f>
        <v>322.34781249396258</v>
      </c>
      <c r="BZ324" s="87">
        <f>SUMIFS($AV$3:AV325,$Q$3:Q325,"O")</f>
        <v>519.33999999986361</v>
      </c>
    </row>
    <row r="325" spans="1:78" ht="53.25">
      <c r="A325" s="45" t="s">
        <v>1047</v>
      </c>
      <c r="B325" s="59"/>
      <c r="C325" s="46"/>
      <c r="D325" s="46"/>
      <c r="E325" s="66"/>
      <c r="F325" s="47"/>
      <c r="G325" s="48"/>
      <c r="H325" s="49"/>
      <c r="I325" s="49"/>
      <c r="J325" s="49"/>
      <c r="K325" s="50"/>
      <c r="L325" s="49"/>
      <c r="M325" s="49"/>
      <c r="N325" s="49"/>
      <c r="O325" s="50"/>
      <c r="P325" s="50"/>
      <c r="Q325" s="50"/>
      <c r="R325" s="50"/>
      <c r="S325" s="50"/>
      <c r="T325" s="50"/>
      <c r="U325" s="50"/>
      <c r="V325" s="50"/>
      <c r="W325" s="50"/>
      <c r="X325" s="50"/>
      <c r="Y325" s="50"/>
      <c r="Z325" s="50"/>
      <c r="AA325" s="52"/>
      <c r="AB325" s="52"/>
      <c r="AC325" s="52"/>
      <c r="AD325" s="231"/>
      <c r="AE325" s="49"/>
      <c r="AF325" s="84"/>
      <c r="AG325" s="49"/>
      <c r="AH325" s="49"/>
      <c r="AI325" s="49"/>
      <c r="AJ325" s="226"/>
      <c r="AK325" s="49"/>
      <c r="AL325" s="113">
        <f t="shared" ref="AL325:AL328" si="113">-0.02*Z325</f>
        <v>0</v>
      </c>
      <c r="AM325" s="113">
        <f t="shared" si="111"/>
        <v>0</v>
      </c>
      <c r="AN325" s="218"/>
      <c r="AO325" s="49"/>
      <c r="AP325" s="49"/>
      <c r="AQ325" s="84" t="str">
        <f>UPPER(RIGHT(Journal_Live[[#This Row],[DURATION ]]))</f>
        <v/>
      </c>
      <c r="AR325" s="49"/>
      <c r="AS325" s="55"/>
      <c r="AT325" s="55"/>
      <c r="AU325" s="54"/>
      <c r="AV325" s="56"/>
      <c r="AW325" s="57"/>
      <c r="AX325" s="99" t="s">
        <v>992</v>
      </c>
      <c r="AY325" s="151" t="s">
        <v>1230</v>
      </c>
      <c r="AZ325" s="151" t="s">
        <v>1231</v>
      </c>
      <c r="BA325" s="151" t="s">
        <v>1232</v>
      </c>
      <c r="BB325" s="153"/>
      <c r="BC325" s="153"/>
      <c r="BD325" s="151"/>
      <c r="BE325" s="152"/>
      <c r="BF325" s="151"/>
      <c r="BG325" s="94">
        <f>SUM($AV$4:AV325)</f>
        <v>1399.2356768034351</v>
      </c>
      <c r="BH325" s="95">
        <f>SUM($AU$4:AU325)</f>
        <v>22144.780000000177</v>
      </c>
      <c r="BI325" s="80">
        <f>SUMIFS($AU$3:AU326,$Q$3:Q326,"F")</f>
        <v>15828.400000000001</v>
      </c>
      <c r="BJ325" s="80">
        <f>SUMIFS($AU$3:AU326,$Q$3:Q326,"S")</f>
        <v>4607.9999999999927</v>
      </c>
      <c r="BK325" s="87">
        <f>SUMIFS($AU$3:AU326,$P$3:P326,"W")</f>
        <v>16125.580000000136</v>
      </c>
      <c r="BL325" s="87">
        <f>SUMIFS($AU$3:AU326,$P$3:P326,"R")</f>
        <v>5061.9999999999991</v>
      </c>
      <c r="BM325" s="87">
        <f>SUMIFS($AU$3:AU326,$AQ$3:AQ326,"M")</f>
        <v>5261.1799999997265</v>
      </c>
      <c r="BN325" s="87">
        <f>SUMIFS($AU$3:AU326,$AQ$3:AQ326,"H")</f>
        <v>3819.2000000004464</v>
      </c>
      <c r="BO325" s="87">
        <f>SUMIFS($AU$3:AU326,$AQ$3:AQ326,"D")</f>
        <v>4706.0000000000009</v>
      </c>
      <c r="BP325" s="87">
        <f>SUMIFS($AU$3:AU413,$AQ$3:AQ413,"W")</f>
        <v>12022.400000000001</v>
      </c>
      <c r="BQ325" s="87">
        <f>SUMIFS($AU$3:AU326,$Q$3:Q326,"O")</f>
        <v>1828.3800000001911</v>
      </c>
      <c r="BR325" s="87">
        <f>SUMIFS($AU$3:AU326,$AA$3:AA326,"*")</f>
        <v>19545.600000000064</v>
      </c>
      <c r="BS325" s="87">
        <f>SUMIFS($AU$3:AU326,$AB$3:AB326,"*")</f>
        <v>6951.1799999999312</v>
      </c>
      <c r="BT325" s="87">
        <f>SUMIFS($AU$3:AU326,$AC$3:AC326,"*")</f>
        <v>12708.4</v>
      </c>
      <c r="BU325" s="87">
        <f>SUMIFS($AU$3:AU326,$AA$3:AA326,"*",$AB$3:AB326,"*")</f>
        <v>4415.9999999998217</v>
      </c>
      <c r="BV325" s="87">
        <f>SUMIFS($AU$3:AU326,$AA$3:AA326,"*",$AC$3:AC326,"*")</f>
        <v>12244.4</v>
      </c>
      <c r="BW325" s="87">
        <f>SUMIFS($AU$3:AU326,$AB$3:AB326,"*",$AC$3:AC326,"*")</f>
        <v>3279.9999999999982</v>
      </c>
      <c r="BX325" s="87">
        <f>SUMIFS($AV$3:AV326,$Q$3:Q326,"F")</f>
        <v>321.54786430960348</v>
      </c>
      <c r="BY325" s="87">
        <f>SUMIFS($AV$3:AV326,$Q$3:Q326,"S")</f>
        <v>322.34781249396258</v>
      </c>
      <c r="BZ325" s="87">
        <f>SUMIFS($AV$3:AV326,$Q$3:Q326,"O")</f>
        <v>519.33999999986361</v>
      </c>
    </row>
    <row r="326" spans="1:78" ht="53.25">
      <c r="A326" s="45" t="s">
        <v>1047</v>
      </c>
      <c r="B326" s="59"/>
      <c r="C326" s="46"/>
      <c r="D326" s="46"/>
      <c r="E326" s="66"/>
      <c r="F326" s="47"/>
      <c r="G326" s="48"/>
      <c r="H326" s="49"/>
      <c r="I326" s="49"/>
      <c r="J326" s="49"/>
      <c r="K326" s="50"/>
      <c r="L326" s="49"/>
      <c r="M326" s="49"/>
      <c r="N326" s="49"/>
      <c r="O326" s="50"/>
      <c r="P326" s="50"/>
      <c r="Q326" s="50"/>
      <c r="R326" s="50"/>
      <c r="S326" s="50"/>
      <c r="T326" s="50"/>
      <c r="U326" s="50"/>
      <c r="V326" s="50"/>
      <c r="W326" s="50"/>
      <c r="X326" s="50"/>
      <c r="Y326" s="50"/>
      <c r="Z326" s="50"/>
      <c r="AA326" s="52"/>
      <c r="AB326" s="52"/>
      <c r="AC326" s="52"/>
      <c r="AD326" s="231"/>
      <c r="AE326" s="49"/>
      <c r="AF326" s="84"/>
      <c r="AG326" s="49"/>
      <c r="AH326" s="49"/>
      <c r="AI326" s="49"/>
      <c r="AJ326" s="226"/>
      <c r="AK326" s="49"/>
      <c r="AL326" s="113">
        <f t="shared" si="113"/>
        <v>0</v>
      </c>
      <c r="AM326" s="113">
        <f t="shared" si="111"/>
        <v>0</v>
      </c>
      <c r="AN326" s="218"/>
      <c r="AO326" s="49"/>
      <c r="AP326" s="49"/>
      <c r="AQ326" s="84" t="str">
        <f>UPPER(RIGHT(Journal_Live[[#This Row],[DURATION ]]))</f>
        <v/>
      </c>
      <c r="AR326" s="49"/>
      <c r="AS326" s="55"/>
      <c r="AT326" s="55"/>
      <c r="AU326" s="54"/>
      <c r="AV326" s="56"/>
      <c r="AW326" s="57"/>
      <c r="AX326" s="99" t="s">
        <v>1059</v>
      </c>
      <c r="AY326" s="153" t="s">
        <v>1233</v>
      </c>
      <c r="AZ326" s="153"/>
      <c r="BA326" s="153"/>
      <c r="BB326" s="153"/>
      <c r="BC326" s="153"/>
      <c r="BD326" s="151"/>
      <c r="BE326" s="152"/>
      <c r="BF326" s="151"/>
      <c r="BG326" s="94">
        <f>SUM($AV$4:AV326)</f>
        <v>1399.2356768034351</v>
      </c>
      <c r="BH326" s="95">
        <f>SUM($AU$4:AU326)</f>
        <v>22144.780000000177</v>
      </c>
      <c r="BI326" s="80">
        <f>SUMIFS($AU$3:AU327,$Q$3:Q327,"F")</f>
        <v>15828.400000000001</v>
      </c>
      <c r="BJ326" s="80">
        <f>SUMIFS($AU$3:AU327,$Q$3:Q327,"S")</f>
        <v>4607.9999999999927</v>
      </c>
      <c r="BK326" s="87">
        <f>SUMIFS($AU$3:AU327,$P$3:P327,"W")</f>
        <v>16125.580000000136</v>
      </c>
      <c r="BL326" s="87">
        <f>SUMIFS($AU$3:AU327,$P$3:P327,"R")</f>
        <v>5061.9999999999991</v>
      </c>
      <c r="BM326" s="87">
        <f>SUMIFS($AU$3:AU327,$AQ$3:AQ327,"M")</f>
        <v>5261.1799999997265</v>
      </c>
      <c r="BN326" s="87">
        <f>SUMIFS($AU$3:AU327,$AQ$3:AQ327,"H")</f>
        <v>3819.2000000004464</v>
      </c>
      <c r="BO326" s="87">
        <f>SUMIFS($AU$3:AU327,$AQ$3:AQ327,"D")</f>
        <v>4706.0000000000009</v>
      </c>
      <c r="BP326" s="87">
        <f>SUMIFS($AU$3:AU414,$AQ$3:AQ414,"W")</f>
        <v>12022.400000000001</v>
      </c>
      <c r="BQ326" s="87">
        <f>SUMIFS($AU$3:AU327,$Q$3:Q327,"O")</f>
        <v>1828.3800000001911</v>
      </c>
      <c r="BR326" s="87">
        <f>SUMIFS($AU$3:AU327,$AA$3:AA327,"*")</f>
        <v>19545.600000000064</v>
      </c>
      <c r="BS326" s="87">
        <f>SUMIFS($AU$3:AU327,$AB$3:AB327,"*")</f>
        <v>6951.1799999999312</v>
      </c>
      <c r="BT326" s="87">
        <f>SUMIFS($AU$3:AU327,$AC$3:AC327,"*")</f>
        <v>12708.4</v>
      </c>
      <c r="BU326" s="87">
        <f>SUMIFS($AU$3:AU327,$AA$3:AA327,"*",$AB$3:AB327,"*")</f>
        <v>4415.9999999998217</v>
      </c>
      <c r="BV326" s="87">
        <f>SUMIFS($AU$3:AU327,$AA$3:AA327,"*",$AC$3:AC327,"*")</f>
        <v>12244.4</v>
      </c>
      <c r="BW326" s="87">
        <f>SUMIFS($AU$3:AU327,$AB$3:AB327,"*",$AC$3:AC327,"*")</f>
        <v>3279.9999999999982</v>
      </c>
      <c r="BX326" s="87">
        <f>SUMIFS($AV$3:AV327,$Q$3:Q327,"F")</f>
        <v>321.54786430960348</v>
      </c>
      <c r="BY326" s="87">
        <f>SUMIFS($AV$3:AV327,$Q$3:Q327,"S")</f>
        <v>322.34781249396258</v>
      </c>
      <c r="BZ326" s="87">
        <f>SUMIFS($AV$3:AV327,$Q$3:Q327,"O")</f>
        <v>519.33999999986361</v>
      </c>
    </row>
    <row r="327" spans="1:78" ht="40.5">
      <c r="A327" s="45" t="s">
        <v>1047</v>
      </c>
      <c r="B327" s="59">
        <v>45373</v>
      </c>
      <c r="C327" s="46" t="s">
        <v>1234</v>
      </c>
      <c r="D327" s="46" t="s">
        <v>115</v>
      </c>
      <c r="E327" s="66"/>
      <c r="F327" s="47"/>
      <c r="G327" s="48" t="s">
        <v>804</v>
      </c>
      <c r="H327" s="49"/>
      <c r="I327" s="49"/>
      <c r="J327" s="49"/>
      <c r="K327" s="50"/>
      <c r="L327" s="49"/>
      <c r="M327" s="49"/>
      <c r="N327" s="49"/>
      <c r="O327" s="50"/>
      <c r="P327" s="50"/>
      <c r="Q327" s="50"/>
      <c r="R327" s="50"/>
      <c r="S327" s="50"/>
      <c r="T327" s="50"/>
      <c r="U327" s="50"/>
      <c r="V327" s="50"/>
      <c r="W327" s="50"/>
      <c r="X327" s="50"/>
      <c r="Y327" s="51"/>
      <c r="Z327" s="52"/>
      <c r="AA327" s="52"/>
      <c r="AB327" s="52"/>
      <c r="AC327" s="52"/>
      <c r="AD327" s="231"/>
      <c r="AE327" s="49"/>
      <c r="AF327" s="84"/>
      <c r="AG327" s="49"/>
      <c r="AH327" s="49"/>
      <c r="AI327" s="49"/>
      <c r="AJ327" s="228" t="s">
        <v>1235</v>
      </c>
      <c r="AK327" s="49"/>
      <c r="AL327" s="113">
        <f>-0.025*Z327</f>
        <v>0</v>
      </c>
      <c r="AM327" s="113">
        <f t="shared" si="111"/>
        <v>0</v>
      </c>
      <c r="AN327" s="218"/>
      <c r="AO327" s="49"/>
      <c r="AP327" s="49"/>
      <c r="AQ327" s="84" t="str">
        <f>UPPER(RIGHT(Journal_Live[[#This Row],[DURATION ]]))</f>
        <v/>
      </c>
      <c r="AR327" s="49"/>
      <c r="AS327" s="55"/>
      <c r="AT327" s="55"/>
      <c r="AU327" s="54"/>
      <c r="AV327" s="56"/>
      <c r="AW327" s="57"/>
      <c r="AX327" s="153"/>
      <c r="AY327" s="153"/>
      <c r="AZ327" s="153"/>
      <c r="BA327" s="153"/>
      <c r="BB327" s="153"/>
      <c r="BC327" s="153"/>
      <c r="BD327" s="151"/>
      <c r="BE327" s="152"/>
      <c r="BF327" s="151"/>
      <c r="BG327" s="94">
        <f>SUM($AV$4:AV327)</f>
        <v>1399.2356768034351</v>
      </c>
      <c r="BH327" s="95">
        <f>SUM($AU$4:AU327)</f>
        <v>22144.780000000177</v>
      </c>
      <c r="BI327" s="80">
        <f>SUMIFS($AU$3:AU328,$Q$3:Q328,"F")</f>
        <v>15828.400000000001</v>
      </c>
      <c r="BJ327" s="80">
        <f>SUMIFS($AU$3:AU328,$Q$3:Q328,"S")</f>
        <v>4607.9999999999927</v>
      </c>
      <c r="BK327" s="87">
        <f>SUMIFS($AU$3:AU328,$P$3:P328,"W")</f>
        <v>16125.580000000136</v>
      </c>
      <c r="BL327" s="87">
        <f>SUMIFS($AU$3:AU328,$P$3:P328,"R")</f>
        <v>5061.9999999999991</v>
      </c>
      <c r="BM327" s="87">
        <f>SUMIFS($AU$3:AU328,$AQ$3:AQ328,"M")</f>
        <v>5261.1799999997265</v>
      </c>
      <c r="BN327" s="87">
        <f>SUMIFS($AU$3:AU328,$AQ$3:AQ328,"H")</f>
        <v>3819.2000000004464</v>
      </c>
      <c r="BO327" s="87">
        <f>SUMIFS($AU$3:AU328,$AQ$3:AQ328,"D")</f>
        <v>4706.0000000000009</v>
      </c>
      <c r="BP327" s="87">
        <f>SUMIFS($AU$3:AU415,$AQ$3:AQ415,"W")</f>
        <v>12022.400000000001</v>
      </c>
      <c r="BQ327" s="87">
        <f>SUMIFS($AU$3:AU328,$Q$3:Q328,"O")</f>
        <v>1828.3800000001911</v>
      </c>
      <c r="BR327" s="87">
        <f>SUMIFS($AU$3:AU328,$AA$3:AA328,"*")</f>
        <v>19545.600000000064</v>
      </c>
      <c r="BS327" s="87">
        <f>SUMIFS($AU$3:AU328,$AB$3:AB328,"*")</f>
        <v>6951.1799999999312</v>
      </c>
      <c r="BT327" s="87">
        <f>SUMIFS($AU$3:AU328,$AC$3:AC328,"*")</f>
        <v>12708.4</v>
      </c>
      <c r="BU327" s="87">
        <f>SUMIFS($AU$3:AU328,$AA$3:AA328,"*",$AB$3:AB328,"*")</f>
        <v>4415.9999999998217</v>
      </c>
      <c r="BV327" s="87">
        <f>SUMIFS($AU$3:AU328,$AA$3:AA328,"*",$AC$3:AC328,"*")</f>
        <v>12244.4</v>
      </c>
      <c r="BW327" s="87">
        <f>SUMIFS($AU$3:AU328,$AB$3:AB328,"*",$AC$3:AC328,"*")</f>
        <v>3279.9999999999982</v>
      </c>
      <c r="BX327" s="87">
        <f>SUMIFS($AV$3:AV328,$Q$3:Q328,"F")</f>
        <v>321.54786430960348</v>
      </c>
      <c r="BY327" s="87">
        <f>SUMIFS($AV$3:AV328,$Q$3:Q328,"S")</f>
        <v>322.34781249396258</v>
      </c>
      <c r="BZ327" s="87">
        <f>SUMIFS($AV$3:AV328,$Q$3:Q328,"O")</f>
        <v>519.33999999986361</v>
      </c>
    </row>
    <row r="328" spans="1:78" ht="12.75">
      <c r="A328" s="45" t="s">
        <v>1047</v>
      </c>
      <c r="B328" s="59">
        <v>45373</v>
      </c>
      <c r="C328" s="46" t="s">
        <v>1236</v>
      </c>
      <c r="D328" s="46" t="s">
        <v>115</v>
      </c>
      <c r="E328" s="66"/>
      <c r="F328" s="47"/>
      <c r="G328" s="48" t="s">
        <v>111</v>
      </c>
      <c r="H328" s="49"/>
      <c r="I328" s="49"/>
      <c r="J328" s="49"/>
      <c r="K328" s="50"/>
      <c r="L328" s="49"/>
      <c r="M328" s="49"/>
      <c r="N328" s="49"/>
      <c r="O328" s="50"/>
      <c r="P328" s="50"/>
      <c r="Q328" s="50"/>
      <c r="R328" s="50"/>
      <c r="S328" s="50"/>
      <c r="T328" s="50"/>
      <c r="U328" s="50"/>
      <c r="V328" s="50"/>
      <c r="W328" s="50"/>
      <c r="X328" s="50"/>
      <c r="Y328" s="50"/>
      <c r="Z328" s="50"/>
      <c r="AA328" s="52"/>
      <c r="AB328" s="52"/>
      <c r="AC328" s="52"/>
      <c r="AD328" s="231"/>
      <c r="AE328" s="49"/>
      <c r="AF328" s="84"/>
      <c r="AG328" s="49"/>
      <c r="AH328" s="49"/>
      <c r="AI328" s="49"/>
      <c r="AJ328" s="226"/>
      <c r="AK328" s="49"/>
      <c r="AL328" s="113">
        <f t="shared" si="113"/>
        <v>0</v>
      </c>
      <c r="AM328" s="113">
        <f t="shared" si="111"/>
        <v>0</v>
      </c>
      <c r="AN328" s="218"/>
      <c r="AO328" s="49"/>
      <c r="AP328" s="49"/>
      <c r="AQ328" s="84" t="str">
        <f>UPPER(RIGHT(Journal_Live[[#This Row],[DURATION ]]))</f>
        <v/>
      </c>
      <c r="AR328" s="49"/>
      <c r="AS328" s="55"/>
      <c r="AT328" s="55"/>
      <c r="AU328" s="54"/>
      <c r="AV328" s="56"/>
      <c r="AW328" s="57"/>
      <c r="AX328" s="153"/>
      <c r="AY328" s="153"/>
      <c r="AZ328" s="153"/>
      <c r="BA328" s="153"/>
      <c r="BB328" s="153"/>
      <c r="BC328" s="153"/>
      <c r="BD328" s="151"/>
      <c r="BE328" s="152"/>
      <c r="BF328" s="151"/>
      <c r="BG328" s="94">
        <f>SUM($AV$4:AV328)</f>
        <v>1399.2356768034351</v>
      </c>
      <c r="BH328" s="95">
        <f>SUM($AU$4:AU328)</f>
        <v>22144.780000000177</v>
      </c>
      <c r="BI328" s="80">
        <f>SUMIFS($AU$3:AU329,$Q$3:Q329,"F")</f>
        <v>15828.400000000001</v>
      </c>
      <c r="BJ328" s="80">
        <f>SUMIFS($AU$3:AU329,$Q$3:Q329,"S")</f>
        <v>4607.9999999999927</v>
      </c>
      <c r="BK328" s="87">
        <f>SUMIFS($AU$3:AU329,$P$3:P329,"W")</f>
        <v>16125.580000000136</v>
      </c>
      <c r="BL328" s="87">
        <f>SUMIFS($AU$3:AU329,$P$3:P329,"R")</f>
        <v>5061.9999999999991</v>
      </c>
      <c r="BM328" s="87">
        <f>SUMIFS($AU$3:AU329,$AQ$3:AQ329,"M")</f>
        <v>5261.1799999997265</v>
      </c>
      <c r="BN328" s="87">
        <f>SUMIFS($AU$3:AU329,$AQ$3:AQ329,"H")</f>
        <v>3819.2000000004464</v>
      </c>
      <c r="BO328" s="87">
        <f>SUMIFS($AU$3:AU329,$AQ$3:AQ329,"D")</f>
        <v>4706.0000000000009</v>
      </c>
      <c r="BP328" s="87">
        <f>SUMIFS($AU$3:AU416,$AQ$3:AQ416,"W")</f>
        <v>12022.400000000001</v>
      </c>
      <c r="BQ328" s="87">
        <f>SUMIFS($AU$3:AU329,$Q$3:Q329,"O")</f>
        <v>1828.3800000001911</v>
      </c>
      <c r="BR328" s="87">
        <f>SUMIFS($AU$3:AU329,$AA$3:AA329,"*")</f>
        <v>19545.600000000064</v>
      </c>
      <c r="BS328" s="87">
        <f>SUMIFS($AU$3:AU329,$AB$3:AB329,"*")</f>
        <v>6951.1799999999312</v>
      </c>
      <c r="BT328" s="87">
        <f>SUMIFS($AU$3:AU329,$AC$3:AC329,"*")</f>
        <v>12708.4</v>
      </c>
      <c r="BU328" s="87">
        <f>SUMIFS($AU$3:AU329,$AA$3:AA329,"*",$AB$3:AB329,"*")</f>
        <v>4415.9999999998217</v>
      </c>
      <c r="BV328" s="87">
        <f>SUMIFS($AU$3:AU329,$AA$3:AA329,"*",$AC$3:AC329,"*")</f>
        <v>12244.4</v>
      </c>
      <c r="BW328" s="87">
        <f>SUMIFS($AU$3:AU329,$AB$3:AB329,"*",$AC$3:AC329,"*")</f>
        <v>3279.9999999999982</v>
      </c>
      <c r="BX328" s="87">
        <f>SUMIFS($AV$3:AV329,$Q$3:Q329,"F")</f>
        <v>321.54786430960348</v>
      </c>
      <c r="BY328" s="87">
        <f>SUMIFS($AV$3:AV329,$Q$3:Q329,"S")</f>
        <v>322.34781249396258</v>
      </c>
      <c r="BZ328" s="87">
        <f>SUMIFS($AV$3:AV329,$Q$3:Q329,"O")</f>
        <v>519.33999999986361</v>
      </c>
    </row>
    <row r="329" spans="1:78" ht="27">
      <c r="A329" s="45" t="s">
        <v>1047</v>
      </c>
      <c r="B329" s="59">
        <v>45373</v>
      </c>
      <c r="C329" s="46" t="s">
        <v>254</v>
      </c>
      <c r="D329" s="46" t="s">
        <v>115</v>
      </c>
      <c r="E329" s="66"/>
      <c r="F329" s="47"/>
      <c r="G329" s="48" t="s">
        <v>116</v>
      </c>
      <c r="H329" s="49"/>
      <c r="I329" s="49"/>
      <c r="J329" s="49"/>
      <c r="K329" s="50"/>
      <c r="L329" s="49"/>
      <c r="M329" s="49"/>
      <c r="N329" s="49"/>
      <c r="O329" s="50"/>
      <c r="P329" s="50"/>
      <c r="Q329" s="50"/>
      <c r="R329" s="50"/>
      <c r="S329" s="50"/>
      <c r="T329" s="50"/>
      <c r="U329" s="50"/>
      <c r="V329" s="50"/>
      <c r="W329" s="50"/>
      <c r="X329" s="50"/>
      <c r="Y329" s="51"/>
      <c r="Z329" s="52"/>
      <c r="AA329" s="52"/>
      <c r="AB329" s="52"/>
      <c r="AC329" s="52"/>
      <c r="AD329" s="231"/>
      <c r="AE329" s="49"/>
      <c r="AF329" s="84"/>
      <c r="AG329" s="49"/>
      <c r="AH329" s="49"/>
      <c r="AI329" s="49" t="s">
        <v>1237</v>
      </c>
      <c r="AJ329" s="226"/>
      <c r="AK329" s="49"/>
      <c r="AL329" s="113">
        <f>-0.03*Z329</f>
        <v>0</v>
      </c>
      <c r="AM329" s="113">
        <f t="shared" si="111"/>
        <v>0</v>
      </c>
      <c r="AN329" s="218"/>
      <c r="AO329" s="49"/>
      <c r="AP329" s="49"/>
      <c r="AQ329" s="84" t="str">
        <f>UPPER(RIGHT(Journal_Live[[#This Row],[DURATION ]]))</f>
        <v/>
      </c>
      <c r="AR329" s="49"/>
      <c r="AS329" s="55"/>
      <c r="AT329" s="55">
        <f>IF(ISBLANK(AS329),,IF(U329="S",AD329-AS329,AS329-AD329))</f>
        <v>0</v>
      </c>
      <c r="AU329" s="54">
        <f>AV329*R329</f>
        <v>0</v>
      </c>
      <c r="AV329" s="56">
        <f t="shared" ref="AV329:AV336" si="114">IF(ISBLANK(AS329),,(AT329*Z329))</f>
        <v>0</v>
      </c>
      <c r="AW329" s="57"/>
      <c r="AX329" s="153" t="s">
        <v>1238</v>
      </c>
      <c r="AY329" s="153" t="s">
        <v>1239</v>
      </c>
      <c r="AZ329" s="153" t="s">
        <v>1240</v>
      </c>
      <c r="BA329" s="153"/>
      <c r="BB329" s="153"/>
      <c r="BC329" s="153"/>
      <c r="BD329" s="151"/>
      <c r="BE329" s="152"/>
      <c r="BF329" s="151"/>
      <c r="BG329" s="94">
        <f>SUM($AV$4:AV329)</f>
        <v>1399.2356768034351</v>
      </c>
      <c r="BH329" s="95">
        <f>SUM($AU$4:AU329)</f>
        <v>22144.780000000177</v>
      </c>
      <c r="BI329" s="80">
        <f>SUMIFS($AU$3:AU330,$Q$3:Q330,"F")</f>
        <v>15828.400000000001</v>
      </c>
      <c r="BJ329" s="80">
        <f>SUMIFS($AU$3:AU330,$Q$3:Q330,"S")</f>
        <v>4607.9999999999927</v>
      </c>
      <c r="BK329" s="87">
        <f>SUMIFS($AU$3:AU330,$P$3:P330,"W")</f>
        <v>16125.580000000136</v>
      </c>
      <c r="BL329" s="87">
        <f>SUMIFS($AU$3:AU330,$P$3:P330,"R")</f>
        <v>5061.9999999999991</v>
      </c>
      <c r="BM329" s="87">
        <f>SUMIFS($AU$3:AU330,$AQ$3:AQ330,"M")</f>
        <v>5261.1799999997265</v>
      </c>
      <c r="BN329" s="87">
        <f>SUMIFS($AU$3:AU330,$AQ$3:AQ330,"H")</f>
        <v>3819.2000000004464</v>
      </c>
      <c r="BO329" s="87">
        <f>SUMIFS($AU$3:AU330,$AQ$3:AQ330,"D")</f>
        <v>4706.0000000000009</v>
      </c>
      <c r="BP329" s="87">
        <f>SUMIFS($AU$3:AU417,$AQ$3:AQ417,"W")</f>
        <v>12022.400000000001</v>
      </c>
      <c r="BQ329" s="87">
        <f>SUMIFS($AU$3:AU330,$Q$3:Q330,"O")</f>
        <v>1828.3800000001911</v>
      </c>
      <c r="BR329" s="87">
        <f>SUMIFS($AU$3:AU330,$AA$3:AA330,"*")</f>
        <v>19545.600000000064</v>
      </c>
      <c r="BS329" s="87">
        <f>SUMIFS($AU$3:AU330,$AB$3:AB330,"*")</f>
        <v>6951.1799999999312</v>
      </c>
      <c r="BT329" s="87">
        <f>SUMIFS($AU$3:AU330,$AC$3:AC330,"*")</f>
        <v>12708.4</v>
      </c>
      <c r="BU329" s="87">
        <f>SUMIFS($AU$3:AU330,$AA$3:AA330,"*",$AB$3:AB330,"*")</f>
        <v>4415.9999999998217</v>
      </c>
      <c r="BV329" s="87">
        <f>SUMIFS($AU$3:AU330,$AA$3:AA330,"*",$AC$3:AC330,"*")</f>
        <v>12244.4</v>
      </c>
      <c r="BW329" s="87">
        <f>SUMIFS($AU$3:AU330,$AB$3:AB330,"*",$AC$3:AC330,"*")</f>
        <v>3279.9999999999982</v>
      </c>
      <c r="BX329" s="87">
        <f>SUMIFS($AV$3:AV330,$Q$3:Q330,"F")</f>
        <v>321.54786430960348</v>
      </c>
      <c r="BY329" s="87">
        <f>SUMIFS($AV$3:AV330,$Q$3:Q330,"S")</f>
        <v>322.34781249396258</v>
      </c>
      <c r="BZ329" s="87">
        <f>SUMIFS($AV$3:AV330,$Q$3:Q330,"O")</f>
        <v>519.33999999986361</v>
      </c>
    </row>
    <row r="330" spans="1:78" ht="121.5">
      <c r="A330" s="45" t="s">
        <v>1047</v>
      </c>
      <c r="B330" s="59">
        <v>45376</v>
      </c>
      <c r="C330" s="46" t="s">
        <v>502</v>
      </c>
      <c r="D330" s="46" t="s">
        <v>176</v>
      </c>
      <c r="E330" s="66"/>
      <c r="F330" s="47"/>
      <c r="G330" s="48" t="s">
        <v>181</v>
      </c>
      <c r="H330" s="49"/>
      <c r="I330" s="49"/>
      <c r="J330" s="49"/>
      <c r="K330" s="50"/>
      <c r="L330" s="49"/>
      <c r="M330" s="49"/>
      <c r="N330" s="49"/>
      <c r="O330" s="50"/>
      <c r="P330" s="50"/>
      <c r="Q330" s="50"/>
      <c r="R330" s="50"/>
      <c r="S330" s="50"/>
      <c r="T330" s="50"/>
      <c r="U330" s="50"/>
      <c r="V330" s="50"/>
      <c r="W330" s="50"/>
      <c r="X330" s="50"/>
      <c r="Y330" s="51"/>
      <c r="Z330" s="52"/>
      <c r="AA330" s="52"/>
      <c r="AB330" s="52"/>
      <c r="AC330" s="52"/>
      <c r="AD330" s="231"/>
      <c r="AE330" s="49"/>
      <c r="AF330" s="84"/>
      <c r="AG330" s="49"/>
      <c r="AH330" s="49"/>
      <c r="AI330" s="49"/>
      <c r="AJ330" s="226"/>
      <c r="AK330" s="49"/>
      <c r="AL330" s="113">
        <f>-0.04*Z330</f>
        <v>0</v>
      </c>
      <c r="AM330" s="113">
        <f t="shared" si="111"/>
        <v>0</v>
      </c>
      <c r="AN330" s="218"/>
      <c r="AO330" s="49"/>
      <c r="AP330" s="49"/>
      <c r="AQ330" s="84" t="str">
        <f>UPPER(RIGHT(Journal_Live[[#This Row],[DURATION ]]))</f>
        <v/>
      </c>
      <c r="AR330" s="49"/>
      <c r="AS330" s="55"/>
      <c r="AT330" s="55">
        <f>IF(ISBLANK(AS330),,IF(U330="S",AD330-AS330,AS330-AD330))</f>
        <v>0</v>
      </c>
      <c r="AU330" s="54">
        <f>AV330*R330</f>
        <v>0</v>
      </c>
      <c r="AV330" s="56">
        <f t="shared" si="114"/>
        <v>0</v>
      </c>
      <c r="AW330" s="57"/>
      <c r="AX330" s="99" t="s">
        <v>992</v>
      </c>
      <c r="AY330" s="151" t="s">
        <v>1241</v>
      </c>
      <c r="AZ330" s="151" t="s">
        <v>1231</v>
      </c>
      <c r="BA330" s="151" t="s">
        <v>1232</v>
      </c>
      <c r="BB330" s="151"/>
      <c r="BC330" s="151"/>
      <c r="BD330" s="151"/>
      <c r="BE330" s="152"/>
      <c r="BF330" s="151"/>
      <c r="BG330" s="94">
        <f>SUM($AV$4:AV330)</f>
        <v>1399.2356768034351</v>
      </c>
      <c r="BH330" s="95">
        <f>SUM($AU$4:AU330)</f>
        <v>22144.780000000177</v>
      </c>
      <c r="BI330" s="80">
        <f>SUMIFS($AU$3:AU331,$Q$3:Q331,"F")</f>
        <v>15828.400000000001</v>
      </c>
      <c r="BJ330" s="80">
        <f>SUMIFS($AU$3:AU331,$Q$3:Q331,"S")</f>
        <v>4607.9999999999927</v>
      </c>
      <c r="BK330" s="87">
        <f>SUMIFS($AU$3:AU331,$P$3:P331,"W")</f>
        <v>16125.580000000136</v>
      </c>
      <c r="BL330" s="87">
        <f>SUMIFS($AU$3:AU331,$P$3:P331,"R")</f>
        <v>5061.9999999999991</v>
      </c>
      <c r="BM330" s="87">
        <f>SUMIFS($AU$3:AU331,$AQ$3:AQ331,"M")</f>
        <v>5261.1799999997265</v>
      </c>
      <c r="BN330" s="87">
        <f>SUMIFS($AU$3:AU331,$AQ$3:AQ331,"H")</f>
        <v>3819.2000000004464</v>
      </c>
      <c r="BO330" s="87">
        <f>SUMIFS($AU$3:AU331,$AQ$3:AQ331,"D")</f>
        <v>4706.0000000000009</v>
      </c>
      <c r="BP330" s="87">
        <f>SUMIFS($AU$3:AU418,$AQ$3:AQ418,"W")</f>
        <v>12022.400000000001</v>
      </c>
      <c r="BQ330" s="87">
        <f>SUMIFS($AU$3:AU331,$Q$3:Q331,"O")</f>
        <v>1828.3800000001911</v>
      </c>
      <c r="BR330" s="87">
        <f>SUMIFS($AU$3:AU331,$AA$3:AA331,"*")</f>
        <v>19545.600000000064</v>
      </c>
      <c r="BS330" s="87">
        <f>SUMIFS($AU$3:AU331,$AB$3:AB331,"*")</f>
        <v>6951.1799999999312</v>
      </c>
      <c r="BT330" s="87">
        <f>SUMIFS($AU$3:AU331,$AC$3:AC331,"*")</f>
        <v>12708.4</v>
      </c>
      <c r="BU330" s="87">
        <f>SUMIFS($AU$3:AU331,$AA$3:AA331,"*",$AB$3:AB331,"*")</f>
        <v>4415.9999999998217</v>
      </c>
      <c r="BV330" s="87">
        <f>SUMIFS($AU$3:AU331,$AA$3:AA331,"*",$AC$3:AC331,"*")</f>
        <v>12244.4</v>
      </c>
      <c r="BW330" s="87">
        <f>SUMIFS($AU$3:AU331,$AB$3:AB331,"*",$AC$3:AC331,"*")</f>
        <v>3279.9999999999982</v>
      </c>
      <c r="BX330" s="87">
        <f>SUMIFS($AV$3:AV331,$Q$3:Q331,"F")</f>
        <v>321.54786430960348</v>
      </c>
      <c r="BY330" s="87">
        <f>SUMIFS($AV$3:AV331,$Q$3:Q331,"S")</f>
        <v>322.34781249396258</v>
      </c>
      <c r="BZ330" s="87">
        <f>SUMIFS($AV$3:AV331,$Q$3:Q331,"O")</f>
        <v>519.33999999986361</v>
      </c>
    </row>
    <row r="331" spans="1:78" ht="15">
      <c r="A331" s="45" t="s">
        <v>1047</v>
      </c>
      <c r="B331" s="59"/>
      <c r="C331" s="46"/>
      <c r="D331" s="46"/>
      <c r="E331" s="66"/>
      <c r="F331" s="47"/>
      <c r="G331" s="48"/>
      <c r="H331" s="49"/>
      <c r="I331" s="49"/>
      <c r="J331" s="49"/>
      <c r="K331" s="50"/>
      <c r="L331" s="49"/>
      <c r="M331" s="49"/>
      <c r="N331" s="49"/>
      <c r="O331" s="50"/>
      <c r="P331" s="50"/>
      <c r="Q331" s="50"/>
      <c r="R331" s="50"/>
      <c r="S331" s="50"/>
      <c r="T331" s="50"/>
      <c r="U331" s="50"/>
      <c r="V331" s="50"/>
      <c r="W331" s="50"/>
      <c r="X331" s="50"/>
      <c r="Y331" s="51"/>
      <c r="Z331" s="52"/>
      <c r="AA331" s="52"/>
      <c r="AB331" s="52"/>
      <c r="AC331" s="52"/>
      <c r="AD331" s="231"/>
      <c r="AE331" s="49"/>
      <c r="AF331" s="84"/>
      <c r="AG331" s="49"/>
      <c r="AH331" s="49"/>
      <c r="AI331" s="49"/>
      <c r="AJ331" s="226"/>
      <c r="AK331" s="49"/>
      <c r="AL331" s="113"/>
      <c r="AM331" s="113"/>
      <c r="AN331" s="218"/>
      <c r="AO331" s="49"/>
      <c r="AP331" s="49"/>
      <c r="AQ331" s="84"/>
      <c r="AR331" s="49"/>
      <c r="AS331" s="55"/>
      <c r="AT331" s="55"/>
      <c r="AU331" s="54"/>
      <c r="AV331" s="56"/>
      <c r="AW331" s="57"/>
      <c r="AX331" s="43"/>
      <c r="AY331" s="43"/>
      <c r="AZ331" s="43"/>
      <c r="BA331" s="43"/>
      <c r="BB331" s="151"/>
      <c r="BC331" s="159"/>
      <c r="BD331" s="151"/>
      <c r="BE331" s="152"/>
      <c r="BF331" s="151"/>
      <c r="BG331" s="94">
        <f>SUM($AV$4:AV331)</f>
        <v>1399.2356768034351</v>
      </c>
      <c r="BH331" s="95">
        <f>SUM($AU$4:AU331)</f>
        <v>22144.780000000177</v>
      </c>
      <c r="BI331" s="80">
        <f>SUMIFS($AU$3:AU332,$Q$3:Q332,"F")</f>
        <v>15828.400000000001</v>
      </c>
      <c r="BJ331" s="80">
        <f>SUMIFS($AU$3:AU332,$Q$3:Q332,"S")</f>
        <v>4607.9999999999927</v>
      </c>
      <c r="BK331" s="87">
        <f>SUMIFS($AU$3:AU332,$P$3:P332,"W")</f>
        <v>16125.580000000136</v>
      </c>
      <c r="BL331" s="87">
        <f>SUMIFS($AU$3:AU332,$P$3:P332,"R")</f>
        <v>5061.9999999999991</v>
      </c>
      <c r="BM331" s="87">
        <f>SUMIFS($AU$3:AU332,$AQ$3:AQ332,"M")</f>
        <v>5261.1799999997265</v>
      </c>
      <c r="BN331" s="87">
        <f>SUMIFS($AU$3:AU332,$AQ$3:AQ332,"H")</f>
        <v>3819.2000000004464</v>
      </c>
      <c r="BO331" s="87">
        <f>SUMIFS($AU$3:AU332,$AQ$3:AQ332,"D")</f>
        <v>4706.0000000000009</v>
      </c>
      <c r="BP331" s="87">
        <f>SUMIFS($AU$3:AU419,$AQ$3:AQ419,"W")</f>
        <v>12022.400000000001</v>
      </c>
      <c r="BQ331" s="87">
        <f>SUMIFS($AU$3:AU332,$Q$3:Q332,"O")</f>
        <v>1828.3800000001911</v>
      </c>
      <c r="BR331" s="87">
        <f>SUMIFS($AU$3:AU332,$AA$3:AA332,"*")</f>
        <v>19545.600000000064</v>
      </c>
      <c r="BS331" s="87">
        <f>SUMIFS($AU$3:AU332,$AB$3:AB332,"*")</f>
        <v>6951.1799999999312</v>
      </c>
      <c r="BT331" s="87">
        <f>SUMIFS($AU$3:AU332,$AC$3:AC332,"*")</f>
        <v>12708.4</v>
      </c>
      <c r="BU331" s="87">
        <f>SUMIFS($AU$3:AU332,$AA$3:AA332,"*",$AB$3:AB332,"*")</f>
        <v>4415.9999999998217</v>
      </c>
      <c r="BV331" s="87">
        <f>SUMIFS($AU$3:AU332,$AA$3:AA332,"*",$AC$3:AC332,"*")</f>
        <v>12244.4</v>
      </c>
      <c r="BW331" s="87">
        <f>SUMIFS($AU$3:AU332,$AB$3:AB332,"*",$AC$3:AC332,"*")</f>
        <v>3279.9999999999982</v>
      </c>
      <c r="BX331" s="87">
        <f>SUMIFS($AV$3:AV332,$Q$3:Q332,"F")</f>
        <v>321.54786430960348</v>
      </c>
      <c r="BY331" s="87">
        <f>SUMIFS($AV$3:AV332,$Q$3:Q332,"S")</f>
        <v>322.34781249396258</v>
      </c>
      <c r="BZ331" s="87">
        <f>SUMIFS($AV$3:AV332,$Q$3:Q332,"O")</f>
        <v>519.33999999986361</v>
      </c>
    </row>
    <row r="332" spans="1:78" ht="13.5">
      <c r="A332" s="45" t="s">
        <v>1047</v>
      </c>
      <c r="B332" s="59"/>
      <c r="C332" s="46"/>
      <c r="D332" s="46"/>
      <c r="E332" s="66"/>
      <c r="F332" s="47"/>
      <c r="G332" s="48"/>
      <c r="H332" s="49"/>
      <c r="I332" s="49"/>
      <c r="J332" s="49"/>
      <c r="K332" s="50"/>
      <c r="L332" s="49"/>
      <c r="M332" s="49"/>
      <c r="N332" s="49"/>
      <c r="O332" s="50"/>
      <c r="P332" s="50"/>
      <c r="Q332" s="50"/>
      <c r="R332" s="50"/>
      <c r="S332" s="50"/>
      <c r="T332" s="50"/>
      <c r="U332" s="50"/>
      <c r="V332" s="50"/>
      <c r="W332" s="50"/>
      <c r="X332" s="50"/>
      <c r="Y332" s="50"/>
      <c r="Z332" s="50"/>
      <c r="AA332" s="52"/>
      <c r="AB332" s="52"/>
      <c r="AC332" s="52"/>
      <c r="AD332" s="231"/>
      <c r="AE332" s="49"/>
      <c r="AF332" s="84"/>
      <c r="AG332" s="49"/>
      <c r="AH332" s="49"/>
      <c r="AI332" s="49"/>
      <c r="AJ332" s="226"/>
      <c r="AK332" s="49"/>
      <c r="AL332" s="113">
        <f t="shared" si="90"/>
        <v>0</v>
      </c>
      <c r="AM332" s="113">
        <f t="shared" ref="AM332:AM352" si="115">AL332*(R332-S332)</f>
        <v>0</v>
      </c>
      <c r="AN332" s="218"/>
      <c r="AO332" s="49"/>
      <c r="AP332" s="49"/>
      <c r="AQ332" s="84" t="str">
        <f>UPPER(RIGHT(Journal_Live[[#This Row],[DURATION ]]))</f>
        <v/>
      </c>
      <c r="AR332" s="49"/>
      <c r="AS332" s="55"/>
      <c r="AT332" s="55"/>
      <c r="AU332" s="54"/>
      <c r="AV332" s="56"/>
      <c r="AW332" s="57"/>
      <c r="AX332" s="158"/>
      <c r="AY332" s="153" t="s">
        <v>1242</v>
      </c>
      <c r="AZ332" s="153"/>
      <c r="BA332" s="153"/>
      <c r="BB332" s="153"/>
      <c r="BC332" s="153"/>
      <c r="BD332" s="151"/>
      <c r="BE332" s="152"/>
      <c r="BF332" s="151"/>
      <c r="BG332" s="94">
        <f>SUM($AV$4:AV332)</f>
        <v>1399.2356768034351</v>
      </c>
      <c r="BH332" s="95">
        <f>SUM($AU$4:AU332)</f>
        <v>22144.780000000177</v>
      </c>
      <c r="BI332" s="80">
        <f>SUMIFS($AU$3:AU333,$Q$3:Q333,"F")</f>
        <v>15828.400000000001</v>
      </c>
      <c r="BJ332" s="80">
        <f>SUMIFS($AU$3:AU333,$Q$3:Q333,"S")</f>
        <v>4607.9999999999927</v>
      </c>
      <c r="BK332" s="87">
        <f>SUMIFS($AU$3:AU333,$P$3:P333,"W")</f>
        <v>16125.580000000136</v>
      </c>
      <c r="BL332" s="87">
        <f>SUMIFS($AU$3:AU333,$P$3:P333,"R")</f>
        <v>5061.9999999999991</v>
      </c>
      <c r="BM332" s="87">
        <f>SUMIFS($AU$3:AU333,$AQ$3:AQ333,"M")</f>
        <v>5261.1799999997265</v>
      </c>
      <c r="BN332" s="87">
        <f>SUMIFS($AU$3:AU333,$AQ$3:AQ333,"H")</f>
        <v>3819.2000000004464</v>
      </c>
      <c r="BO332" s="87">
        <f>SUMIFS($AU$3:AU333,$AQ$3:AQ333,"D")</f>
        <v>4706.0000000000009</v>
      </c>
      <c r="BP332" s="87">
        <f>SUMIFS($AU$3:AU420,$AQ$3:AQ420,"W")</f>
        <v>12022.400000000001</v>
      </c>
      <c r="BQ332" s="87">
        <f>SUMIFS($AU$3:AU333,$Q$3:Q333,"O")</f>
        <v>1828.3800000001911</v>
      </c>
      <c r="BR332" s="87">
        <f>SUMIFS($AU$3:AU333,$AA$3:AA333,"*")</f>
        <v>19545.600000000064</v>
      </c>
      <c r="BS332" s="87">
        <f>SUMIFS($AU$3:AU333,$AB$3:AB333,"*")</f>
        <v>6951.1799999999312</v>
      </c>
      <c r="BT332" s="87">
        <f>SUMIFS($AU$3:AU333,$AC$3:AC333,"*")</f>
        <v>12708.4</v>
      </c>
      <c r="BU332" s="87">
        <f>SUMIFS($AU$3:AU333,$AA$3:AA333,"*",$AB$3:AB333,"*")</f>
        <v>4415.9999999998217</v>
      </c>
      <c r="BV332" s="87">
        <f>SUMIFS($AU$3:AU333,$AA$3:AA333,"*",$AC$3:AC333,"*")</f>
        <v>12244.4</v>
      </c>
      <c r="BW332" s="87">
        <f>SUMIFS($AU$3:AU333,$AB$3:AB333,"*",$AC$3:AC333,"*")</f>
        <v>3279.9999999999982</v>
      </c>
      <c r="BX332" s="87">
        <f>SUMIFS($AV$3:AV333,$Q$3:Q333,"F")</f>
        <v>321.54786430960348</v>
      </c>
      <c r="BY332" s="87">
        <f>SUMIFS($AV$3:AV333,$Q$3:Q333,"S")</f>
        <v>322.34781249396258</v>
      </c>
      <c r="BZ332" s="87">
        <f>SUMIFS($AV$3:AV333,$Q$3:Q333,"O")</f>
        <v>519.33999999986361</v>
      </c>
    </row>
    <row r="333" spans="1:78" ht="40.5">
      <c r="A333" s="45" t="s">
        <v>1047</v>
      </c>
      <c r="B333" s="59"/>
      <c r="C333" s="46"/>
      <c r="D333" s="46"/>
      <c r="E333" s="66"/>
      <c r="F333" s="47"/>
      <c r="G333" s="48"/>
      <c r="H333" s="49"/>
      <c r="I333" s="49"/>
      <c r="J333" s="49"/>
      <c r="K333" s="50"/>
      <c r="L333" s="49"/>
      <c r="M333" s="49"/>
      <c r="N333" s="49"/>
      <c r="O333" s="50"/>
      <c r="P333" s="50"/>
      <c r="Q333" s="50"/>
      <c r="R333" s="50"/>
      <c r="S333" s="50"/>
      <c r="T333" s="50"/>
      <c r="U333" s="50"/>
      <c r="V333" s="50"/>
      <c r="W333" s="50"/>
      <c r="X333" s="50"/>
      <c r="Y333" s="50"/>
      <c r="Z333" s="50"/>
      <c r="AA333" s="52"/>
      <c r="AB333" s="52"/>
      <c r="AC333" s="52"/>
      <c r="AD333" s="231"/>
      <c r="AE333" s="49"/>
      <c r="AF333" s="84"/>
      <c r="AG333" s="49"/>
      <c r="AH333" s="49"/>
      <c r="AI333" s="49"/>
      <c r="AJ333" s="226"/>
      <c r="AK333" s="49"/>
      <c r="AL333" s="113">
        <f t="shared" si="90"/>
        <v>0</v>
      </c>
      <c r="AM333" s="113">
        <f t="shared" si="115"/>
        <v>0</v>
      </c>
      <c r="AN333" s="218"/>
      <c r="AO333" s="49"/>
      <c r="AP333" s="49"/>
      <c r="AQ333" s="84" t="str">
        <f>UPPER(RIGHT(Journal_Live[[#This Row],[DURATION ]]))</f>
        <v/>
      </c>
      <c r="AR333" s="49"/>
      <c r="AS333" s="55"/>
      <c r="AT333" s="55"/>
      <c r="AU333" s="54"/>
      <c r="AV333" s="56"/>
      <c r="AW333" s="57"/>
      <c r="AX333" s="153" t="s">
        <v>1243</v>
      </c>
      <c r="AY333" s="153"/>
      <c r="AZ333" s="153"/>
      <c r="BA333" s="153"/>
      <c r="BB333" s="153"/>
      <c r="BC333" s="153"/>
      <c r="BD333" s="151"/>
      <c r="BE333" s="152"/>
      <c r="BF333" s="151"/>
      <c r="BG333" s="94">
        <f>SUM($AV$4:AV333)</f>
        <v>1399.2356768034351</v>
      </c>
      <c r="BH333" s="95">
        <f>SUM($AU$4:AU333)</f>
        <v>22144.780000000177</v>
      </c>
      <c r="BI333" s="80">
        <f>SUMIFS($AU$3:AU334,$Q$3:Q334,"F")</f>
        <v>15828.400000000001</v>
      </c>
      <c r="BJ333" s="80">
        <f>SUMIFS($AU$3:AU334,$Q$3:Q334,"S")</f>
        <v>4607.9999999999927</v>
      </c>
      <c r="BK333" s="87">
        <f>SUMIFS($AU$3:AU334,$P$3:P334,"W")</f>
        <v>16125.580000000136</v>
      </c>
      <c r="BL333" s="87">
        <f>SUMIFS($AU$3:AU334,$P$3:P334,"R")</f>
        <v>5061.9999999999991</v>
      </c>
      <c r="BM333" s="87">
        <f>SUMIFS($AU$3:AU334,$AQ$3:AQ334,"M")</f>
        <v>5261.1799999997265</v>
      </c>
      <c r="BN333" s="87">
        <f>SUMIFS($AU$3:AU334,$AQ$3:AQ334,"H")</f>
        <v>3819.2000000004464</v>
      </c>
      <c r="BO333" s="87">
        <f>SUMIFS($AU$3:AU334,$AQ$3:AQ334,"D")</f>
        <v>4706.0000000000009</v>
      </c>
      <c r="BP333" s="87">
        <f>SUMIFS($AU$3:AU421,$AQ$3:AQ421,"W")</f>
        <v>12022.400000000001</v>
      </c>
      <c r="BQ333" s="87">
        <f>SUMIFS($AU$3:AU334,$Q$3:Q334,"O")</f>
        <v>1828.3800000001911</v>
      </c>
      <c r="BR333" s="87">
        <f>SUMIFS($AU$3:AU334,$AA$3:AA334,"*")</f>
        <v>19545.600000000064</v>
      </c>
      <c r="BS333" s="87">
        <f>SUMIFS($AU$3:AU334,$AB$3:AB334,"*")</f>
        <v>6951.1799999999312</v>
      </c>
      <c r="BT333" s="87">
        <f>SUMIFS($AU$3:AU334,$AC$3:AC334,"*")</f>
        <v>12708.4</v>
      </c>
      <c r="BU333" s="87">
        <f>SUMIFS($AU$3:AU334,$AA$3:AA334,"*",$AB$3:AB334,"*")</f>
        <v>4415.9999999998217</v>
      </c>
      <c r="BV333" s="87">
        <f>SUMIFS($AU$3:AU334,$AA$3:AA334,"*",$AC$3:AC334,"*")</f>
        <v>12244.4</v>
      </c>
      <c r="BW333" s="87">
        <f>SUMIFS($AU$3:AU334,$AB$3:AB334,"*",$AC$3:AC334,"*")</f>
        <v>3279.9999999999982</v>
      </c>
      <c r="BX333" s="87">
        <f>SUMIFS($AV$3:AV334,$Q$3:Q334,"F")</f>
        <v>321.54786430960348</v>
      </c>
      <c r="BY333" s="87">
        <f>SUMIFS($AV$3:AV334,$Q$3:Q334,"S")</f>
        <v>322.34781249396258</v>
      </c>
      <c r="BZ333" s="87">
        <f>SUMIFS($AV$3:AV334,$Q$3:Q334,"O")</f>
        <v>519.33999999986361</v>
      </c>
    </row>
    <row r="334" spans="1:78" ht="15">
      <c r="A334" s="45" t="s">
        <v>1047</v>
      </c>
      <c r="B334" s="59">
        <v>45376</v>
      </c>
      <c r="C334" s="46" t="s">
        <v>1244</v>
      </c>
      <c r="D334" s="46" t="s">
        <v>176</v>
      </c>
      <c r="E334" s="66"/>
      <c r="F334" s="47"/>
      <c r="G334" s="48" t="s">
        <v>113</v>
      </c>
      <c r="H334" s="49"/>
      <c r="I334" s="49"/>
      <c r="J334" s="49"/>
      <c r="K334" s="50"/>
      <c r="L334" s="49"/>
      <c r="M334" s="49"/>
      <c r="N334" s="49"/>
      <c r="O334" s="50"/>
      <c r="P334" s="50"/>
      <c r="Q334" s="50"/>
      <c r="R334" s="50"/>
      <c r="S334" s="50"/>
      <c r="T334" s="50"/>
      <c r="U334" s="50"/>
      <c r="V334" s="50"/>
      <c r="W334" s="50"/>
      <c r="X334" s="50"/>
      <c r="Y334" s="51"/>
      <c r="Z334" s="52"/>
      <c r="AA334" s="52"/>
      <c r="AB334" s="52"/>
      <c r="AC334" s="52"/>
      <c r="AD334" s="231"/>
      <c r="AE334" s="49"/>
      <c r="AF334" s="84"/>
      <c r="AG334" s="49"/>
      <c r="AH334" s="49"/>
      <c r="AI334" s="49"/>
      <c r="AJ334" s="226"/>
      <c r="AK334" s="49"/>
      <c r="AL334" s="113">
        <f>-0.02*Z334</f>
        <v>0</v>
      </c>
      <c r="AM334" s="113">
        <f t="shared" si="115"/>
        <v>0</v>
      </c>
      <c r="AN334" s="218"/>
      <c r="AO334" s="49"/>
      <c r="AP334" s="49"/>
      <c r="AQ334" s="84" t="str">
        <f>UPPER(RIGHT(Journal_Live[[#This Row],[DURATION ]]))</f>
        <v/>
      </c>
      <c r="AR334" s="49"/>
      <c r="AS334" s="55"/>
      <c r="AT334" s="55">
        <f t="shared" ref="AT334:AT342" si="116">IF(ISBLANK(AS334),,IF(U334="S",AD334-AS334,AS334-AD334))</f>
        <v>0</v>
      </c>
      <c r="AU334" s="54">
        <f t="shared" ref="AU334:AU342" si="117">AV334*R334</f>
        <v>0</v>
      </c>
      <c r="AV334" s="56">
        <f t="shared" si="114"/>
        <v>0</v>
      </c>
      <c r="AW334" s="57"/>
      <c r="AX334" s="153"/>
      <c r="AY334" s="153"/>
      <c r="AZ334" s="153"/>
      <c r="BA334" s="153"/>
      <c r="BB334" s="153"/>
      <c r="BC334" s="153"/>
      <c r="BD334" s="151"/>
      <c r="BE334" s="152"/>
      <c r="BF334" s="151"/>
      <c r="BG334" s="94">
        <f>SUM($AV$4:AV334)</f>
        <v>1399.2356768034351</v>
      </c>
      <c r="BH334" s="95">
        <f>SUM($AU$4:AU334)</f>
        <v>22144.780000000177</v>
      </c>
      <c r="BI334" s="80">
        <f>SUMIFS($AU$3:AU335,$Q$3:Q335,"F")</f>
        <v>15828.400000000001</v>
      </c>
      <c r="BJ334" s="80">
        <f>SUMIFS($AU$3:AU335,$Q$3:Q335,"S")</f>
        <v>5007.9999999999909</v>
      </c>
      <c r="BK334" s="87">
        <f>SUMIFS($AU$3:AU335,$P$3:P335,"W")</f>
        <v>16525.580000000136</v>
      </c>
      <c r="BL334" s="87">
        <f>SUMIFS($AU$3:AU335,$P$3:P335,"R")</f>
        <v>5061.9999999999991</v>
      </c>
      <c r="BM334" s="87">
        <f>SUMIFS($AU$3:AU335,$AQ$3:AQ335,"M")</f>
        <v>5261.1799999997265</v>
      </c>
      <c r="BN334" s="87">
        <f>SUMIFS($AU$3:AU335,$AQ$3:AQ335,"H")</f>
        <v>4219.2000000004446</v>
      </c>
      <c r="BO334" s="87">
        <f>SUMIFS($AU$3:AU335,$AQ$3:AQ335,"D")</f>
        <v>4706.0000000000009</v>
      </c>
      <c r="BP334" s="87">
        <f>SUMIFS($AU$3:AU422,$AQ$3:AQ422,"W")</f>
        <v>12022.400000000001</v>
      </c>
      <c r="BQ334" s="87">
        <f>SUMIFS($AU$3:AU335,$Q$3:Q335,"O")</f>
        <v>1828.3800000001911</v>
      </c>
      <c r="BR334" s="87">
        <f>SUMIFS($AU$3:AU335,$AA$3:AA335,"*")</f>
        <v>19545.600000000064</v>
      </c>
      <c r="BS334" s="87">
        <f>SUMIFS($AU$3:AU335,$AB$3:AB335,"*")</f>
        <v>6951.1799999999312</v>
      </c>
      <c r="BT334" s="87">
        <f>SUMIFS($AU$3:AU335,$AC$3:AC335,"*")</f>
        <v>12708.4</v>
      </c>
      <c r="BU334" s="87">
        <f>SUMIFS($AU$3:AU335,$AA$3:AA335,"*",$AB$3:AB335,"*")</f>
        <v>4415.9999999998217</v>
      </c>
      <c r="BV334" s="87">
        <f>SUMIFS($AU$3:AU335,$AA$3:AA335,"*",$AC$3:AC335,"*")</f>
        <v>12244.4</v>
      </c>
      <c r="BW334" s="87">
        <f>SUMIFS($AU$3:AU335,$AB$3:AB335,"*",$AC$3:AC335,"*")</f>
        <v>3279.9999999999982</v>
      </c>
      <c r="BX334" s="87">
        <f>SUMIFS($AV$3:AV335,$Q$3:Q335,"F")</f>
        <v>321.54786430960348</v>
      </c>
      <c r="BY334" s="87">
        <f>SUMIFS($AV$3:AV335,$Q$3:Q335,"S")</f>
        <v>341.39543154158156</v>
      </c>
      <c r="BZ334" s="87">
        <f>SUMIFS($AV$3:AV335,$Q$3:Q335,"O")</f>
        <v>519.33999999986361</v>
      </c>
    </row>
    <row r="335" spans="1:78" ht="15">
      <c r="A335" s="45" t="s">
        <v>1047</v>
      </c>
      <c r="B335" s="59">
        <v>45376</v>
      </c>
      <c r="C335" s="46" t="s">
        <v>1245</v>
      </c>
      <c r="D335" s="46" t="s">
        <v>176</v>
      </c>
      <c r="E335" s="66"/>
      <c r="F335" s="47"/>
      <c r="G335" s="104" t="s">
        <v>459</v>
      </c>
      <c r="H335" s="49"/>
      <c r="I335" s="49"/>
      <c r="J335" s="49"/>
      <c r="K335" s="50"/>
      <c r="L335" s="49">
        <v>1</v>
      </c>
      <c r="M335" s="49"/>
      <c r="N335" s="49"/>
      <c r="O335" s="50" t="s">
        <v>100</v>
      </c>
      <c r="P335" s="50" t="s">
        <v>101</v>
      </c>
      <c r="Q335" s="50" t="s">
        <v>102</v>
      </c>
      <c r="R335" s="50">
        <v>21</v>
      </c>
      <c r="S335" s="50">
        <v>21</v>
      </c>
      <c r="T335" s="50">
        <v>21</v>
      </c>
      <c r="U335" s="50" t="s">
        <v>22</v>
      </c>
      <c r="V335" s="50"/>
      <c r="W335" s="50"/>
      <c r="X335" s="50"/>
      <c r="Y335" s="51">
        <f t="shared" ref="Y335:Y342" si="118">IF(ISBLANK(O335),"",(IF(O335=UPPER("IB"),0.005,0.01)))</f>
        <v>0.01</v>
      </c>
      <c r="Z335" s="52">
        <f>IF(ISBLANK(O335),"",IF(O335="IB",8.63*200,IF(O335="IR",16*100,IF(O335="YT",20*100,IF(O335="YT-XT",24*200,IF(O335="TED",80*100,IF(O335="XT",29*200)))))))</f>
        <v>1600</v>
      </c>
      <c r="AA335" s="52">
        <v>20</v>
      </c>
      <c r="AB335" s="52"/>
      <c r="AC335" s="52"/>
      <c r="AD335" s="231">
        <v>-0.28999999999999998</v>
      </c>
      <c r="AE335" s="49"/>
      <c r="AF335" s="84"/>
      <c r="AG335" s="49"/>
      <c r="AH335" s="49" t="s">
        <v>1246</v>
      </c>
      <c r="AI335" s="49"/>
      <c r="AJ335" s="226" t="s">
        <v>1247</v>
      </c>
      <c r="AK335" s="49"/>
      <c r="AL335" s="113">
        <f t="shared" ref="AL335:AL339" si="119">-0.02*Z335</f>
        <v>-32</v>
      </c>
      <c r="AM335" s="113">
        <f t="shared" si="115"/>
        <v>0</v>
      </c>
      <c r="AN335" s="218"/>
      <c r="AO335" s="49"/>
      <c r="AP335" s="49"/>
      <c r="AQ335" s="84" t="s">
        <v>142</v>
      </c>
      <c r="AR335" s="49" t="s">
        <v>1248</v>
      </c>
      <c r="AS335" s="55">
        <f>((-0.28*17)+(-0.27*4))/21</f>
        <v>-0.27809523809523812</v>
      </c>
      <c r="AT335" s="55">
        <f t="shared" si="116"/>
        <v>1.1904761904761862E-2</v>
      </c>
      <c r="AU335" s="54">
        <f t="shared" si="117"/>
        <v>399.99999999999858</v>
      </c>
      <c r="AV335" s="56">
        <f t="shared" si="114"/>
        <v>19.04761904761898</v>
      </c>
      <c r="AW335" s="57" t="s">
        <v>101</v>
      </c>
      <c r="AX335" s="153" t="s">
        <v>1040</v>
      </c>
      <c r="AY335" s="153"/>
      <c r="AZ335" s="153"/>
      <c r="BA335" s="153"/>
      <c r="BB335" s="153"/>
      <c r="BC335" s="153"/>
      <c r="BD335" s="151"/>
      <c r="BE335" s="152"/>
      <c r="BF335" s="151"/>
      <c r="BG335" s="94">
        <f>SUM($AV$4:AV335)</f>
        <v>1418.2832958510542</v>
      </c>
      <c r="BH335" s="95">
        <f>SUM($AU$4:AU335)</f>
        <v>22544.780000000177</v>
      </c>
      <c r="BI335" s="80">
        <f>SUMIFS($AU$3:AU336,$Q$3:Q336,"F")</f>
        <v>15828.400000000001</v>
      </c>
      <c r="BJ335" s="80">
        <f>SUMIFS($AU$3:AU336,$Q$3:Q336,"S")</f>
        <v>5007.9999999999909</v>
      </c>
      <c r="BK335" s="87">
        <f>SUMIFS($AU$3:AU336,$P$3:P336,"W")</f>
        <v>16525.580000000136</v>
      </c>
      <c r="BL335" s="87">
        <f>SUMIFS($AU$3:AU336,$P$3:P336,"R")</f>
        <v>5061.9999999999991</v>
      </c>
      <c r="BM335" s="87">
        <f>SUMIFS($AU$3:AU336,$AQ$3:AQ336,"M")</f>
        <v>5261.1799999997265</v>
      </c>
      <c r="BN335" s="87">
        <f>SUMIFS($AU$3:AU336,$AQ$3:AQ336,"H")</f>
        <v>4219.2000000004446</v>
      </c>
      <c r="BO335" s="87">
        <f>SUMIFS($AU$3:AU336,$AQ$3:AQ336,"D")</f>
        <v>4706.0000000000009</v>
      </c>
      <c r="BP335" s="87">
        <f>SUMIFS($AU$3:AU423,$AQ$3:AQ423,"W")</f>
        <v>12022.400000000001</v>
      </c>
      <c r="BQ335" s="87">
        <f>SUMIFS($AU$3:AU336,$Q$3:Q336,"O")</f>
        <v>1828.3800000001911</v>
      </c>
      <c r="BR335" s="87">
        <f>SUMIFS($AU$3:AU336,$AA$3:AA336,"*")</f>
        <v>19545.600000000064</v>
      </c>
      <c r="BS335" s="87">
        <f>SUMIFS($AU$3:AU336,$AB$3:AB336,"*")</f>
        <v>6951.1799999999312</v>
      </c>
      <c r="BT335" s="87">
        <f>SUMIFS($AU$3:AU336,$AC$3:AC336,"*")</f>
        <v>12708.4</v>
      </c>
      <c r="BU335" s="87">
        <f>SUMIFS($AU$3:AU336,$AA$3:AA336,"*",$AB$3:AB336,"*")</f>
        <v>4415.9999999998217</v>
      </c>
      <c r="BV335" s="87">
        <f>SUMIFS($AU$3:AU336,$AA$3:AA336,"*",$AC$3:AC336,"*")</f>
        <v>12244.4</v>
      </c>
      <c r="BW335" s="87">
        <f>SUMIFS($AU$3:AU336,$AB$3:AB336,"*",$AC$3:AC336,"*")</f>
        <v>3279.9999999999982</v>
      </c>
      <c r="BX335" s="87">
        <f>SUMIFS($AV$3:AV336,$Q$3:Q336,"F")</f>
        <v>321.54786430960348</v>
      </c>
      <c r="BY335" s="87">
        <f>SUMIFS($AV$3:AV336,$Q$3:Q336,"S")</f>
        <v>341.39543154158156</v>
      </c>
      <c r="BZ335" s="87">
        <f>SUMIFS($AV$3:AV336,$Q$3:Q336,"O")</f>
        <v>519.33999999986361</v>
      </c>
    </row>
    <row r="336" spans="1:78" ht="67.5">
      <c r="A336" s="45" t="s">
        <v>1047</v>
      </c>
      <c r="B336" s="59">
        <v>45376</v>
      </c>
      <c r="C336" s="46" t="s">
        <v>1249</v>
      </c>
      <c r="D336" s="46" t="s">
        <v>176</v>
      </c>
      <c r="E336" s="66"/>
      <c r="F336" s="47"/>
      <c r="G336" s="109" t="s">
        <v>1250</v>
      </c>
      <c r="H336" s="49"/>
      <c r="I336" s="49"/>
      <c r="J336" s="49"/>
      <c r="K336" s="50"/>
      <c r="L336" s="49">
        <v>1</v>
      </c>
      <c r="M336" s="49"/>
      <c r="N336" s="49"/>
      <c r="O336" s="50" t="s">
        <v>363</v>
      </c>
      <c r="P336" s="50" t="s">
        <v>126</v>
      </c>
      <c r="Q336" s="50"/>
      <c r="R336" s="50">
        <v>2</v>
      </c>
      <c r="S336" s="50">
        <v>0</v>
      </c>
      <c r="T336" s="50">
        <v>2</v>
      </c>
      <c r="U336" s="50" t="s">
        <v>102</v>
      </c>
      <c r="V336" s="50"/>
      <c r="W336" s="50"/>
      <c r="X336" s="50"/>
      <c r="Y336" s="51">
        <f t="shared" si="118"/>
        <v>0.01</v>
      </c>
      <c r="Z336" s="52">
        <f>IF(ISBLANK(O336),"",IF(O336="IB",8.63*200,IF(O336="IR",16*100,IF(O336="YT",20*100,IF(O336="YT-XT",24*200,IF(O336="TED",80*100))))))</f>
        <v>8000</v>
      </c>
      <c r="AA336" s="52" t="s">
        <v>1251</v>
      </c>
      <c r="AB336" s="52"/>
      <c r="AC336" s="52"/>
      <c r="AD336" s="231">
        <v>0.01</v>
      </c>
      <c r="AE336" s="49"/>
      <c r="AF336" s="84"/>
      <c r="AG336" s="49"/>
      <c r="AH336" s="49"/>
      <c r="AI336" s="49"/>
      <c r="AJ336" s="226"/>
      <c r="AK336" s="49"/>
      <c r="AL336" s="113">
        <f t="shared" si="119"/>
        <v>-160</v>
      </c>
      <c r="AM336" s="113">
        <f t="shared" si="115"/>
        <v>-320</v>
      </c>
      <c r="AN336" s="218"/>
      <c r="AO336" s="49"/>
      <c r="AP336" s="49" t="s">
        <v>247</v>
      </c>
      <c r="AQ336" s="84" t="s">
        <v>155</v>
      </c>
      <c r="AR336" s="49" t="s">
        <v>1252</v>
      </c>
      <c r="AS336" s="55">
        <v>0.01</v>
      </c>
      <c r="AT336" s="55">
        <f t="shared" si="116"/>
        <v>0</v>
      </c>
      <c r="AU336" s="54">
        <f t="shared" si="117"/>
        <v>0</v>
      </c>
      <c r="AV336" s="56">
        <f t="shared" si="114"/>
        <v>0</v>
      </c>
      <c r="AW336" s="57" t="s">
        <v>155</v>
      </c>
      <c r="AX336" s="153" t="s">
        <v>1253</v>
      </c>
      <c r="AY336" s="153" t="s">
        <v>839</v>
      </c>
      <c r="AZ336" s="153" t="s">
        <v>1254</v>
      </c>
      <c r="BA336" s="153" t="s">
        <v>1255</v>
      </c>
      <c r="BB336" s="153"/>
      <c r="BC336" s="153"/>
      <c r="BD336" s="153" t="s">
        <v>1256</v>
      </c>
      <c r="BE336" s="153" t="s">
        <v>1255</v>
      </c>
      <c r="BF336" s="151"/>
      <c r="BG336" s="94">
        <f>SUM($AV$4:AV336)</f>
        <v>1418.2832958510542</v>
      </c>
      <c r="BH336" s="95">
        <f>SUM($AU$4:AU336)</f>
        <v>22544.780000000177</v>
      </c>
      <c r="BI336" s="80">
        <f>SUMIFS($AU$3:AU337,$Q$3:Q337,"F")</f>
        <v>15828.400000000001</v>
      </c>
      <c r="BJ336" s="80">
        <f>SUMIFS($AU$3:AU337,$Q$3:Q337,"S")</f>
        <v>5727.9999999999909</v>
      </c>
      <c r="BK336" s="87">
        <f>SUMIFS($AU$3:AU337,$P$3:P337,"W")</f>
        <v>17245.580000000136</v>
      </c>
      <c r="BL336" s="87">
        <f>SUMIFS($AU$3:AU337,$P$3:P337,"R")</f>
        <v>5061.9999999999991</v>
      </c>
      <c r="BM336" s="87">
        <f>SUMIFS($AU$3:AU337,$AQ$3:AQ337,"M")</f>
        <v>5261.1799999997265</v>
      </c>
      <c r="BN336" s="87">
        <f>SUMIFS($AU$3:AU337,$AQ$3:AQ337,"H")</f>
        <v>4219.2000000004446</v>
      </c>
      <c r="BO336" s="87">
        <f>SUMIFS($AU$3:AU337,$AQ$3:AQ337,"D")</f>
        <v>5426.0000000000009</v>
      </c>
      <c r="BP336" s="87">
        <f>SUMIFS($AU$3:AU424,$AQ$3:AQ424,"W")</f>
        <v>12022.400000000001</v>
      </c>
      <c r="BQ336" s="87">
        <f>SUMIFS($AU$3:AU337,$Q$3:Q337,"O")</f>
        <v>1828.3800000001911</v>
      </c>
      <c r="BR336" s="87">
        <f>SUMIFS($AU$3:AU337,$AA$3:AA337,"*")</f>
        <v>20265.600000000064</v>
      </c>
      <c r="BS336" s="87">
        <f>SUMIFS($AU$3:AU337,$AB$3:AB337,"*")</f>
        <v>6951.1799999999312</v>
      </c>
      <c r="BT336" s="87">
        <f>SUMIFS($AU$3:AU337,$AC$3:AC337,"*")</f>
        <v>12708.4</v>
      </c>
      <c r="BU336" s="87">
        <f>SUMIFS($AU$3:AU337,$AA$3:AA337,"*",$AB$3:AB337,"*")</f>
        <v>4415.9999999998217</v>
      </c>
      <c r="BV336" s="87">
        <f>SUMIFS($AU$3:AU337,$AA$3:AA337,"*",$AC$3:AC337,"*")</f>
        <v>12244.4</v>
      </c>
      <c r="BW336" s="87">
        <f>SUMIFS($AU$3:AU337,$AB$3:AB337,"*",$AC$3:AC337,"*")</f>
        <v>3279.9999999999982</v>
      </c>
      <c r="BX336" s="87">
        <f>SUMIFS($AV$3:AV337,$Q$3:Q337,"F")</f>
        <v>321.54786430960348</v>
      </c>
      <c r="BY336" s="87">
        <f>SUMIFS($AV$3:AV337,$Q$3:Q337,"S")</f>
        <v>367.10971725586728</v>
      </c>
      <c r="BZ336" s="87">
        <f>SUMIFS($AV$3:AV337,$Q$3:Q337,"O")</f>
        <v>519.33999999986361</v>
      </c>
    </row>
    <row r="337" spans="1:78" ht="15.75" customHeight="1">
      <c r="A337" s="45" t="s">
        <v>1047</v>
      </c>
      <c r="B337" s="59">
        <v>45377</v>
      </c>
      <c r="C337" s="46" t="s">
        <v>1257</v>
      </c>
      <c r="D337" s="46" t="s">
        <v>98</v>
      </c>
      <c r="E337" s="66"/>
      <c r="F337" s="47"/>
      <c r="G337" s="104" t="s">
        <v>459</v>
      </c>
      <c r="H337" s="49"/>
      <c r="I337" s="49"/>
      <c r="J337" s="49"/>
      <c r="K337" s="50"/>
      <c r="L337" s="49">
        <v>1</v>
      </c>
      <c r="M337" s="49"/>
      <c r="N337" s="49"/>
      <c r="O337" s="50" t="s">
        <v>100</v>
      </c>
      <c r="P337" s="50" t="s">
        <v>101</v>
      </c>
      <c r="Q337" s="50" t="s">
        <v>102</v>
      </c>
      <c r="R337" s="50">
        <v>28</v>
      </c>
      <c r="S337" s="50">
        <v>4</v>
      </c>
      <c r="T337" s="50">
        <v>28</v>
      </c>
      <c r="U337" s="50" t="s">
        <v>22</v>
      </c>
      <c r="V337" s="50"/>
      <c r="W337" s="50"/>
      <c r="X337" s="50"/>
      <c r="Y337" s="51">
        <f t="shared" si="118"/>
        <v>0.01</v>
      </c>
      <c r="Z337" s="52">
        <f>IF(ISBLANK(O337),"",IF(O337="IB",8.63*200,IF(O337="IR",16*100,IF(O337="YT",20*100,IF(O337="YT-XT",24*200,IF(O337="TED",80*100,IF(O337="XT",29*200)))))))</f>
        <v>1600</v>
      </c>
      <c r="AA337" s="52" t="s">
        <v>1258</v>
      </c>
      <c r="AB337" s="52"/>
      <c r="AC337" s="52"/>
      <c r="AD337" s="231">
        <f>((-0.29*21)+(-0.28*7))/28</f>
        <v>-0.28750000000000003</v>
      </c>
      <c r="AE337" s="49"/>
      <c r="AF337" s="84"/>
      <c r="AG337" s="49"/>
      <c r="AH337" s="49"/>
      <c r="AI337" s="49"/>
      <c r="AJ337" s="226"/>
      <c r="AK337" s="49"/>
      <c r="AL337" s="113">
        <f t="shared" ref="AL337:AL338" si="120">-0.02*Z337</f>
        <v>-32</v>
      </c>
      <c r="AM337" s="113">
        <f t="shared" si="115"/>
        <v>-768</v>
      </c>
      <c r="AN337" s="218"/>
      <c r="AO337" s="49"/>
      <c r="AP337" s="49" t="s">
        <v>279</v>
      </c>
      <c r="AQ337" s="84" t="s">
        <v>155</v>
      </c>
      <c r="AR337" s="49" t="s">
        <v>1259</v>
      </c>
      <c r="AS337" s="55">
        <f>((-0.28*4)+(-0.27*24))/28</f>
        <v>-0.27142857142857146</v>
      </c>
      <c r="AT337" s="55">
        <f t="shared" si="116"/>
        <v>1.607142857142857E-2</v>
      </c>
      <c r="AU337" s="54">
        <f t="shared" si="117"/>
        <v>719.99999999999989</v>
      </c>
      <c r="AV337" s="56">
        <f t="shared" ref="AV337" si="121">IF(ISBLANK(AS337),,(AT337*Z337))</f>
        <v>25.714285714285712</v>
      </c>
      <c r="AW337" s="57" t="s">
        <v>101</v>
      </c>
      <c r="AX337" s="153"/>
      <c r="AY337" s="153"/>
      <c r="AZ337" s="153"/>
      <c r="BA337" s="153"/>
      <c r="BB337" s="153"/>
      <c r="BC337" s="153"/>
      <c r="BD337" s="151"/>
      <c r="BE337" s="152"/>
      <c r="BF337" s="151"/>
      <c r="BG337" s="94">
        <f>SUM($AV$4:AV337)</f>
        <v>1443.9975815653399</v>
      </c>
      <c r="BH337" s="95">
        <f>SUM($AU$4:AU337)</f>
        <v>23264.780000000177</v>
      </c>
      <c r="BI337" s="80">
        <f>SUMIFS($AU$3:AU338,$Q$3:Q338,"F")</f>
        <v>15828.400000000001</v>
      </c>
      <c r="BJ337" s="80">
        <f>SUMIFS($AU$3:AU338,$Q$3:Q338,"S")</f>
        <v>5727.9999999999909</v>
      </c>
      <c r="BK337" s="87">
        <f>SUMIFS($AU$3:AU338,$P$3:P338,"W")</f>
        <v>17245.580000000136</v>
      </c>
      <c r="BL337" s="87">
        <f>SUMIFS($AU$3:AU338,$P$3:P338,"R")</f>
        <v>5141.9999999999991</v>
      </c>
      <c r="BM337" s="87">
        <f>SUMIFS($AU$3:AU338,$AQ$3:AQ338,"M")</f>
        <v>5261.1799999997265</v>
      </c>
      <c r="BN337" s="87">
        <f>SUMIFS($AU$3:AU338,$AQ$3:AQ338,"H")</f>
        <v>4299.2000000004446</v>
      </c>
      <c r="BO337" s="87">
        <f>SUMIFS($AU$3:AU338,$AQ$3:AQ338,"D")</f>
        <v>5426.0000000000009</v>
      </c>
      <c r="BP337" s="87">
        <f>SUMIFS($AU$3:AU425,$AQ$3:AQ425,"W")</f>
        <v>12022.400000000001</v>
      </c>
      <c r="BQ337" s="87">
        <f>SUMIFS($AU$3:AU338,$Q$3:Q338,"O")</f>
        <v>1828.3800000001911</v>
      </c>
      <c r="BR337" s="87">
        <f>SUMIFS($AU$3:AU338,$AA$3:AA338,"*")</f>
        <v>20345.600000000064</v>
      </c>
      <c r="BS337" s="87">
        <f>SUMIFS($AU$3:AU338,$AB$3:AB338,"*")</f>
        <v>6951.1799999999312</v>
      </c>
      <c r="BT337" s="87">
        <f>SUMIFS($AU$3:AU338,$AC$3:AC338,"*")</f>
        <v>12708.4</v>
      </c>
      <c r="BU337" s="87">
        <f>SUMIFS($AU$3:AU338,$AA$3:AA338,"*",$AB$3:AB338,"*")</f>
        <v>4415.9999999998217</v>
      </c>
      <c r="BV337" s="87">
        <f>SUMIFS($AU$3:AU338,$AA$3:AA338,"*",$AC$3:AC338,"*")</f>
        <v>12244.4</v>
      </c>
      <c r="BW337" s="87">
        <f>SUMIFS($AU$3:AU338,$AB$3:AB338,"*",$AC$3:AC338,"*")</f>
        <v>3279.9999999999982</v>
      </c>
      <c r="BX337" s="87">
        <f>SUMIFS($AV$3:AV338,$Q$3:Q338,"F")</f>
        <v>321.54786430960348</v>
      </c>
      <c r="BY337" s="87">
        <f>SUMIFS($AV$3:AV338,$Q$3:Q338,"S")</f>
        <v>367.10971725586728</v>
      </c>
      <c r="BZ337" s="87">
        <f>SUMIFS($AV$3:AV338,$Q$3:Q338,"O")</f>
        <v>519.33999999986361</v>
      </c>
    </row>
    <row r="338" spans="1:78" ht="15.75" customHeight="1">
      <c r="A338" s="45" t="s">
        <v>1047</v>
      </c>
      <c r="B338" s="59">
        <v>45377</v>
      </c>
      <c r="C338" s="46" t="s">
        <v>1260</v>
      </c>
      <c r="D338" s="46" t="s">
        <v>98</v>
      </c>
      <c r="E338" s="66"/>
      <c r="F338" s="47"/>
      <c r="G338" s="104" t="s">
        <v>1261</v>
      </c>
      <c r="H338" s="49"/>
      <c r="I338" s="49"/>
      <c r="J338" s="49"/>
      <c r="K338" s="50"/>
      <c r="L338" s="49">
        <v>1</v>
      </c>
      <c r="M338" s="49"/>
      <c r="N338" s="49"/>
      <c r="O338" s="50" t="s">
        <v>363</v>
      </c>
      <c r="P338" s="50" t="s">
        <v>126</v>
      </c>
      <c r="Q338" s="50"/>
      <c r="R338" s="50">
        <v>1</v>
      </c>
      <c r="S338" s="50">
        <v>0</v>
      </c>
      <c r="T338" s="50">
        <v>1</v>
      </c>
      <c r="U338" s="50" t="s">
        <v>102</v>
      </c>
      <c r="V338" s="50"/>
      <c r="W338" s="50"/>
      <c r="X338" s="50"/>
      <c r="Y338" s="51">
        <f t="shared" si="118"/>
        <v>0.01</v>
      </c>
      <c r="Z338" s="52">
        <f>IF(ISBLANK(O338),"",IF(O338="IB",8.63*200,IF(O338="IR",16*100,IF(O338="YT",20*100,IF(O338="YT-XT",24*200,IF(O338="TED",80*100))))))</f>
        <v>8000</v>
      </c>
      <c r="AA338" s="52" t="s">
        <v>1251</v>
      </c>
      <c r="AB338" s="52"/>
      <c r="AC338" s="52"/>
      <c r="AD338" s="231">
        <v>-0.24</v>
      </c>
      <c r="AE338" s="49"/>
      <c r="AF338" s="84"/>
      <c r="AG338" s="49"/>
      <c r="AH338" s="49"/>
      <c r="AI338" s="49"/>
      <c r="AJ338" s="226"/>
      <c r="AK338" s="49"/>
      <c r="AL338" s="113">
        <f t="shared" si="120"/>
        <v>-160</v>
      </c>
      <c r="AM338" s="113">
        <f t="shared" si="115"/>
        <v>-160</v>
      </c>
      <c r="AN338" s="218"/>
      <c r="AO338" s="49"/>
      <c r="AP338" s="49" t="s">
        <v>1262</v>
      </c>
      <c r="AQ338" s="84" t="s">
        <v>142</v>
      </c>
      <c r="AR338" s="49" t="s">
        <v>308</v>
      </c>
      <c r="AS338" s="55">
        <v>-0.25</v>
      </c>
      <c r="AT338" s="55">
        <f t="shared" si="116"/>
        <v>1.0000000000000009E-2</v>
      </c>
      <c r="AU338" s="54">
        <f t="shared" si="117"/>
        <v>80.000000000000071</v>
      </c>
      <c r="AV338" s="56">
        <f t="shared" ref="AV338:AV339" si="122">IF(ISBLANK(AS338),,(AT338*Z338))</f>
        <v>80.000000000000071</v>
      </c>
      <c r="AW338" s="57" t="s">
        <v>101</v>
      </c>
      <c r="AX338" s="153" t="s">
        <v>1263</v>
      </c>
      <c r="AY338" s="153" t="s">
        <v>1264</v>
      </c>
      <c r="AZ338" s="153"/>
      <c r="BA338" s="153"/>
      <c r="BB338" s="153"/>
      <c r="BC338" s="153"/>
      <c r="BD338" s="151"/>
      <c r="BE338" s="152"/>
      <c r="BF338" s="151"/>
      <c r="BG338" s="94">
        <f>SUM($AV$4:AV338)</f>
        <v>1523.9975815653399</v>
      </c>
      <c r="BH338" s="95">
        <f>SUM($AU$4:AU338)</f>
        <v>23344.780000000177</v>
      </c>
      <c r="BI338" s="80">
        <f>SUMIFS($AU$3:AU339,$Q$3:Q339,"F")</f>
        <v>15828.400000000001</v>
      </c>
      <c r="BJ338" s="80">
        <f>SUMIFS($AU$3:AU339,$Q$3:Q339,"S")</f>
        <v>5727.9999999999909</v>
      </c>
      <c r="BK338" s="87">
        <f>SUMIFS($AU$3:AU339,$P$3:P339,"W")</f>
        <v>17245.580000000136</v>
      </c>
      <c r="BL338" s="87">
        <f>SUMIFS($AU$3:AU339,$P$3:P339,"R")</f>
        <v>5141.9999999999991</v>
      </c>
      <c r="BM338" s="87">
        <f>SUMIFS($AU$3:AU339,$AQ$3:AQ339,"M")</f>
        <v>5261.1799999997265</v>
      </c>
      <c r="BN338" s="87">
        <f>SUMIFS($AU$3:AU339,$AQ$3:AQ339,"H")</f>
        <v>4299.2000000004446</v>
      </c>
      <c r="BO338" s="87">
        <f>SUMIFS($AU$3:AU339,$AQ$3:AQ339,"D")</f>
        <v>5426.0000000000009</v>
      </c>
      <c r="BP338" s="87">
        <f>SUMIFS($AU$3:AU426,$AQ$3:AQ426,"W")</f>
        <v>12022.400000000001</v>
      </c>
      <c r="BQ338" s="87">
        <f>SUMIFS($AU$3:AU339,$Q$3:Q339,"O")</f>
        <v>1828.3800000001911</v>
      </c>
      <c r="BR338" s="87">
        <f>SUMIFS($AU$3:AU339,$AA$3:AA339,"*")</f>
        <v>20345.600000000064</v>
      </c>
      <c r="BS338" s="87">
        <f>SUMIFS($AU$3:AU339,$AB$3:AB339,"*")</f>
        <v>6951.1799999999312</v>
      </c>
      <c r="BT338" s="87">
        <f>SUMIFS($AU$3:AU339,$AC$3:AC339,"*")</f>
        <v>12708.4</v>
      </c>
      <c r="BU338" s="87">
        <f>SUMIFS($AU$3:AU339,$AA$3:AA339,"*",$AB$3:AB339,"*")</f>
        <v>4415.9999999998217</v>
      </c>
      <c r="BV338" s="87">
        <f>SUMIFS($AU$3:AU339,$AA$3:AA339,"*",$AC$3:AC339,"*")</f>
        <v>12244.4</v>
      </c>
      <c r="BW338" s="87">
        <f>SUMIFS($AU$3:AU339,$AB$3:AB339,"*",$AC$3:AC339,"*")</f>
        <v>3279.9999999999982</v>
      </c>
      <c r="BX338" s="87">
        <f>SUMIFS($AV$3:AV339,$Q$3:Q339,"F")</f>
        <v>321.54786430960348</v>
      </c>
      <c r="BY338" s="87">
        <f>SUMIFS($AV$3:AV339,$Q$3:Q339,"S")</f>
        <v>367.10971725586728</v>
      </c>
      <c r="BZ338" s="87">
        <f>SUMIFS($AV$3:AV339,$Q$3:Q339,"O")</f>
        <v>519.33999999986361</v>
      </c>
    </row>
    <row r="339" spans="1:78" ht="15.75" customHeight="1">
      <c r="A339" s="45" t="s">
        <v>1047</v>
      </c>
      <c r="B339" s="59">
        <v>45377</v>
      </c>
      <c r="C339" s="46" t="s">
        <v>1265</v>
      </c>
      <c r="D339" s="46" t="s">
        <v>98</v>
      </c>
      <c r="E339" s="66"/>
      <c r="F339" s="47"/>
      <c r="G339" s="48" t="s">
        <v>111</v>
      </c>
      <c r="H339" s="49"/>
      <c r="I339" s="49"/>
      <c r="J339" s="49"/>
      <c r="K339" s="50"/>
      <c r="L339" s="49">
        <v>1</v>
      </c>
      <c r="M339" s="49"/>
      <c r="N339" s="49"/>
      <c r="O339" s="50" t="s">
        <v>100</v>
      </c>
      <c r="P339" s="50" t="s">
        <v>101</v>
      </c>
      <c r="Q339" s="50" t="s">
        <v>102</v>
      </c>
      <c r="R339" s="50">
        <v>55</v>
      </c>
      <c r="S339" s="50">
        <v>0</v>
      </c>
      <c r="T339" s="50">
        <v>55</v>
      </c>
      <c r="U339" s="50" t="s">
        <v>102</v>
      </c>
      <c r="V339" s="50"/>
      <c r="W339" s="50"/>
      <c r="X339" s="50"/>
      <c r="Y339" s="51">
        <f t="shared" si="118"/>
        <v>0.01</v>
      </c>
      <c r="Z339" s="52">
        <f>IF(ISBLANK(O339),"",IF(O339="IB",8.63*200,IF(O339="IR",16*100,IF(O339="YT",20*100,IF(O339="YT-XT",24*200,IF(O339="TED",80*100,IF(O339="XT",29*200)))))))</f>
        <v>1600</v>
      </c>
      <c r="AA339" s="52" t="s">
        <v>925</v>
      </c>
      <c r="AB339" s="52"/>
      <c r="AC339" s="52" t="s">
        <v>405</v>
      </c>
      <c r="AD339" s="231">
        <v>-0.13</v>
      </c>
      <c r="AE339" s="49"/>
      <c r="AF339" s="84"/>
      <c r="AG339" s="49"/>
      <c r="AH339" s="49"/>
      <c r="AI339" s="49"/>
      <c r="AJ339" s="226"/>
      <c r="AK339" s="49"/>
      <c r="AL339" s="113">
        <f t="shared" si="119"/>
        <v>-32</v>
      </c>
      <c r="AM339" s="113">
        <f t="shared" si="115"/>
        <v>-1760</v>
      </c>
      <c r="AN339" s="218"/>
      <c r="AO339" s="49"/>
      <c r="AP339" s="49"/>
      <c r="AQ339" s="84" t="str">
        <f>UPPER(RIGHT(Journal_Live[[#This Row],[DURATION ]]))</f>
        <v/>
      </c>
      <c r="AR339" s="49"/>
      <c r="AS339" s="55">
        <v>-0.13</v>
      </c>
      <c r="AT339" s="55">
        <f t="shared" si="116"/>
        <v>0</v>
      </c>
      <c r="AU339" s="54">
        <f t="shared" si="117"/>
        <v>0</v>
      </c>
      <c r="AV339" s="56">
        <f t="shared" si="122"/>
        <v>0</v>
      </c>
      <c r="AW339" s="57" t="s">
        <v>155</v>
      </c>
      <c r="AX339" s="153" t="s">
        <v>1266</v>
      </c>
      <c r="AY339" s="153" t="s">
        <v>1267</v>
      </c>
      <c r="AZ339" s="153"/>
      <c r="BA339" s="153"/>
      <c r="BB339" s="153"/>
      <c r="BC339" s="153"/>
      <c r="BD339" s="151"/>
      <c r="BE339" s="152"/>
      <c r="BF339" s="151"/>
      <c r="BG339" s="94">
        <f>SUM($AV$4:AV339)</f>
        <v>1523.9975815653399</v>
      </c>
      <c r="BH339" s="95">
        <f>SUM($AU$4:AU339)</f>
        <v>23344.780000000177</v>
      </c>
      <c r="BI339" s="80">
        <f>SUMIFS($AU$3:AU340,$Q$3:Q340,"F")</f>
        <v>17668.400000000001</v>
      </c>
      <c r="BJ339" s="80">
        <f>SUMIFS($AU$3:AU340,$Q$3:Q340,"S")</f>
        <v>5727.9999999999909</v>
      </c>
      <c r="BK339" s="87">
        <f>SUMIFS($AU$3:AU340,$P$3:P340,"W")</f>
        <v>19085.580000000136</v>
      </c>
      <c r="BL339" s="87">
        <f>SUMIFS($AU$3:AU340,$P$3:P340,"R")</f>
        <v>5141.9999999999991</v>
      </c>
      <c r="BM339" s="87">
        <f>SUMIFS($AU$3:AU340,$AQ$3:AQ340,"M")</f>
        <v>5261.1799999997265</v>
      </c>
      <c r="BN339" s="87">
        <f>SUMIFS($AU$3:AU340,$AQ$3:AQ340,"H")</f>
        <v>4299.2000000004446</v>
      </c>
      <c r="BO339" s="87">
        <f>SUMIFS($AU$3:AU340,$AQ$3:AQ340,"D")</f>
        <v>5426.0000000000009</v>
      </c>
      <c r="BP339" s="87">
        <f>SUMIFS($AU$3:AU427,$AQ$3:AQ427,"W")</f>
        <v>12022.400000000001</v>
      </c>
      <c r="BQ339" s="87">
        <f>SUMIFS($AU$3:AU340,$Q$3:Q340,"O")</f>
        <v>1828.3800000001911</v>
      </c>
      <c r="BR339" s="87">
        <f>SUMIFS($AU$3:AU340,$AA$3:AA340,"*")</f>
        <v>20345.600000000064</v>
      </c>
      <c r="BS339" s="87">
        <f>SUMIFS($AU$3:AU340,$AB$3:AB340,"*")</f>
        <v>6951.1799999999312</v>
      </c>
      <c r="BT339" s="87">
        <f>SUMIFS($AU$3:AU340,$AC$3:AC340,"*")</f>
        <v>14548.4</v>
      </c>
      <c r="BU339" s="87">
        <f>SUMIFS($AU$3:AU340,$AA$3:AA340,"*",$AB$3:AB340,"*")</f>
        <v>4415.9999999998217</v>
      </c>
      <c r="BV339" s="87">
        <f>SUMIFS($AU$3:AU340,$AA$3:AA340,"*",$AC$3:AC340,"*")</f>
        <v>12244.4</v>
      </c>
      <c r="BW339" s="87">
        <f>SUMIFS($AU$3:AU340,$AB$3:AB340,"*",$AC$3:AC340,"*")</f>
        <v>3279.9999999999982</v>
      </c>
      <c r="BX339" s="87">
        <f>SUMIFS($AV$3:AV340,$Q$3:Q340,"F")</f>
        <v>341.99230875404794</v>
      </c>
      <c r="BY339" s="87">
        <f>SUMIFS($AV$3:AV340,$Q$3:Q340,"S")</f>
        <v>367.10971725586728</v>
      </c>
      <c r="BZ339" s="87">
        <f>SUMIFS($AV$3:AV340,$Q$3:Q340,"O")</f>
        <v>519.33999999986361</v>
      </c>
    </row>
    <row r="340" spans="1:78" ht="15.75" customHeight="1">
      <c r="A340" s="45" t="s">
        <v>1047</v>
      </c>
      <c r="B340" s="59">
        <v>45377</v>
      </c>
      <c r="C340" s="46" t="s">
        <v>1268</v>
      </c>
      <c r="D340" s="46" t="s">
        <v>98</v>
      </c>
      <c r="E340" s="66"/>
      <c r="F340" s="47"/>
      <c r="G340" s="106" t="s">
        <v>804</v>
      </c>
      <c r="H340" s="49"/>
      <c r="I340" s="49"/>
      <c r="J340" s="49"/>
      <c r="K340" s="50"/>
      <c r="L340" s="49">
        <v>1</v>
      </c>
      <c r="M340" s="49">
        <v>2</v>
      </c>
      <c r="N340" s="49"/>
      <c r="O340" s="50" t="s">
        <v>100</v>
      </c>
      <c r="P340" s="50" t="s">
        <v>101</v>
      </c>
      <c r="Q340" s="50" t="s">
        <v>127</v>
      </c>
      <c r="R340" s="50">
        <v>90</v>
      </c>
      <c r="S340" s="50">
        <v>70</v>
      </c>
      <c r="T340" s="50">
        <v>55</v>
      </c>
      <c r="U340" s="50" t="s">
        <v>22</v>
      </c>
      <c r="V340" s="50"/>
      <c r="W340" s="50"/>
      <c r="X340" s="50"/>
      <c r="Y340" s="51">
        <f t="shared" si="118"/>
        <v>0.01</v>
      </c>
      <c r="Z340" s="52">
        <f>IF(ISBLANK(O340),"",IF(O340="IB",8.63*200,IF(O340="IR",16*100,IF(O340="YT",20*100,IF(O340="YT-XT",24*200,IF(O340="TED",80*100,IF(O340="XT",29*200)))))))</f>
        <v>1600</v>
      </c>
      <c r="AA340" s="52"/>
      <c r="AB340" s="52"/>
      <c r="AC340" s="52" t="s">
        <v>1092</v>
      </c>
      <c r="AD340" s="231">
        <f>(0.02*35+0.01*55)/90</f>
        <v>1.3888888888888888E-2</v>
      </c>
      <c r="AE340" s="49"/>
      <c r="AF340" s="84"/>
      <c r="AG340" s="49"/>
      <c r="AH340" s="49"/>
      <c r="AI340" s="49" t="s">
        <v>1269</v>
      </c>
      <c r="AJ340" s="226"/>
      <c r="AK340" s="49"/>
      <c r="AL340" s="113">
        <f>-0.025*Z340</f>
        <v>-40</v>
      </c>
      <c r="AM340" s="113">
        <f t="shared" si="115"/>
        <v>-800</v>
      </c>
      <c r="AN340" s="218"/>
      <c r="AO340" s="49"/>
      <c r="AP340" s="49" t="s">
        <v>670</v>
      </c>
      <c r="AQ340" s="84" t="s">
        <v>101</v>
      </c>
      <c r="AR340" s="49" t="s">
        <v>1270</v>
      </c>
      <c r="AS340" s="55">
        <f>((0.02*40)+(0.02*30)+(0.05*20))/90</f>
        <v>2.6666666666666665E-2</v>
      </c>
      <c r="AT340" s="55">
        <f t="shared" si="116"/>
        <v>1.2777777777777777E-2</v>
      </c>
      <c r="AU340" s="54">
        <f t="shared" si="117"/>
        <v>1839.9999999999998</v>
      </c>
      <c r="AV340" s="56">
        <f t="shared" ref="AV340:AV342" si="123">IF(ISBLANK(AS340),,(AT340*Z340))</f>
        <v>20.444444444444443</v>
      </c>
      <c r="AW340" s="57" t="s">
        <v>101</v>
      </c>
      <c r="AX340" s="153" t="s">
        <v>1271</v>
      </c>
      <c r="AY340" s="153" t="s">
        <v>1272</v>
      </c>
      <c r="AZ340" s="153" t="s">
        <v>1273</v>
      </c>
      <c r="BA340" s="153" t="s">
        <v>1274</v>
      </c>
      <c r="BB340" s="151" t="s">
        <v>1275</v>
      </c>
      <c r="BC340" s="153" t="s">
        <v>1276</v>
      </c>
      <c r="BD340" s="151" t="s">
        <v>1277</v>
      </c>
      <c r="BE340" s="152" t="s">
        <v>1278</v>
      </c>
      <c r="BF340" s="151"/>
      <c r="BG340" s="94">
        <f>SUM($AV$4:AV340)</f>
        <v>1544.4420260097843</v>
      </c>
      <c r="BH340" s="95">
        <f>SUM($AU$4:AU340)</f>
        <v>25184.780000000177</v>
      </c>
      <c r="BI340" s="80">
        <f>SUMIFS($AU$3:AU341,$Q$3:Q341,"F")</f>
        <v>19188.400000000001</v>
      </c>
      <c r="BJ340" s="80">
        <f>SUMIFS($AU$3:AU341,$Q$3:Q341,"S")</f>
        <v>5727.9999999999909</v>
      </c>
      <c r="BK340" s="87">
        <f>SUMIFS($AU$3:AU341,$P$3:P341,"W")</f>
        <v>19085.580000000136</v>
      </c>
      <c r="BL340" s="87">
        <f>SUMIFS($AU$3:AU341,$P$3:P341,"R")</f>
        <v>6661.9999999999991</v>
      </c>
      <c r="BM340" s="87">
        <f>SUMIFS($AU$3:AU341,$AQ$3:AQ341,"M")</f>
        <v>5261.1799999997265</v>
      </c>
      <c r="BN340" s="87">
        <f>SUMIFS($AU$3:AU341,$AQ$3:AQ341,"H")</f>
        <v>4299.2000000004446</v>
      </c>
      <c r="BO340" s="87">
        <f>SUMIFS($AU$3:AU341,$AQ$3:AQ341,"D")</f>
        <v>5426.0000000000009</v>
      </c>
      <c r="BP340" s="87">
        <f>SUMIFS($AU$3:AU428,$AQ$3:AQ428,"W")</f>
        <v>12022.400000000001</v>
      </c>
      <c r="BQ340" s="87">
        <f>SUMIFS($AU$3:AU341,$Q$3:Q341,"O")</f>
        <v>1828.3800000001911</v>
      </c>
      <c r="BR340" s="87">
        <f>SUMIFS($AU$3:AU341,$AA$3:AA341,"*")</f>
        <v>21865.600000000064</v>
      </c>
      <c r="BS340" s="87">
        <f>SUMIFS($AU$3:AU341,$AB$3:AB341,"*")</f>
        <v>6951.1799999999312</v>
      </c>
      <c r="BT340" s="87">
        <f>SUMIFS($AU$3:AU341,$AC$3:AC341,"*")</f>
        <v>16068.4</v>
      </c>
      <c r="BU340" s="87">
        <f>SUMIFS($AU$3:AU341,$AA$3:AA341,"*",$AB$3:AB341,"*")</f>
        <v>4415.9999999998217</v>
      </c>
      <c r="BV340" s="87">
        <f>SUMIFS($AU$3:AU341,$AA$3:AA341,"*",$AC$3:AC341,"*")</f>
        <v>13764.4</v>
      </c>
      <c r="BW340" s="87">
        <f>SUMIFS($AU$3:AU341,$AB$3:AB341,"*",$AC$3:AC341,"*")</f>
        <v>3279.9999999999982</v>
      </c>
      <c r="BX340" s="87">
        <f>SUMIFS($AV$3:AV341,$Q$3:Q341,"F")</f>
        <v>357.19230875404793</v>
      </c>
      <c r="BY340" s="87">
        <f>SUMIFS($AV$3:AV341,$Q$3:Q341,"S")</f>
        <v>367.10971725586728</v>
      </c>
      <c r="BZ340" s="87">
        <f>SUMIFS($AV$3:AV341,$Q$3:Q341,"O")</f>
        <v>519.33999999986361</v>
      </c>
    </row>
    <row r="341" spans="1:78" ht="15.75" customHeight="1">
      <c r="A341" s="45" t="s">
        <v>1047</v>
      </c>
      <c r="B341" s="59">
        <v>45377</v>
      </c>
      <c r="C341" s="46" t="s">
        <v>1279</v>
      </c>
      <c r="D341" s="46" t="s">
        <v>98</v>
      </c>
      <c r="E341" s="66"/>
      <c r="F341" s="47"/>
      <c r="G341" s="160" t="s">
        <v>1069</v>
      </c>
      <c r="H341" s="49"/>
      <c r="I341" s="49"/>
      <c r="J341" s="49"/>
      <c r="K341" s="50"/>
      <c r="L341" s="49"/>
      <c r="M341" s="49">
        <v>1</v>
      </c>
      <c r="N341" s="49"/>
      <c r="O341" s="50" t="s">
        <v>100</v>
      </c>
      <c r="P341" s="50" t="s">
        <v>126</v>
      </c>
      <c r="Q341" s="50" t="s">
        <v>127</v>
      </c>
      <c r="R341" s="50">
        <v>100</v>
      </c>
      <c r="S341" s="50">
        <v>5</v>
      </c>
      <c r="T341" s="50">
        <v>100</v>
      </c>
      <c r="U341" s="50" t="s">
        <v>22</v>
      </c>
      <c r="V341" s="50"/>
      <c r="W341" s="50"/>
      <c r="X341" s="50"/>
      <c r="Y341" s="51">
        <f t="shared" si="118"/>
        <v>0.01</v>
      </c>
      <c r="Z341" s="52">
        <f>IF(ISBLANK(O341),"",IF(O341="IB",8.63*200,IF(O341="IR",16*100,IF(O341="YT",20*100,IF(O341="YT-XT",24*200,IF(O341="TED",80*100,IF(O341="XT",29*200)))))))</f>
        <v>1600</v>
      </c>
      <c r="AA341" s="52" t="s">
        <v>1280</v>
      </c>
      <c r="AB341" s="52"/>
      <c r="AC341" s="52" t="s">
        <v>1281</v>
      </c>
      <c r="AD341" s="231">
        <v>-0.04</v>
      </c>
      <c r="AE341" s="49"/>
      <c r="AF341" s="84"/>
      <c r="AG341" s="49"/>
      <c r="AH341" s="49"/>
      <c r="AI341" s="49">
        <v>-3</v>
      </c>
      <c r="AJ341" s="226"/>
      <c r="AK341" s="49"/>
      <c r="AL341" s="113">
        <f>-0.015*Z341</f>
        <v>-24</v>
      </c>
      <c r="AM341" s="113">
        <f t="shared" si="115"/>
        <v>-2280</v>
      </c>
      <c r="AN341" s="218" t="s">
        <v>1282</v>
      </c>
      <c r="AO341" s="49"/>
      <c r="AP341" s="49" t="s">
        <v>1283</v>
      </c>
      <c r="AQ341" s="84" t="s">
        <v>101</v>
      </c>
      <c r="AR341" s="74">
        <v>45393</v>
      </c>
      <c r="AS341" s="55">
        <f>((-0.04*5)+(-0.03*95))/100</f>
        <v>-3.0500000000000003E-2</v>
      </c>
      <c r="AT341" s="55">
        <f t="shared" si="116"/>
        <v>9.499999999999998E-3</v>
      </c>
      <c r="AU341" s="54">
        <f t="shared" si="117"/>
        <v>1519.9999999999998</v>
      </c>
      <c r="AV341" s="56">
        <f t="shared" si="123"/>
        <v>15.199999999999998</v>
      </c>
      <c r="AW341" s="57" t="s">
        <v>101</v>
      </c>
      <c r="AX341" s="153" t="s">
        <v>1284</v>
      </c>
      <c r="AY341" s="153"/>
      <c r="AZ341" s="153"/>
      <c r="BA341" s="153"/>
      <c r="BB341" s="153"/>
      <c r="BC341" s="153"/>
      <c r="BD341" s="151"/>
      <c r="BE341" s="152"/>
      <c r="BF341" s="151"/>
      <c r="BG341" s="94">
        <f>SUM($AV$4:AV341)</f>
        <v>1559.6420260097843</v>
      </c>
      <c r="BH341" s="95">
        <f>SUM($AU$4:AU341)</f>
        <v>26704.780000000177</v>
      </c>
      <c r="BI341" s="80">
        <f>SUMIFS($AU$3:AU342,$Q$3:Q342,"F")</f>
        <v>19188.400000000001</v>
      </c>
      <c r="BJ341" s="80">
        <f>SUMIFS($AU$3:AU342,$Q$3:Q342,"S")</f>
        <v>5727.9999999999909</v>
      </c>
      <c r="BK341" s="87">
        <f>SUMIFS($AU$3:AU342,$P$3:P342,"W")</f>
        <v>19085.580000000136</v>
      </c>
      <c r="BL341" s="87">
        <f>SUMIFS($AU$3:AU342,$P$3:P342,"R")</f>
        <v>6661.9999999999991</v>
      </c>
      <c r="BM341" s="87">
        <f>SUMIFS($AU$3:AU342,$AQ$3:AQ342,"M")</f>
        <v>5261.1799999997265</v>
      </c>
      <c r="BN341" s="87">
        <f>SUMIFS($AU$3:AU342,$AQ$3:AQ342,"H")</f>
        <v>4299.2000000004446</v>
      </c>
      <c r="BO341" s="87">
        <f>SUMIFS($AU$3:AU342,$AQ$3:AQ342,"D")</f>
        <v>5426.0000000000009</v>
      </c>
      <c r="BP341" s="87">
        <f>SUMIFS($AU$3:AU429,$AQ$3:AQ429,"W")</f>
        <v>12022.400000000001</v>
      </c>
      <c r="BQ341" s="87">
        <f>SUMIFS($AU$3:AU342,$Q$3:Q342,"O")</f>
        <v>1828.3800000001911</v>
      </c>
      <c r="BR341" s="87">
        <f>SUMIFS($AU$3:AU342,$AA$3:AA342,"*")</f>
        <v>21865.600000000064</v>
      </c>
      <c r="BS341" s="87">
        <f>SUMIFS($AU$3:AU342,$AB$3:AB342,"*")</f>
        <v>6951.1799999999312</v>
      </c>
      <c r="BT341" s="87">
        <f>SUMIFS($AU$3:AU342,$AC$3:AC342,"*")</f>
        <v>16068.4</v>
      </c>
      <c r="BU341" s="87">
        <f>SUMIFS($AU$3:AU342,$AA$3:AA342,"*",$AB$3:AB342,"*")</f>
        <v>4415.9999999998217</v>
      </c>
      <c r="BV341" s="87">
        <f>SUMIFS($AU$3:AU342,$AA$3:AA342,"*",$AC$3:AC342,"*")</f>
        <v>13764.4</v>
      </c>
      <c r="BW341" s="87">
        <f>SUMIFS($AU$3:AU342,$AB$3:AB342,"*",$AC$3:AC342,"*")</f>
        <v>3279.9999999999982</v>
      </c>
      <c r="BX341" s="87">
        <f>SUMIFS($AV$3:AV342,$Q$3:Q342,"F")</f>
        <v>357.19230875404793</v>
      </c>
      <c r="BY341" s="87">
        <f>SUMIFS($AV$3:AV342,$Q$3:Q342,"S")</f>
        <v>367.10971725586728</v>
      </c>
      <c r="BZ341" s="87">
        <f>SUMIFS($AV$3:AV342,$Q$3:Q342,"O")</f>
        <v>519.33999999986361</v>
      </c>
    </row>
    <row r="342" spans="1:78" ht="15.75" customHeight="1">
      <c r="A342" s="45" t="s">
        <v>1047</v>
      </c>
      <c r="B342" s="59">
        <v>45377</v>
      </c>
      <c r="C342" s="46" t="s">
        <v>1285</v>
      </c>
      <c r="D342" s="46" t="s">
        <v>98</v>
      </c>
      <c r="E342" s="66"/>
      <c r="F342" s="47"/>
      <c r="G342" s="104" t="s">
        <v>113</v>
      </c>
      <c r="H342" s="49"/>
      <c r="I342" s="49"/>
      <c r="J342" s="49"/>
      <c r="K342" s="50"/>
      <c r="L342" s="49">
        <v>1</v>
      </c>
      <c r="M342" s="49"/>
      <c r="N342" s="49"/>
      <c r="O342" s="50" t="s">
        <v>100</v>
      </c>
      <c r="P342" s="50" t="s">
        <v>126</v>
      </c>
      <c r="Q342" s="50" t="s">
        <v>102</v>
      </c>
      <c r="R342" s="50">
        <v>25</v>
      </c>
      <c r="S342" s="50">
        <v>0</v>
      </c>
      <c r="T342" s="50">
        <v>25</v>
      </c>
      <c r="U342" s="50" t="s">
        <v>22</v>
      </c>
      <c r="V342" s="50"/>
      <c r="W342" s="50"/>
      <c r="X342" s="50"/>
      <c r="Y342" s="51">
        <f t="shared" si="118"/>
        <v>0.01</v>
      </c>
      <c r="Z342" s="52">
        <f>IF(ISBLANK(O342),"",IF(O342="IB",8.63*200,IF(O342="IR",16*100,IF(O342="YT",20*100,IF(O342="YT-XT",24*200,IF(O342="TED",80*100,IF(O342="XT",29*200)))))))</f>
        <v>1600</v>
      </c>
      <c r="AA342" s="52" t="s">
        <v>925</v>
      </c>
      <c r="AB342" s="52"/>
      <c r="AC342" s="52" t="s">
        <v>374</v>
      </c>
      <c r="AD342" s="231">
        <v>-0.06</v>
      </c>
      <c r="AE342" s="49"/>
      <c r="AF342" s="84"/>
      <c r="AG342" s="49"/>
      <c r="AH342" s="49"/>
      <c r="AI342" s="49"/>
      <c r="AJ342" s="226"/>
      <c r="AK342" s="49"/>
      <c r="AL342" s="113">
        <f t="shared" ref="AL342" si="124">-0.02*Z342</f>
        <v>-32</v>
      </c>
      <c r="AM342" s="113">
        <f t="shared" si="115"/>
        <v>-800</v>
      </c>
      <c r="AN342" s="218"/>
      <c r="AO342" s="49"/>
      <c r="AP342" s="49" t="s">
        <v>1286</v>
      </c>
      <c r="AQ342" s="84" t="s">
        <v>142</v>
      </c>
      <c r="AR342" s="49" t="s">
        <v>1287</v>
      </c>
      <c r="AS342" s="55">
        <v>-0.06</v>
      </c>
      <c r="AT342" s="55">
        <f t="shared" si="116"/>
        <v>0</v>
      </c>
      <c r="AU342" s="54">
        <f t="shared" si="117"/>
        <v>0</v>
      </c>
      <c r="AV342" s="56">
        <f t="shared" si="123"/>
        <v>0</v>
      </c>
      <c r="AW342" s="57" t="s">
        <v>155</v>
      </c>
      <c r="AX342" s="153"/>
      <c r="AY342" s="153"/>
      <c r="AZ342" s="153"/>
      <c r="BA342" s="153"/>
      <c r="BB342" s="153"/>
      <c r="BC342" s="153"/>
      <c r="BD342" s="151"/>
      <c r="BE342" s="152"/>
      <c r="BF342" s="151"/>
      <c r="BG342" s="94">
        <f>SUM($AV$4:AV342)</f>
        <v>1559.6420260097843</v>
      </c>
      <c r="BH342" s="95">
        <f>SUM($AU$4:AU342)</f>
        <v>26704.780000000177</v>
      </c>
      <c r="BI342" s="80">
        <f>SUMIFS($AU$3:AU343,$Q$3:Q343,"F")</f>
        <v>19188.400000000001</v>
      </c>
      <c r="BJ342" s="80">
        <f>SUMIFS($AU$3:AU343,$Q$3:Q343,"S")</f>
        <v>5727.9999999999909</v>
      </c>
      <c r="BK342" s="87">
        <f>SUMIFS($AU$3:AU343,$P$3:P343,"W")</f>
        <v>19085.580000000136</v>
      </c>
      <c r="BL342" s="87">
        <f>SUMIFS($AU$3:AU343,$P$3:P343,"R")</f>
        <v>6661.9999999999991</v>
      </c>
      <c r="BM342" s="87">
        <f>SUMIFS($AU$3:AU343,$AQ$3:AQ343,"M")</f>
        <v>5261.1799999997265</v>
      </c>
      <c r="BN342" s="87">
        <f>SUMIFS($AU$3:AU343,$AQ$3:AQ343,"H")</f>
        <v>4299.2000000004446</v>
      </c>
      <c r="BO342" s="87">
        <f>SUMIFS($AU$3:AU343,$AQ$3:AQ343,"D")</f>
        <v>5426.0000000000009</v>
      </c>
      <c r="BP342" s="87">
        <f>SUMIFS($AU$3:AU430,$AQ$3:AQ430,"W")</f>
        <v>12022.400000000001</v>
      </c>
      <c r="BQ342" s="87">
        <f>SUMIFS($AU$3:AU343,$Q$3:Q343,"O")</f>
        <v>1828.3800000001911</v>
      </c>
      <c r="BR342" s="87">
        <f>SUMIFS($AU$3:AU343,$AA$3:AA343,"*")</f>
        <v>21865.600000000064</v>
      </c>
      <c r="BS342" s="87">
        <f>SUMIFS($AU$3:AU343,$AB$3:AB343,"*")</f>
        <v>6951.1799999999312</v>
      </c>
      <c r="BT342" s="87">
        <f>SUMIFS($AU$3:AU343,$AC$3:AC343,"*")</f>
        <v>16068.4</v>
      </c>
      <c r="BU342" s="87">
        <f>SUMIFS($AU$3:AU343,$AA$3:AA343,"*",$AB$3:AB343,"*")</f>
        <v>4415.9999999998217</v>
      </c>
      <c r="BV342" s="87">
        <f>SUMIFS($AU$3:AU343,$AA$3:AA343,"*",$AC$3:AC343,"*")</f>
        <v>13764.4</v>
      </c>
      <c r="BW342" s="87">
        <f>SUMIFS($AU$3:AU343,$AB$3:AB343,"*",$AC$3:AC343,"*")</f>
        <v>3279.9999999999982</v>
      </c>
      <c r="BX342" s="87">
        <f>SUMIFS($AV$3:AV343,$Q$3:Q343,"F")</f>
        <v>357.19230875404793</v>
      </c>
      <c r="BY342" s="87">
        <f>SUMIFS($AV$3:AV343,$Q$3:Q343,"S")</f>
        <v>367.10971725586728</v>
      </c>
      <c r="BZ342" s="87">
        <f>SUMIFS($AV$3:AV343,$Q$3:Q343,"O")</f>
        <v>519.33999999986361</v>
      </c>
    </row>
    <row r="343" spans="1:78" ht="15.75" customHeight="1">
      <c r="A343" s="45" t="s">
        <v>1047</v>
      </c>
      <c r="B343" s="59"/>
      <c r="C343" s="46"/>
      <c r="D343" s="46"/>
      <c r="E343" s="66"/>
      <c r="F343" s="47"/>
      <c r="G343" s="48"/>
      <c r="H343" s="49"/>
      <c r="I343" s="49"/>
      <c r="J343" s="49"/>
      <c r="K343" s="50"/>
      <c r="L343" s="49"/>
      <c r="M343" s="49"/>
      <c r="N343" s="49"/>
      <c r="O343" s="50"/>
      <c r="P343" s="50"/>
      <c r="Q343" s="50"/>
      <c r="R343" s="50"/>
      <c r="S343" s="50"/>
      <c r="T343" s="50"/>
      <c r="U343" s="50"/>
      <c r="V343" s="50"/>
      <c r="W343" s="50"/>
      <c r="X343" s="50"/>
      <c r="Y343" s="51"/>
      <c r="Z343" s="52"/>
      <c r="AA343" s="52"/>
      <c r="AB343" s="52"/>
      <c r="AC343" s="52"/>
      <c r="AD343" s="231"/>
      <c r="AE343" s="49"/>
      <c r="AF343" s="84"/>
      <c r="AG343" s="49"/>
      <c r="AH343" s="49"/>
      <c r="AI343" s="49"/>
      <c r="AJ343" s="226"/>
      <c r="AK343" s="49"/>
      <c r="AL343" s="113">
        <f t="shared" ref="AL343:AL352" si="125">-0.02*Z343</f>
        <v>0</v>
      </c>
      <c r="AM343" s="113">
        <f t="shared" si="115"/>
        <v>0</v>
      </c>
      <c r="AN343" s="218"/>
      <c r="AO343" s="49"/>
      <c r="AP343" s="49"/>
      <c r="AQ343" s="84" t="str">
        <f>UPPER(RIGHT(Journal_Live[[#This Row],[DURATION ]]))</f>
        <v/>
      </c>
      <c r="AR343" s="49"/>
      <c r="AS343" s="55"/>
      <c r="AT343" s="55"/>
      <c r="AU343" s="54"/>
      <c r="AV343" s="56"/>
      <c r="AW343" s="57"/>
      <c r="AX343" s="99" t="s">
        <v>1059</v>
      </c>
      <c r="AY343" s="153" t="s">
        <v>1288</v>
      </c>
      <c r="AZ343" s="153" t="s">
        <v>1289</v>
      </c>
      <c r="BA343" s="153" t="s">
        <v>1290</v>
      </c>
      <c r="BB343" s="153" t="s">
        <v>1291</v>
      </c>
      <c r="BC343" s="153"/>
      <c r="BD343" s="151"/>
      <c r="BE343" s="152"/>
      <c r="BF343" s="151"/>
      <c r="BG343" s="94">
        <f>SUM($AV$4:AV343)</f>
        <v>1559.6420260097843</v>
      </c>
      <c r="BH343" s="95">
        <f>SUM($AU$4:AU343)</f>
        <v>26704.780000000177</v>
      </c>
      <c r="BI343" s="80">
        <f>SUMIFS($AU$3:AU344,$Q$3:Q344,"F")</f>
        <v>19188.400000000001</v>
      </c>
      <c r="BJ343" s="80">
        <f>SUMIFS($AU$3:AU344,$Q$3:Q344,"S")</f>
        <v>5727.9999999999909</v>
      </c>
      <c r="BK343" s="87">
        <f>SUMIFS($AU$3:AU344,$P$3:P344,"W")</f>
        <v>19085.580000000136</v>
      </c>
      <c r="BL343" s="87">
        <f>SUMIFS($AU$3:AU344,$P$3:P344,"R")</f>
        <v>6661.9999999999991</v>
      </c>
      <c r="BM343" s="87">
        <f>SUMIFS($AU$3:AU344,$AQ$3:AQ344,"M")</f>
        <v>5261.1799999997265</v>
      </c>
      <c r="BN343" s="87">
        <f>SUMIFS($AU$3:AU344,$AQ$3:AQ344,"H")</f>
        <v>4299.2000000004446</v>
      </c>
      <c r="BO343" s="87">
        <f>SUMIFS($AU$3:AU344,$AQ$3:AQ344,"D")</f>
        <v>5426.0000000000009</v>
      </c>
      <c r="BP343" s="87">
        <f>SUMIFS($AU$3:AU431,$AQ$3:AQ431,"W")</f>
        <v>12022.400000000001</v>
      </c>
      <c r="BQ343" s="87">
        <f>SUMIFS($AU$3:AU344,$Q$3:Q344,"O")</f>
        <v>1828.3800000001911</v>
      </c>
      <c r="BR343" s="87">
        <f>SUMIFS($AU$3:AU344,$AA$3:AA344,"*")</f>
        <v>21865.600000000064</v>
      </c>
      <c r="BS343" s="87">
        <f>SUMIFS($AU$3:AU344,$AB$3:AB344,"*")</f>
        <v>6951.1799999999312</v>
      </c>
      <c r="BT343" s="87">
        <f>SUMIFS($AU$3:AU344,$AC$3:AC344,"*")</f>
        <v>16068.4</v>
      </c>
      <c r="BU343" s="87">
        <f>SUMIFS($AU$3:AU344,$AA$3:AA344,"*",$AB$3:AB344,"*")</f>
        <v>4415.9999999998217</v>
      </c>
      <c r="BV343" s="87">
        <f>SUMIFS($AU$3:AU344,$AA$3:AA344,"*",$AC$3:AC344,"*")</f>
        <v>13764.4</v>
      </c>
      <c r="BW343" s="87">
        <f>SUMIFS($AU$3:AU344,$AB$3:AB344,"*",$AC$3:AC344,"*")</f>
        <v>3279.9999999999982</v>
      </c>
      <c r="BX343" s="87">
        <f>SUMIFS($AV$3:AV344,$Q$3:Q344,"F")</f>
        <v>357.19230875404793</v>
      </c>
      <c r="BY343" s="87">
        <f>SUMIFS($AV$3:AV344,$Q$3:Q344,"S")</f>
        <v>367.10971725586728</v>
      </c>
      <c r="BZ343" s="87">
        <f>SUMIFS($AV$3:AV344,$Q$3:Q344,"O")</f>
        <v>519.33999999986361</v>
      </c>
    </row>
    <row r="344" spans="1:78" ht="15.75" customHeight="1">
      <c r="A344" s="45" t="s">
        <v>1047</v>
      </c>
      <c r="B344" s="59"/>
      <c r="C344" s="46"/>
      <c r="D344" s="46"/>
      <c r="E344" s="66"/>
      <c r="F344" s="47"/>
      <c r="G344" s="48"/>
      <c r="H344" s="49"/>
      <c r="I344" s="49"/>
      <c r="J344" s="49"/>
      <c r="K344" s="50"/>
      <c r="L344" s="49"/>
      <c r="M344" s="49"/>
      <c r="N344" s="49"/>
      <c r="O344" s="50"/>
      <c r="P344" s="50"/>
      <c r="Q344" s="50"/>
      <c r="R344" s="50"/>
      <c r="S344" s="50"/>
      <c r="T344" s="50"/>
      <c r="U344" s="50"/>
      <c r="V344" s="50"/>
      <c r="W344" s="50"/>
      <c r="X344" s="50"/>
      <c r="Y344" s="51"/>
      <c r="Z344" s="52"/>
      <c r="AA344" s="52"/>
      <c r="AB344" s="52"/>
      <c r="AC344" s="52"/>
      <c r="AD344" s="231"/>
      <c r="AE344" s="49"/>
      <c r="AF344" s="84"/>
      <c r="AG344" s="49"/>
      <c r="AH344" s="49"/>
      <c r="AI344" s="49"/>
      <c r="AJ344" s="226"/>
      <c r="AK344" s="49"/>
      <c r="AL344" s="113">
        <f t="shared" si="125"/>
        <v>0</v>
      </c>
      <c r="AM344" s="113">
        <f t="shared" si="115"/>
        <v>0</v>
      </c>
      <c r="AN344" s="218"/>
      <c r="AO344" s="49"/>
      <c r="AP344" s="49"/>
      <c r="AQ344" s="84" t="str">
        <f>UPPER(RIGHT(Journal_Live[[#This Row],[DURATION ]]))</f>
        <v/>
      </c>
      <c r="AR344" s="49"/>
      <c r="AS344" s="55"/>
      <c r="AT344" s="55"/>
      <c r="AU344" s="54"/>
      <c r="AV344" s="56"/>
      <c r="AW344" s="57"/>
      <c r="AX344" s="153" t="s">
        <v>1292</v>
      </c>
      <c r="AY344" s="153" t="s">
        <v>1293</v>
      </c>
      <c r="AZ344" s="153"/>
      <c r="BA344" s="153"/>
      <c r="BB344" s="153"/>
      <c r="BC344" s="153"/>
      <c r="BD344" s="151"/>
      <c r="BE344" s="152"/>
      <c r="BF344" s="151"/>
      <c r="BG344" s="94">
        <f>SUM($AV$4:AV344)</f>
        <v>1559.6420260097843</v>
      </c>
      <c r="BH344" s="95">
        <f>SUM($AU$4:AU344)</f>
        <v>26704.780000000177</v>
      </c>
      <c r="BI344" s="80">
        <f>SUMIFS($AU$3:AU345,$Q$3:Q345,"F")</f>
        <v>19188.400000000001</v>
      </c>
      <c r="BJ344" s="80">
        <f>SUMIFS($AU$3:AU345,$Q$3:Q345,"S")</f>
        <v>5727.9999999999909</v>
      </c>
      <c r="BK344" s="87">
        <f>SUMIFS($AU$3:AU345,$P$3:P345,"W")</f>
        <v>19085.580000000136</v>
      </c>
      <c r="BL344" s="87">
        <f>SUMIFS($AU$3:AU345,$P$3:P345,"R")</f>
        <v>6661.9999999999991</v>
      </c>
      <c r="BM344" s="87">
        <f>SUMIFS($AU$3:AU345,$AQ$3:AQ345,"M")</f>
        <v>5261.1799999997265</v>
      </c>
      <c r="BN344" s="87">
        <f>SUMIFS($AU$3:AU345,$AQ$3:AQ345,"H")</f>
        <v>4299.2000000004446</v>
      </c>
      <c r="BO344" s="87">
        <f>SUMIFS($AU$3:AU345,$AQ$3:AQ345,"D")</f>
        <v>5426.0000000000009</v>
      </c>
      <c r="BP344" s="87">
        <f>SUMIFS($AU$3:AU432,$AQ$3:AQ432,"W")</f>
        <v>12022.400000000001</v>
      </c>
      <c r="BQ344" s="87">
        <f>SUMIFS($AU$3:AU345,$Q$3:Q345,"O")</f>
        <v>1828.3800000001911</v>
      </c>
      <c r="BR344" s="87">
        <f>SUMIFS($AU$3:AU345,$AA$3:AA345,"*")</f>
        <v>21865.600000000064</v>
      </c>
      <c r="BS344" s="87">
        <f>SUMIFS($AU$3:AU345,$AB$3:AB345,"*")</f>
        <v>6951.1799999999312</v>
      </c>
      <c r="BT344" s="87">
        <f>SUMIFS($AU$3:AU345,$AC$3:AC345,"*")</f>
        <v>16068.4</v>
      </c>
      <c r="BU344" s="87">
        <f>SUMIFS($AU$3:AU345,$AA$3:AA345,"*",$AB$3:AB345,"*")</f>
        <v>4415.9999999998217</v>
      </c>
      <c r="BV344" s="87">
        <f>SUMIFS($AU$3:AU345,$AA$3:AA345,"*",$AC$3:AC345,"*")</f>
        <v>13764.4</v>
      </c>
      <c r="BW344" s="87">
        <f>SUMIFS($AU$3:AU345,$AB$3:AB345,"*",$AC$3:AC345,"*")</f>
        <v>3279.9999999999982</v>
      </c>
      <c r="BX344" s="87">
        <f>SUMIFS($AV$3:AV345,$Q$3:Q345,"F")</f>
        <v>357.19230875404793</v>
      </c>
      <c r="BY344" s="87">
        <f>SUMIFS($AV$3:AV345,$Q$3:Q345,"S")</f>
        <v>367.10971725586728</v>
      </c>
      <c r="BZ344" s="87">
        <f>SUMIFS($AV$3:AV345,$Q$3:Q345,"O")</f>
        <v>519.33999999986361</v>
      </c>
    </row>
    <row r="345" spans="1:78" ht="15.75" customHeight="1">
      <c r="A345" s="45" t="s">
        <v>1047</v>
      </c>
      <c r="B345" s="59"/>
      <c r="C345" s="46"/>
      <c r="D345" s="46"/>
      <c r="E345" s="66"/>
      <c r="F345" s="47"/>
      <c r="G345" s="48"/>
      <c r="H345" s="49"/>
      <c r="I345" s="49"/>
      <c r="J345" s="49"/>
      <c r="K345" s="50"/>
      <c r="L345" s="49"/>
      <c r="M345" s="49"/>
      <c r="N345" s="49"/>
      <c r="O345" s="50"/>
      <c r="P345" s="50"/>
      <c r="Q345" s="50"/>
      <c r="R345" s="50"/>
      <c r="S345" s="50"/>
      <c r="T345" s="50"/>
      <c r="U345" s="50"/>
      <c r="V345" s="50"/>
      <c r="W345" s="50"/>
      <c r="X345" s="50"/>
      <c r="Y345" s="51"/>
      <c r="Z345" s="52"/>
      <c r="AA345" s="52"/>
      <c r="AB345" s="52"/>
      <c r="AC345" s="52"/>
      <c r="AD345" s="231"/>
      <c r="AE345" s="49"/>
      <c r="AF345" s="84"/>
      <c r="AG345" s="49"/>
      <c r="AH345" s="49"/>
      <c r="AI345" s="49"/>
      <c r="AJ345" s="226"/>
      <c r="AK345" s="49"/>
      <c r="AL345" s="113">
        <f t="shared" si="125"/>
        <v>0</v>
      </c>
      <c r="AM345" s="113">
        <f t="shared" si="115"/>
        <v>0</v>
      </c>
      <c r="AN345" s="218"/>
      <c r="AO345" s="49"/>
      <c r="AP345" s="49"/>
      <c r="AQ345" s="84" t="str">
        <f>UPPER(RIGHT(Journal_Live[[#This Row],[DURATION ]]))</f>
        <v/>
      </c>
      <c r="AR345" s="49"/>
      <c r="AS345" s="55"/>
      <c r="AT345" s="55"/>
      <c r="AU345" s="54"/>
      <c r="AV345" s="56"/>
      <c r="AW345" s="57"/>
      <c r="AX345" s="99" t="s">
        <v>992</v>
      </c>
      <c r="AY345" s="153" t="s">
        <v>1294</v>
      </c>
      <c r="AZ345" s="153" t="s">
        <v>1295</v>
      </c>
      <c r="BA345" s="153" t="s">
        <v>1296</v>
      </c>
      <c r="BB345" s="153" t="s">
        <v>1297</v>
      </c>
      <c r="BC345" s="153" t="s">
        <v>1298</v>
      </c>
      <c r="BD345" s="151"/>
      <c r="BE345" s="152"/>
      <c r="BF345" s="151"/>
      <c r="BG345" s="94">
        <f>SUM($AV$4:AV345)</f>
        <v>1559.6420260097843</v>
      </c>
      <c r="BH345" s="95">
        <f>SUM($AU$4:AU345)</f>
        <v>26704.780000000177</v>
      </c>
      <c r="BI345" s="80">
        <f>SUMIFS($AU$3:AU346,$Q$3:Q346,"F")</f>
        <v>19188.400000000001</v>
      </c>
      <c r="BJ345" s="80">
        <f>SUMIFS($AU$3:AU346,$Q$3:Q346,"S")</f>
        <v>5727.9999999999909</v>
      </c>
      <c r="BK345" s="87">
        <f>SUMIFS($AU$3:AU346,$P$3:P346,"W")</f>
        <v>19085.580000000136</v>
      </c>
      <c r="BL345" s="87">
        <f>SUMIFS($AU$3:AU346,$P$3:P346,"R")</f>
        <v>6661.9999999999991</v>
      </c>
      <c r="BM345" s="87">
        <f>SUMIFS($AU$3:AU346,$AQ$3:AQ346,"M")</f>
        <v>5261.1799999997265</v>
      </c>
      <c r="BN345" s="87">
        <f>SUMIFS($AU$3:AU346,$AQ$3:AQ346,"H")</f>
        <v>4299.2000000004446</v>
      </c>
      <c r="BO345" s="87">
        <f>SUMIFS($AU$3:AU346,$AQ$3:AQ346,"D")</f>
        <v>5426.0000000000009</v>
      </c>
      <c r="BP345" s="87">
        <f>SUMIFS($AU$3:AU433,$AQ$3:AQ433,"W")</f>
        <v>12022.400000000001</v>
      </c>
      <c r="BQ345" s="87">
        <f>SUMIFS($AU$3:AU346,$Q$3:Q346,"O")</f>
        <v>1828.3800000001911</v>
      </c>
      <c r="BR345" s="87">
        <f>SUMIFS($AU$3:AU346,$AA$3:AA346,"*")</f>
        <v>21865.600000000064</v>
      </c>
      <c r="BS345" s="87">
        <f>SUMIFS($AU$3:AU346,$AB$3:AB346,"*")</f>
        <v>6951.1799999999312</v>
      </c>
      <c r="BT345" s="87">
        <f>SUMIFS($AU$3:AU346,$AC$3:AC346,"*")</f>
        <v>16068.4</v>
      </c>
      <c r="BU345" s="87">
        <f>SUMIFS($AU$3:AU346,$AA$3:AA346,"*",$AB$3:AB346,"*")</f>
        <v>4415.9999999998217</v>
      </c>
      <c r="BV345" s="87">
        <f>SUMIFS($AU$3:AU346,$AA$3:AA346,"*",$AC$3:AC346,"*")</f>
        <v>13764.4</v>
      </c>
      <c r="BW345" s="87">
        <f>SUMIFS($AU$3:AU346,$AB$3:AB346,"*",$AC$3:AC346,"*")</f>
        <v>3279.9999999999982</v>
      </c>
      <c r="BX345" s="87">
        <f>SUMIFS($AV$3:AV346,$Q$3:Q346,"F")</f>
        <v>357.19230875404793</v>
      </c>
      <c r="BY345" s="87">
        <f>SUMIFS($AV$3:AV346,$Q$3:Q346,"S")</f>
        <v>367.10971725586728</v>
      </c>
      <c r="BZ345" s="87">
        <f>SUMIFS($AV$3:AV346,$Q$3:Q346,"O")</f>
        <v>519.33999999986361</v>
      </c>
    </row>
    <row r="346" spans="1:78" ht="15.75" customHeight="1">
      <c r="A346" s="45" t="s">
        <v>1047</v>
      </c>
      <c r="B346" s="59">
        <v>45378</v>
      </c>
      <c r="C346" s="46" t="s">
        <v>179</v>
      </c>
      <c r="D346" s="46" t="s">
        <v>186</v>
      </c>
      <c r="E346" s="66" t="s">
        <v>1299</v>
      </c>
      <c r="F346" s="47" t="s">
        <v>1300</v>
      </c>
      <c r="G346" s="48"/>
      <c r="H346" s="49"/>
      <c r="I346" s="49"/>
      <c r="J346" s="49">
        <v>1</v>
      </c>
      <c r="K346" s="50" t="s">
        <v>155</v>
      </c>
      <c r="L346" s="49"/>
      <c r="M346" s="49"/>
      <c r="N346" s="49"/>
      <c r="O346" s="50"/>
      <c r="P346" s="50"/>
      <c r="Q346" s="50"/>
      <c r="R346" s="50"/>
      <c r="S346" s="50"/>
      <c r="T346" s="50"/>
      <c r="U346" s="50"/>
      <c r="V346" s="50"/>
      <c r="W346" s="50"/>
      <c r="X346" s="50"/>
      <c r="Y346" s="51"/>
      <c r="Z346" s="52"/>
      <c r="AA346" s="52"/>
      <c r="AB346" s="52"/>
      <c r="AC346" s="52"/>
      <c r="AD346" s="231"/>
      <c r="AE346" s="49"/>
      <c r="AF346" s="84"/>
      <c r="AG346" s="49"/>
      <c r="AH346" s="49"/>
      <c r="AI346" s="49"/>
      <c r="AJ346" s="226"/>
      <c r="AK346" s="49"/>
      <c r="AL346" s="113">
        <f t="shared" si="125"/>
        <v>0</v>
      </c>
      <c r="AM346" s="113">
        <f t="shared" si="115"/>
        <v>0</v>
      </c>
      <c r="AN346" s="218"/>
      <c r="AO346" s="49"/>
      <c r="AP346" s="49"/>
      <c r="AQ346" s="84" t="str">
        <f>UPPER(RIGHT(Journal_Live[[#This Row],[DURATION ]]))</f>
        <v/>
      </c>
      <c r="AR346" s="49"/>
      <c r="AS346" s="55"/>
      <c r="AT346" s="55"/>
      <c r="AU346" s="54"/>
      <c r="AV346" s="56"/>
      <c r="AW346" s="57"/>
      <c r="AX346" s="153"/>
      <c r="AY346" s="153"/>
      <c r="AZ346" s="153"/>
      <c r="BA346" s="153"/>
      <c r="BB346" s="153"/>
      <c r="BC346" s="153"/>
      <c r="BD346" s="151"/>
      <c r="BE346" s="152"/>
      <c r="BF346" s="151"/>
      <c r="BG346" s="94">
        <f>SUM($AV$4:AV346)</f>
        <v>1559.6420260097843</v>
      </c>
      <c r="BH346" s="95">
        <f>SUM($AU$4:AU346)</f>
        <v>26704.780000000177</v>
      </c>
      <c r="BI346" s="80">
        <f>SUMIFS($AU$3:AU347,$Q$3:Q347,"F")</f>
        <v>19188.400000000001</v>
      </c>
      <c r="BJ346" s="80">
        <f>SUMIFS($AU$3:AU347,$Q$3:Q347,"S")</f>
        <v>5727.9999999999909</v>
      </c>
      <c r="BK346" s="87">
        <f>SUMIFS($AU$3:AU347,$P$3:P347,"W")</f>
        <v>19085.580000000136</v>
      </c>
      <c r="BL346" s="87">
        <f>SUMIFS($AU$3:AU347,$P$3:P347,"R")</f>
        <v>6661.9999999999991</v>
      </c>
      <c r="BM346" s="87">
        <f>SUMIFS($AU$3:AU347,$AQ$3:AQ347,"M")</f>
        <v>5261.1799999997265</v>
      </c>
      <c r="BN346" s="87">
        <f>SUMIFS($AU$3:AU347,$AQ$3:AQ347,"H")</f>
        <v>4299.2000000004446</v>
      </c>
      <c r="BO346" s="87">
        <f>SUMIFS($AU$3:AU347,$AQ$3:AQ347,"D")</f>
        <v>5426.0000000000009</v>
      </c>
      <c r="BP346" s="87">
        <f>SUMIFS($AU$3:AU434,$AQ$3:AQ434,"W")</f>
        <v>12022.400000000001</v>
      </c>
      <c r="BQ346" s="87">
        <f>SUMIFS($AU$3:AU347,$Q$3:Q347,"O")</f>
        <v>1828.3800000001911</v>
      </c>
      <c r="BR346" s="87">
        <f>SUMIFS($AU$3:AU347,$AA$3:AA347,"*")</f>
        <v>21865.600000000064</v>
      </c>
      <c r="BS346" s="87">
        <f>SUMIFS($AU$3:AU347,$AB$3:AB347,"*")</f>
        <v>6951.1799999999312</v>
      </c>
      <c r="BT346" s="87">
        <f>SUMIFS($AU$3:AU347,$AC$3:AC347,"*")</f>
        <v>16068.4</v>
      </c>
      <c r="BU346" s="87">
        <f>SUMIFS($AU$3:AU347,$AA$3:AA347,"*",$AB$3:AB347,"*")</f>
        <v>4415.9999999998217</v>
      </c>
      <c r="BV346" s="87">
        <f>SUMIFS($AU$3:AU347,$AA$3:AA347,"*",$AC$3:AC347,"*")</f>
        <v>13764.4</v>
      </c>
      <c r="BW346" s="87">
        <f>SUMIFS($AU$3:AU347,$AB$3:AB347,"*",$AC$3:AC347,"*")</f>
        <v>3279.9999999999982</v>
      </c>
      <c r="BX346" s="87">
        <f>SUMIFS($AV$3:AV347,$Q$3:Q347,"F")</f>
        <v>357.19230875404793</v>
      </c>
      <c r="BY346" s="87">
        <f>SUMIFS($AV$3:AV347,$Q$3:Q347,"S")</f>
        <v>367.10971725586728</v>
      </c>
      <c r="BZ346" s="87">
        <f>SUMIFS($AV$3:AV347,$Q$3:Q347,"O")</f>
        <v>519.33999999986361</v>
      </c>
    </row>
    <row r="347" spans="1:78" ht="15.75" customHeight="1">
      <c r="A347" s="45" t="s">
        <v>1047</v>
      </c>
      <c r="B347" s="59">
        <v>45378</v>
      </c>
      <c r="C347" s="46" t="s">
        <v>1301</v>
      </c>
      <c r="D347" s="46" t="s">
        <v>186</v>
      </c>
      <c r="E347" s="66"/>
      <c r="F347" s="47"/>
      <c r="G347" s="104" t="s">
        <v>459</v>
      </c>
      <c r="H347" s="49"/>
      <c r="I347" s="49"/>
      <c r="J347" s="49"/>
      <c r="K347" s="50"/>
      <c r="L347" s="49">
        <v>1</v>
      </c>
      <c r="M347" s="49"/>
      <c r="N347" s="49"/>
      <c r="O347" s="50" t="s">
        <v>100</v>
      </c>
      <c r="P347" s="50" t="s">
        <v>101</v>
      </c>
      <c r="Q347" s="50" t="s">
        <v>102</v>
      </c>
      <c r="R347" s="50">
        <v>40</v>
      </c>
      <c r="S347" s="161">
        <v>20</v>
      </c>
      <c r="T347" s="50">
        <v>20</v>
      </c>
      <c r="U347" s="50" t="s">
        <v>22</v>
      </c>
      <c r="V347" s="50"/>
      <c r="W347" s="50"/>
      <c r="X347" s="50"/>
      <c r="Y347" s="51">
        <f>IF(ISBLANK(O347),"",(IF(O347=UPPER("IB"),0.005,0.01)))</f>
        <v>0.01</v>
      </c>
      <c r="Z347" s="52">
        <f>IF(ISBLANK(O347),"",IF(O347="IB",8.63*200,IF(O347="IR",16*100,IF(O347="YT",20*100,IF(O347="YT-XT",24*200,IF(O347="TED",80*100,IF(O347="XT",29*200)))))))</f>
        <v>1600</v>
      </c>
      <c r="AA347" s="97" t="s">
        <v>1302</v>
      </c>
      <c r="AB347" s="52"/>
      <c r="AC347" s="52"/>
      <c r="AD347" s="231">
        <v>-0.28000000000000003</v>
      </c>
      <c r="AE347" s="49"/>
      <c r="AF347" s="84"/>
      <c r="AG347" s="49"/>
      <c r="AH347" s="49"/>
      <c r="AI347" s="49"/>
      <c r="AJ347" s="226"/>
      <c r="AK347" s="49"/>
      <c r="AL347" s="113">
        <f t="shared" si="125"/>
        <v>-32</v>
      </c>
      <c r="AM347" s="113">
        <f t="shared" si="115"/>
        <v>-640</v>
      </c>
      <c r="AN347" s="218"/>
      <c r="AO347" s="49"/>
      <c r="AP347" s="49"/>
      <c r="AQ347" s="84" t="s">
        <v>142</v>
      </c>
      <c r="AR347" s="74">
        <v>45378</v>
      </c>
      <c r="AS347" s="55">
        <v>-0.28000000000000003</v>
      </c>
      <c r="AT347" s="55">
        <f>IF(ISBLANK(AS347),,IF(U347="S",AD347-AS347,AS347-AD347))</f>
        <v>0</v>
      </c>
      <c r="AU347" s="54">
        <f>AV347*R347</f>
        <v>0</v>
      </c>
      <c r="AV347" s="56">
        <f t="shared" ref="AV347" si="126">IF(ISBLANK(AS347),,(AT347*Z347))</f>
        <v>0</v>
      </c>
      <c r="AW347" s="57" t="s">
        <v>155</v>
      </c>
      <c r="AX347" s="153" t="s">
        <v>1303</v>
      </c>
      <c r="AY347" s="153" t="s">
        <v>1304</v>
      </c>
      <c r="AZ347" s="151" t="s">
        <v>1305</v>
      </c>
      <c r="BA347" s="153" t="s">
        <v>1306</v>
      </c>
      <c r="BB347" s="153" t="s">
        <v>1307</v>
      </c>
      <c r="BC347" s="153" t="s">
        <v>1308</v>
      </c>
      <c r="BD347" s="151"/>
      <c r="BE347" s="152"/>
      <c r="BF347" s="151"/>
      <c r="BG347" s="94">
        <f>SUM($AV$4:AV347)</f>
        <v>1559.6420260097843</v>
      </c>
      <c r="BH347" s="95">
        <f>SUM($AU$4:AU347)</f>
        <v>26704.780000000177</v>
      </c>
      <c r="BI347" s="80">
        <f>SUMIFS($AU$3:AU348,$Q$3:Q348,"F")</f>
        <v>19188.400000000001</v>
      </c>
      <c r="BJ347" s="80">
        <f>SUMIFS($AU$3:AU348,$Q$3:Q348,"S")</f>
        <v>5727.9999999999909</v>
      </c>
      <c r="BK347" s="87">
        <f>SUMIFS($AU$3:AU348,$P$3:P348,"W")</f>
        <v>19085.580000000136</v>
      </c>
      <c r="BL347" s="87">
        <f>SUMIFS($AU$3:AU348,$P$3:P348,"R")</f>
        <v>6661.9999999999991</v>
      </c>
      <c r="BM347" s="87">
        <f>SUMIFS($AU$3:AU348,$AQ$3:AQ348,"M")</f>
        <v>5261.1799999997265</v>
      </c>
      <c r="BN347" s="87">
        <f>SUMIFS($AU$3:AU348,$AQ$3:AQ348,"H")</f>
        <v>4299.2000000004446</v>
      </c>
      <c r="BO347" s="87">
        <f>SUMIFS($AU$3:AU348,$AQ$3:AQ348,"D")</f>
        <v>5426.0000000000009</v>
      </c>
      <c r="BP347" s="87">
        <f>SUMIFS($AU$3:AU435,$AQ$3:AQ435,"W")</f>
        <v>12022.400000000001</v>
      </c>
      <c r="BQ347" s="87">
        <f>SUMIFS($AU$3:AU348,$Q$3:Q348,"O")</f>
        <v>1828.3800000001911</v>
      </c>
      <c r="BR347" s="87">
        <f>SUMIFS($AU$3:AU348,$AA$3:AA348,"*")</f>
        <v>21865.600000000064</v>
      </c>
      <c r="BS347" s="87">
        <f>SUMIFS($AU$3:AU348,$AB$3:AB348,"*")</f>
        <v>6951.1799999999312</v>
      </c>
      <c r="BT347" s="87">
        <f>SUMIFS($AU$3:AU348,$AC$3:AC348,"*")</f>
        <v>16068.4</v>
      </c>
      <c r="BU347" s="87">
        <f>SUMIFS($AU$3:AU348,$AA$3:AA348,"*",$AB$3:AB348,"*")</f>
        <v>4415.9999999998217</v>
      </c>
      <c r="BV347" s="87">
        <f>SUMIFS($AU$3:AU348,$AA$3:AA348,"*",$AC$3:AC348,"*")</f>
        <v>13764.4</v>
      </c>
      <c r="BW347" s="87">
        <f>SUMIFS($AU$3:AU348,$AB$3:AB348,"*",$AC$3:AC348,"*")</f>
        <v>3279.9999999999982</v>
      </c>
      <c r="BX347" s="87">
        <f>SUMIFS($AV$3:AV348,$Q$3:Q348,"F")</f>
        <v>357.19230875404793</v>
      </c>
      <c r="BY347" s="87">
        <f>SUMIFS($AV$3:AV348,$Q$3:Q348,"S")</f>
        <v>367.10971725586728</v>
      </c>
      <c r="BZ347" s="87">
        <f>SUMIFS($AV$3:AV348,$Q$3:Q348,"O")</f>
        <v>519.33999999986361</v>
      </c>
    </row>
    <row r="348" spans="1:78" ht="15.75" customHeight="1">
      <c r="A348" s="45" t="s">
        <v>1047</v>
      </c>
      <c r="B348" s="59"/>
      <c r="C348" s="46"/>
      <c r="D348" s="46"/>
      <c r="E348" s="66"/>
      <c r="F348" s="47"/>
      <c r="G348" s="48"/>
      <c r="H348" s="49"/>
      <c r="I348" s="49"/>
      <c r="J348" s="49"/>
      <c r="K348" s="50"/>
      <c r="L348" s="49"/>
      <c r="M348" s="49"/>
      <c r="N348" s="49"/>
      <c r="O348" s="50"/>
      <c r="P348" s="50"/>
      <c r="Q348" s="50"/>
      <c r="R348" s="50"/>
      <c r="S348" s="50"/>
      <c r="T348" s="50"/>
      <c r="U348" s="50"/>
      <c r="V348" s="50"/>
      <c r="W348" s="50"/>
      <c r="X348" s="50"/>
      <c r="Y348" s="51"/>
      <c r="Z348" s="52"/>
      <c r="AA348" s="97"/>
      <c r="AB348" s="52"/>
      <c r="AC348" s="52"/>
      <c r="AD348" s="231"/>
      <c r="AE348" s="49"/>
      <c r="AF348" s="84"/>
      <c r="AG348" s="49"/>
      <c r="AH348" s="49"/>
      <c r="AI348" s="49"/>
      <c r="AJ348" s="226"/>
      <c r="AK348" s="49"/>
      <c r="AL348" s="113">
        <f t="shared" ref="AL348" si="127">-0.02*Z348</f>
        <v>0</v>
      </c>
      <c r="AM348" s="113">
        <f t="shared" si="115"/>
        <v>0</v>
      </c>
      <c r="AN348" s="218"/>
      <c r="AO348" s="49"/>
      <c r="AP348" s="49"/>
      <c r="AQ348" s="84"/>
      <c r="AR348" s="49"/>
      <c r="AS348" s="55"/>
      <c r="AT348" s="55"/>
      <c r="AU348" s="54"/>
      <c r="AV348" s="56"/>
      <c r="AW348" s="57"/>
      <c r="AX348" s="153"/>
      <c r="AY348" s="153"/>
      <c r="AZ348" s="153"/>
      <c r="BA348" s="153"/>
      <c r="BB348" s="153"/>
      <c r="BC348" s="153"/>
      <c r="BD348" s="151"/>
      <c r="BE348" s="152"/>
      <c r="BF348" s="151"/>
      <c r="BG348" s="94">
        <f>SUM($AV$4:AV348)</f>
        <v>1559.6420260097843</v>
      </c>
      <c r="BH348" s="95">
        <f>SUM($AU$4:AU348)</f>
        <v>26704.780000000177</v>
      </c>
      <c r="BI348" s="80">
        <f>SUMIFS($AU$3:AU349,$Q$3:Q349,"F")</f>
        <v>19188.400000000001</v>
      </c>
      <c r="BJ348" s="80">
        <f>SUMIFS($AU$3:AU349,$Q$3:Q349,"S")</f>
        <v>5727.9999999999909</v>
      </c>
      <c r="BK348" s="87">
        <f>SUMIFS($AU$3:AU349,$P$3:P349,"W")</f>
        <v>19085.580000000136</v>
      </c>
      <c r="BL348" s="87">
        <f>SUMIFS($AU$3:AU349,$P$3:P349,"R")</f>
        <v>6661.9999999999991</v>
      </c>
      <c r="BM348" s="87">
        <f>SUMIFS($AU$3:AU349,$AQ$3:AQ349,"M")</f>
        <v>5261.1799999997265</v>
      </c>
      <c r="BN348" s="87">
        <f>SUMIFS($AU$3:AU349,$AQ$3:AQ349,"H")</f>
        <v>4299.2000000004446</v>
      </c>
      <c r="BO348" s="87">
        <f>SUMIFS($AU$3:AU349,$AQ$3:AQ349,"D")</f>
        <v>5426.0000000000009</v>
      </c>
      <c r="BP348" s="87">
        <f>SUMIFS($AU$3:AU436,$AQ$3:AQ436,"W")</f>
        <v>12022.400000000001</v>
      </c>
      <c r="BQ348" s="87">
        <f>SUMIFS($AU$3:AU349,$Q$3:Q349,"O")</f>
        <v>1828.3800000001911</v>
      </c>
      <c r="BR348" s="87">
        <f>SUMIFS($AU$3:AU349,$AA$3:AA349,"*")</f>
        <v>21865.600000000064</v>
      </c>
      <c r="BS348" s="87">
        <f>SUMIFS($AU$3:AU349,$AB$3:AB349,"*")</f>
        <v>6951.1799999999312</v>
      </c>
      <c r="BT348" s="87">
        <f>SUMIFS($AU$3:AU349,$AC$3:AC349,"*")</f>
        <v>16068.4</v>
      </c>
      <c r="BU348" s="87">
        <f>SUMIFS($AU$3:AU349,$AA$3:AA349,"*",$AB$3:AB349,"*")</f>
        <v>4415.9999999998217</v>
      </c>
      <c r="BV348" s="87">
        <f>SUMIFS($AU$3:AU349,$AA$3:AA349,"*",$AC$3:AC349,"*")</f>
        <v>13764.4</v>
      </c>
      <c r="BW348" s="87">
        <f>SUMIFS($AU$3:AU349,$AB$3:AB349,"*",$AC$3:AC349,"*")</f>
        <v>3279.9999999999982</v>
      </c>
      <c r="BX348" s="87">
        <f>SUMIFS($AV$3:AV349,$Q$3:Q349,"F")</f>
        <v>357.19230875404793</v>
      </c>
      <c r="BY348" s="87">
        <f>SUMIFS($AV$3:AV349,$Q$3:Q349,"S")</f>
        <v>367.10971725586728</v>
      </c>
      <c r="BZ348" s="87">
        <f>SUMIFS($AV$3:AV349,$Q$3:Q349,"O")</f>
        <v>519.33999999986361</v>
      </c>
    </row>
    <row r="349" spans="1:78" ht="15.75" customHeight="1">
      <c r="A349" s="45" t="s">
        <v>1047</v>
      </c>
      <c r="B349" s="59"/>
      <c r="C349" s="46"/>
      <c r="D349" s="46"/>
      <c r="E349" s="66"/>
      <c r="F349" s="47"/>
      <c r="G349" s="48"/>
      <c r="H349" s="49"/>
      <c r="I349" s="49"/>
      <c r="J349" s="49"/>
      <c r="K349" s="50"/>
      <c r="L349" s="49"/>
      <c r="M349" s="49"/>
      <c r="N349" s="49"/>
      <c r="O349" s="50"/>
      <c r="P349" s="50"/>
      <c r="Q349" s="50"/>
      <c r="R349" s="50"/>
      <c r="S349" s="50"/>
      <c r="T349" s="50"/>
      <c r="U349" s="50"/>
      <c r="V349" s="50"/>
      <c r="W349" s="50"/>
      <c r="X349" s="50"/>
      <c r="Y349" s="51"/>
      <c r="Z349" s="52"/>
      <c r="AA349" s="97"/>
      <c r="AB349" s="52"/>
      <c r="AC349" s="52"/>
      <c r="AD349" s="231"/>
      <c r="AE349" s="49"/>
      <c r="AF349" s="84"/>
      <c r="AG349" s="49"/>
      <c r="AH349" s="49"/>
      <c r="AI349" s="49"/>
      <c r="AJ349" s="226"/>
      <c r="AK349" s="49"/>
      <c r="AL349" s="113">
        <f t="shared" si="125"/>
        <v>0</v>
      </c>
      <c r="AM349" s="113">
        <f t="shared" si="115"/>
        <v>0</v>
      </c>
      <c r="AN349" s="218"/>
      <c r="AO349" s="49"/>
      <c r="AP349" s="49"/>
      <c r="AQ349" s="84"/>
      <c r="AR349" s="49"/>
      <c r="AS349" s="55"/>
      <c r="AT349" s="55"/>
      <c r="AU349" s="54"/>
      <c r="AV349" s="56"/>
      <c r="AW349" s="57"/>
      <c r="AX349" s="153"/>
      <c r="AY349" s="153"/>
      <c r="AZ349" s="153"/>
      <c r="BA349" s="153"/>
      <c r="BB349" s="153"/>
      <c r="BC349" s="153"/>
      <c r="BD349" s="151"/>
      <c r="BE349" s="152"/>
      <c r="BF349" s="151"/>
      <c r="BG349" s="94">
        <f>SUM($AV$4:AV349)</f>
        <v>1559.6420260097843</v>
      </c>
      <c r="BH349" s="95">
        <f>SUM($AU$4:AU349)</f>
        <v>26704.780000000177</v>
      </c>
      <c r="BI349" s="80">
        <f>SUMIFS($AU$3:AU350,$Q$3:Q350,"F")</f>
        <v>19188.400000000001</v>
      </c>
      <c r="BJ349" s="80">
        <f>SUMIFS($AU$3:AU350,$Q$3:Q350,"S")</f>
        <v>5727.9999999999909</v>
      </c>
      <c r="BK349" s="87">
        <f>SUMIFS($AU$3:AU350,$P$3:P350,"W")</f>
        <v>19085.580000000136</v>
      </c>
      <c r="BL349" s="87">
        <f>SUMIFS($AU$3:AU350,$P$3:P350,"R")</f>
        <v>6661.9999999999991</v>
      </c>
      <c r="BM349" s="87">
        <f>SUMIFS($AU$3:AU350,$AQ$3:AQ350,"M")</f>
        <v>5261.1799999997265</v>
      </c>
      <c r="BN349" s="87">
        <f>SUMIFS($AU$3:AU350,$AQ$3:AQ350,"H")</f>
        <v>4299.2000000004446</v>
      </c>
      <c r="BO349" s="87">
        <f>SUMIFS($AU$3:AU350,$AQ$3:AQ350,"D")</f>
        <v>5426.0000000000009</v>
      </c>
      <c r="BP349" s="87">
        <f>SUMIFS($AU$3:AU437,$AQ$3:AQ437,"W")</f>
        <v>12022.400000000001</v>
      </c>
      <c r="BQ349" s="87">
        <f>SUMIFS($AU$3:AU350,$Q$3:Q350,"O")</f>
        <v>1828.3800000001911</v>
      </c>
      <c r="BR349" s="87">
        <f>SUMIFS($AU$3:AU350,$AA$3:AA350,"*")</f>
        <v>21865.600000000064</v>
      </c>
      <c r="BS349" s="87">
        <f>SUMIFS($AU$3:AU350,$AB$3:AB350,"*")</f>
        <v>6951.1799999999312</v>
      </c>
      <c r="BT349" s="87">
        <f>SUMIFS($AU$3:AU350,$AC$3:AC350,"*")</f>
        <v>16068.4</v>
      </c>
      <c r="BU349" s="87">
        <f>SUMIFS($AU$3:AU350,$AA$3:AA350,"*",$AB$3:AB350,"*")</f>
        <v>4415.9999999998217</v>
      </c>
      <c r="BV349" s="87">
        <f>SUMIFS($AU$3:AU350,$AA$3:AA350,"*",$AC$3:AC350,"*")</f>
        <v>13764.4</v>
      </c>
      <c r="BW349" s="87">
        <f>SUMIFS($AU$3:AU350,$AB$3:AB350,"*",$AC$3:AC350,"*")</f>
        <v>3279.9999999999982</v>
      </c>
      <c r="BX349" s="87">
        <f>SUMIFS($AV$3:AV350,$Q$3:Q350,"F")</f>
        <v>357.19230875404793</v>
      </c>
      <c r="BY349" s="87">
        <f>SUMIFS($AV$3:AV350,$Q$3:Q350,"S")</f>
        <v>367.10971725586728</v>
      </c>
      <c r="BZ349" s="87">
        <f>SUMIFS($AV$3:AV350,$Q$3:Q350,"O")</f>
        <v>519.33999999986361</v>
      </c>
    </row>
    <row r="350" spans="1:78" ht="15.75" customHeight="1">
      <c r="A350" s="45" t="s">
        <v>1047</v>
      </c>
      <c r="B350" s="59"/>
      <c r="C350" s="46"/>
      <c r="D350" s="46"/>
      <c r="E350" s="66"/>
      <c r="F350" s="47"/>
      <c r="G350" s="48"/>
      <c r="H350" s="49"/>
      <c r="I350" s="49"/>
      <c r="J350" s="49"/>
      <c r="K350" s="50"/>
      <c r="L350" s="49"/>
      <c r="M350" s="49"/>
      <c r="N350" s="49"/>
      <c r="O350" s="50"/>
      <c r="P350" s="50"/>
      <c r="Q350" s="50"/>
      <c r="R350" s="50"/>
      <c r="S350" s="50"/>
      <c r="T350" s="50"/>
      <c r="U350" s="50"/>
      <c r="V350" s="50"/>
      <c r="W350" s="50"/>
      <c r="X350" s="50"/>
      <c r="Y350" s="50"/>
      <c r="Z350" s="50"/>
      <c r="AA350" s="52"/>
      <c r="AB350" s="52"/>
      <c r="AC350" s="52"/>
      <c r="AD350" s="231"/>
      <c r="AE350" s="49"/>
      <c r="AF350" s="84"/>
      <c r="AG350" s="49"/>
      <c r="AH350" s="49"/>
      <c r="AI350" s="49"/>
      <c r="AJ350" s="226"/>
      <c r="AK350" s="49"/>
      <c r="AL350" s="113">
        <f t="shared" si="125"/>
        <v>0</v>
      </c>
      <c r="AM350" s="113">
        <f t="shared" si="115"/>
        <v>0</v>
      </c>
      <c r="AN350" s="218"/>
      <c r="AO350" s="49"/>
      <c r="AP350" s="49"/>
      <c r="AQ350" s="84" t="str">
        <f>UPPER(RIGHT(Journal_Live[[#This Row],[DURATION ]]))</f>
        <v/>
      </c>
      <c r="AR350" s="49"/>
      <c r="AS350" s="55"/>
      <c r="AT350" s="55"/>
      <c r="AU350" s="54"/>
      <c r="AV350" s="56"/>
      <c r="AW350" s="57"/>
      <c r="AX350" s="153"/>
      <c r="AY350" s="151"/>
      <c r="AZ350" s="153"/>
      <c r="BA350" s="153"/>
      <c r="BB350" s="153"/>
      <c r="BC350" s="153"/>
      <c r="BD350" s="151"/>
      <c r="BE350" s="152"/>
      <c r="BF350" s="151"/>
      <c r="BG350" s="94">
        <f>SUM($AV$4:AV350)</f>
        <v>1559.6420260097843</v>
      </c>
      <c r="BH350" s="95">
        <f>SUM($AU$4:AU350)</f>
        <v>26704.780000000177</v>
      </c>
      <c r="BI350" s="80">
        <f>SUMIFS($AU$3:AU351,$Q$3:Q351,"F")</f>
        <v>19188.400000000001</v>
      </c>
      <c r="BJ350" s="80">
        <f>SUMIFS($AU$3:AU351,$Q$3:Q351,"S")</f>
        <v>5727.9999999999909</v>
      </c>
      <c r="BK350" s="87">
        <f>SUMIFS($AU$3:AU351,$P$3:P351,"W")</f>
        <v>19085.580000000136</v>
      </c>
      <c r="BL350" s="87">
        <f>SUMIFS($AU$3:AU351,$P$3:P351,"R")</f>
        <v>6661.9999999999991</v>
      </c>
      <c r="BM350" s="87">
        <f>SUMIFS($AU$3:AU351,$AQ$3:AQ351,"M")</f>
        <v>5261.1799999997265</v>
      </c>
      <c r="BN350" s="87">
        <f>SUMIFS($AU$3:AU351,$AQ$3:AQ351,"H")</f>
        <v>4299.2000000004446</v>
      </c>
      <c r="BO350" s="87">
        <f>SUMIFS($AU$3:AU351,$AQ$3:AQ351,"D")</f>
        <v>5426.0000000000009</v>
      </c>
      <c r="BP350" s="87">
        <f>SUMIFS($AU$3:AU438,$AQ$3:AQ438,"W")</f>
        <v>12022.400000000001</v>
      </c>
      <c r="BQ350" s="87">
        <f>SUMIFS($AU$3:AU351,$Q$3:Q351,"O")</f>
        <v>1828.3800000001911</v>
      </c>
      <c r="BR350" s="87">
        <f>SUMIFS($AU$3:AU351,$AA$3:AA351,"*")</f>
        <v>21865.600000000064</v>
      </c>
      <c r="BS350" s="87">
        <f>SUMIFS($AU$3:AU351,$AB$3:AB351,"*")</f>
        <v>6951.1799999999312</v>
      </c>
      <c r="BT350" s="87">
        <f>SUMIFS($AU$3:AU351,$AC$3:AC351,"*")</f>
        <v>16068.4</v>
      </c>
      <c r="BU350" s="87">
        <f>SUMIFS($AU$3:AU351,$AA$3:AA351,"*",$AB$3:AB351,"*")</f>
        <v>4415.9999999998217</v>
      </c>
      <c r="BV350" s="87">
        <f>SUMIFS($AU$3:AU351,$AA$3:AA351,"*",$AC$3:AC351,"*")</f>
        <v>13764.4</v>
      </c>
      <c r="BW350" s="87">
        <f>SUMIFS($AU$3:AU351,$AB$3:AB351,"*",$AC$3:AC351,"*")</f>
        <v>3279.9999999999982</v>
      </c>
      <c r="BX350" s="87">
        <f>SUMIFS($AV$3:AV351,$Q$3:Q351,"F")</f>
        <v>357.19230875404793</v>
      </c>
      <c r="BY350" s="87">
        <f>SUMIFS($AV$3:AV351,$Q$3:Q351,"S")</f>
        <v>367.10971725586728</v>
      </c>
      <c r="BZ350" s="87">
        <f>SUMIFS($AV$3:AV351,$Q$3:Q351,"O")</f>
        <v>519.33999999986361</v>
      </c>
    </row>
    <row r="351" spans="1:78" ht="15.75" customHeight="1">
      <c r="A351" s="45" t="s">
        <v>1047</v>
      </c>
      <c r="B351" s="59"/>
      <c r="C351" s="46"/>
      <c r="D351" s="46"/>
      <c r="E351" s="66"/>
      <c r="F351" s="47"/>
      <c r="G351" s="48"/>
      <c r="H351" s="49"/>
      <c r="I351" s="49"/>
      <c r="J351" s="49"/>
      <c r="K351" s="50"/>
      <c r="L351" s="49"/>
      <c r="M351" s="49"/>
      <c r="N351" s="49"/>
      <c r="O351" s="50"/>
      <c r="P351" s="50"/>
      <c r="Q351" s="50"/>
      <c r="R351" s="50"/>
      <c r="S351" s="50"/>
      <c r="T351" s="50"/>
      <c r="U351" s="50"/>
      <c r="V351" s="50"/>
      <c r="W351" s="50"/>
      <c r="X351" s="50"/>
      <c r="Y351" s="50"/>
      <c r="Z351" s="50"/>
      <c r="AA351" s="52"/>
      <c r="AB351" s="52"/>
      <c r="AC351" s="52"/>
      <c r="AD351" s="231"/>
      <c r="AE351" s="49"/>
      <c r="AF351" s="84"/>
      <c r="AG351" s="49"/>
      <c r="AH351" s="49"/>
      <c r="AI351" s="49"/>
      <c r="AJ351" s="226"/>
      <c r="AK351" s="49"/>
      <c r="AL351" s="113">
        <f t="shared" si="125"/>
        <v>0</v>
      </c>
      <c r="AM351" s="113">
        <f t="shared" si="115"/>
        <v>0</v>
      </c>
      <c r="AN351" s="218"/>
      <c r="AO351" s="49"/>
      <c r="AP351" s="49"/>
      <c r="AQ351" s="84" t="str">
        <f>UPPER(RIGHT(Journal_Live[[#This Row],[DURATION ]]))</f>
        <v/>
      </c>
      <c r="AR351" s="49"/>
      <c r="AS351" s="55"/>
      <c r="AT351" s="55"/>
      <c r="AU351" s="54"/>
      <c r="AV351" s="56"/>
      <c r="AW351" s="57"/>
      <c r="AX351" s="153"/>
      <c r="AY351" s="153"/>
      <c r="AZ351" s="153"/>
      <c r="BA351" s="153"/>
      <c r="BB351" s="153"/>
      <c r="BC351" s="153"/>
      <c r="BD351" s="151"/>
      <c r="BE351" s="152"/>
      <c r="BF351" s="151"/>
      <c r="BG351" s="94">
        <f>SUM($AV$4:AV351)</f>
        <v>1559.6420260097843</v>
      </c>
      <c r="BH351" s="95">
        <f>SUM($AU$4:AU351)</f>
        <v>26704.780000000177</v>
      </c>
      <c r="BI351" s="80">
        <f>SUMIFS($AU$3:AU352,$Q$3:Q352,"F")</f>
        <v>19188.400000000001</v>
      </c>
      <c r="BJ351" s="80">
        <f>SUMIFS($AU$3:AU352,$Q$3:Q352,"S")</f>
        <v>5727.9999999999909</v>
      </c>
      <c r="BK351" s="87">
        <f>SUMIFS($AU$3:AU352,$P$3:P352,"W")</f>
        <v>19085.580000000136</v>
      </c>
      <c r="BL351" s="87">
        <f>SUMIFS($AU$3:AU352,$P$3:P352,"R")</f>
        <v>6661.9999999999991</v>
      </c>
      <c r="BM351" s="87">
        <f>SUMIFS($AU$3:AU352,$AQ$3:AQ352,"M")</f>
        <v>5261.1799999997265</v>
      </c>
      <c r="BN351" s="87">
        <f>SUMIFS($AU$3:AU352,$AQ$3:AQ352,"H")</f>
        <v>4299.2000000004446</v>
      </c>
      <c r="BO351" s="87">
        <f>SUMIFS($AU$3:AU352,$AQ$3:AQ352,"D")</f>
        <v>5426.0000000000009</v>
      </c>
      <c r="BP351" s="87">
        <f>SUMIFS($AU$3:AU439,$AQ$3:AQ439,"W")</f>
        <v>12022.400000000001</v>
      </c>
      <c r="BQ351" s="87">
        <f>SUMIFS($AU$3:AU352,$Q$3:Q352,"O")</f>
        <v>1828.3800000001911</v>
      </c>
      <c r="BR351" s="87">
        <f>SUMIFS($AU$3:AU352,$AA$3:AA352,"*")</f>
        <v>21865.600000000064</v>
      </c>
      <c r="BS351" s="87">
        <f>SUMIFS($AU$3:AU352,$AB$3:AB352,"*")</f>
        <v>6951.1799999999312</v>
      </c>
      <c r="BT351" s="87">
        <f>SUMIFS($AU$3:AU352,$AC$3:AC352,"*")</f>
        <v>16068.4</v>
      </c>
      <c r="BU351" s="87">
        <f>SUMIFS($AU$3:AU352,$AA$3:AA352,"*",$AB$3:AB352,"*")</f>
        <v>4415.9999999998217</v>
      </c>
      <c r="BV351" s="87">
        <f>SUMIFS($AU$3:AU352,$AA$3:AA352,"*",$AC$3:AC352,"*")</f>
        <v>13764.4</v>
      </c>
      <c r="BW351" s="87">
        <f>SUMIFS($AU$3:AU352,$AB$3:AB352,"*",$AC$3:AC352,"*")</f>
        <v>3279.9999999999982</v>
      </c>
      <c r="BX351" s="87">
        <f>SUMIFS($AV$3:AV352,$Q$3:Q352,"F")</f>
        <v>357.19230875404793</v>
      </c>
      <c r="BY351" s="87">
        <f>SUMIFS($AV$3:AV352,$Q$3:Q352,"S")</f>
        <v>367.10971725586728</v>
      </c>
      <c r="BZ351" s="87">
        <f>SUMIFS($AV$3:AV352,$Q$3:Q352,"O")</f>
        <v>519.33999999986361</v>
      </c>
    </row>
    <row r="352" spans="1:78" ht="15.75" customHeight="1">
      <c r="A352" s="45" t="s">
        <v>1047</v>
      </c>
      <c r="B352" s="59"/>
      <c r="C352" s="46"/>
      <c r="D352" s="46"/>
      <c r="E352" s="66"/>
      <c r="F352" s="47"/>
      <c r="G352" s="48"/>
      <c r="H352" s="49"/>
      <c r="I352" s="49"/>
      <c r="J352" s="49"/>
      <c r="K352" s="50"/>
      <c r="L352" s="49"/>
      <c r="M352" s="49"/>
      <c r="N352" s="49"/>
      <c r="O352" s="50"/>
      <c r="P352" s="50"/>
      <c r="Q352" s="50"/>
      <c r="R352" s="50"/>
      <c r="S352" s="50"/>
      <c r="T352" s="50"/>
      <c r="U352" s="50"/>
      <c r="V352" s="50"/>
      <c r="W352" s="50"/>
      <c r="X352" s="50"/>
      <c r="Y352" s="50"/>
      <c r="Z352" s="50"/>
      <c r="AA352" s="52"/>
      <c r="AB352" s="52"/>
      <c r="AC352" s="52"/>
      <c r="AD352" s="231"/>
      <c r="AE352" s="49"/>
      <c r="AF352" s="84"/>
      <c r="AG352" s="49"/>
      <c r="AH352" s="49"/>
      <c r="AI352" s="49"/>
      <c r="AJ352" s="226"/>
      <c r="AK352" s="49"/>
      <c r="AL352" s="113">
        <f t="shared" si="125"/>
        <v>0</v>
      </c>
      <c r="AM352" s="113">
        <f t="shared" si="115"/>
        <v>0</v>
      </c>
      <c r="AN352" s="218"/>
      <c r="AO352" s="49"/>
      <c r="AP352" s="49"/>
      <c r="AQ352" s="84" t="str">
        <f>UPPER(RIGHT(Journal_Live[[#This Row],[DURATION ]]))</f>
        <v/>
      </c>
      <c r="AR352" s="49"/>
      <c r="AS352" s="55"/>
      <c r="AT352" s="55"/>
      <c r="AU352" s="54"/>
      <c r="AV352" s="56"/>
      <c r="AW352" s="57"/>
      <c r="AX352" s="153"/>
      <c r="AY352" s="153"/>
      <c r="AZ352" s="153"/>
      <c r="BA352" s="153"/>
      <c r="BB352" s="153"/>
      <c r="BC352" s="153"/>
      <c r="BD352" s="151"/>
      <c r="BE352" s="152"/>
      <c r="BF352" s="151"/>
      <c r="BG352" s="94">
        <f>SUM($AV$4:AV352)</f>
        <v>1559.6420260097843</v>
      </c>
      <c r="BH352" s="95">
        <f>SUM($AU$4:AU352)</f>
        <v>26704.780000000177</v>
      </c>
      <c r="BI352" s="80">
        <f>SUMIFS($AU$3:AU353,$Q$3:Q353,"F")</f>
        <v>19188.400000000001</v>
      </c>
      <c r="BJ352" s="80">
        <f>SUMIFS($AU$3:AU353,$Q$3:Q353,"S")</f>
        <v>5727.9999999999909</v>
      </c>
      <c r="BK352" s="87">
        <f>SUMIFS($AU$3:AU353,$P$3:P353,"W")</f>
        <v>19085.580000000136</v>
      </c>
      <c r="BL352" s="87">
        <f>SUMIFS($AU$3:AU353,$P$3:P353,"R")</f>
        <v>6661.9999999999991</v>
      </c>
      <c r="BM352" s="87">
        <f>SUMIFS($AU$3:AU353,$AQ$3:AQ353,"M")</f>
        <v>5261.1799999997265</v>
      </c>
      <c r="BN352" s="87">
        <f>SUMIFS($AU$3:AU353,$AQ$3:AQ353,"H")</f>
        <v>4299.2000000004446</v>
      </c>
      <c r="BO352" s="87">
        <f>SUMIFS($AU$3:AU353,$AQ$3:AQ353,"D")</f>
        <v>5426.0000000000009</v>
      </c>
      <c r="BP352" s="87">
        <f>SUMIFS($AU$3:AU440,$AQ$3:AQ440,"W")</f>
        <v>12022.400000000001</v>
      </c>
      <c r="BQ352" s="87">
        <f>SUMIFS($AU$3:AU353,$Q$3:Q353,"O")</f>
        <v>1828.3800000001911</v>
      </c>
      <c r="BR352" s="87">
        <f>SUMIFS($AU$3:AU353,$AA$3:AA353,"*")</f>
        <v>21865.600000000064</v>
      </c>
      <c r="BS352" s="87">
        <f>SUMIFS($AU$3:AU353,$AB$3:AB353,"*")</f>
        <v>6951.1799999999312</v>
      </c>
      <c r="BT352" s="87">
        <f>SUMIFS($AU$3:AU353,$AC$3:AC353,"*")</f>
        <v>16068.4</v>
      </c>
      <c r="BU352" s="87">
        <f>SUMIFS($AU$3:AU353,$AA$3:AA353,"*",$AB$3:AB353,"*")</f>
        <v>4415.9999999998217</v>
      </c>
      <c r="BV352" s="87">
        <f>SUMIFS($AU$3:AU353,$AA$3:AA353,"*",$AC$3:AC353,"*")</f>
        <v>13764.4</v>
      </c>
      <c r="BW352" s="87">
        <f>SUMIFS($AU$3:AU353,$AB$3:AB353,"*",$AC$3:AC353,"*")</f>
        <v>3279.9999999999982</v>
      </c>
      <c r="BX352" s="87">
        <f>SUMIFS($AV$3:AV353,$Q$3:Q353,"F")</f>
        <v>357.19230875404793</v>
      </c>
      <c r="BY352" s="87">
        <f>SUMIFS($AV$3:AV353,$Q$3:Q353,"S")</f>
        <v>367.10971725586728</v>
      </c>
      <c r="BZ352" s="87">
        <f>SUMIFS($AV$3:AV353,$Q$3:Q353,"O")</f>
        <v>519.33999999986361</v>
      </c>
    </row>
    <row r="353" spans="1:78" ht="15.75" customHeight="1">
      <c r="A353" s="111" t="s">
        <v>1309</v>
      </c>
      <c r="B353" s="68"/>
      <c r="C353" s="60"/>
      <c r="D353" s="60"/>
      <c r="E353" s="61"/>
      <c r="F353" s="62"/>
      <c r="G353" s="60"/>
      <c r="H353" s="60"/>
      <c r="I353" s="60"/>
      <c r="J353" s="60"/>
      <c r="K353" s="63"/>
      <c r="L353" s="60"/>
      <c r="M353" s="60"/>
      <c r="N353" s="60"/>
      <c r="O353" s="63"/>
      <c r="P353" s="63"/>
      <c r="Q353" s="63"/>
      <c r="R353" s="63"/>
      <c r="S353" s="63"/>
      <c r="T353" s="63"/>
      <c r="U353" s="63"/>
      <c r="V353" s="63"/>
      <c r="W353" s="63"/>
      <c r="X353" s="63"/>
      <c r="Y353" s="63"/>
      <c r="Z353" s="64" t="str">
        <f>IF(ISBLANK(O353),"",IF(O353="IB",8.63*200,IF(O353="IR",16*100,IF(O353="YT",20*100,IF(O353="YT-XT",24*200,IF(O353="TED",80*100))))))</f>
        <v/>
      </c>
      <c r="AA353" s="64"/>
      <c r="AB353" s="64"/>
      <c r="AC353" s="64"/>
      <c r="AD353" s="232"/>
      <c r="AE353" s="60"/>
      <c r="AF353" s="88"/>
      <c r="AG353" s="87"/>
      <c r="AH353" s="60"/>
      <c r="AI353" s="60"/>
      <c r="AJ353" s="227"/>
      <c r="AK353" s="60"/>
      <c r="AL353" s="60"/>
      <c r="AM353" s="60"/>
      <c r="AN353" s="219"/>
      <c r="AO353" s="60"/>
      <c r="AP353" s="60"/>
      <c r="AQ353" s="85" t="str">
        <f>UPPER(RIGHT(Journal_Live[[#This Row],[DURATION ]]))</f>
        <v/>
      </c>
      <c r="AR353" s="60"/>
      <c r="AS353" s="60"/>
      <c r="AT353" s="60"/>
      <c r="AU353" s="60"/>
      <c r="AV353" s="60"/>
      <c r="AW353" s="65"/>
      <c r="AX353" s="99"/>
      <c r="AY353" s="98"/>
      <c r="AZ353" s="98"/>
      <c r="BA353" s="98"/>
      <c r="BB353" s="98"/>
      <c r="BC353" s="98"/>
      <c r="BD353" s="98"/>
      <c r="BE353" s="98"/>
      <c r="BF353" s="98"/>
      <c r="BG353" s="94">
        <f>SUM($AV$4:AV353)</f>
        <v>1559.6420260097843</v>
      </c>
      <c r="BH353" s="95">
        <f>SUM($AU$4:AU353)</f>
        <v>26704.780000000177</v>
      </c>
      <c r="BI353" s="80">
        <f>SUMIFS($AU$3:AU354,$Q$3:Q354,"F")</f>
        <v>19188.400000000001</v>
      </c>
      <c r="BJ353" s="80">
        <f>SUMIFS($AU$3:AU354,$Q$3:Q354,"S")</f>
        <v>5727.9999999999909</v>
      </c>
      <c r="BK353" s="87">
        <f>SUMIFS($AU$3:AU354,$P$3:P354,"W")</f>
        <v>19085.580000000136</v>
      </c>
      <c r="BL353" s="87">
        <f>SUMIFS($AU$3:AU354,$P$3:P354,"R")</f>
        <v>6661.9999999999991</v>
      </c>
      <c r="BM353" s="87">
        <f>SUMIFS($AU$3:AU354,$AQ$3:AQ354,"M")</f>
        <v>5261.1799999997265</v>
      </c>
      <c r="BN353" s="87">
        <f>SUMIFS($AU$3:AU354,$AQ$3:AQ354,"H")</f>
        <v>4299.2000000004446</v>
      </c>
      <c r="BO353" s="87">
        <f>SUMIFS($AU$3:AU354,$AQ$3:AQ354,"D")</f>
        <v>5426.0000000000009</v>
      </c>
      <c r="BP353" s="87">
        <f>SUMIFS($AU$3:AU441,$AQ$3:AQ441,"W")</f>
        <v>12022.400000000001</v>
      </c>
      <c r="BQ353" s="87">
        <f>SUMIFS($AU$3:AU354,$Q$3:Q354,"O")</f>
        <v>1828.3800000001911</v>
      </c>
      <c r="BR353" s="87">
        <f>SUMIFS($AU$3:AU354,$AA$3:AA354,"*")</f>
        <v>21865.600000000064</v>
      </c>
      <c r="BS353" s="87">
        <f>SUMIFS($AU$3:AU354,$AB$3:AB354,"*")</f>
        <v>6951.1799999999312</v>
      </c>
      <c r="BT353" s="87">
        <f>SUMIFS($AU$3:AU354,$AC$3:AC354,"*")</f>
        <v>16068.4</v>
      </c>
      <c r="BU353" s="87">
        <f>SUMIFS($AU$3:AU354,$AA$3:AA354,"*",$AB$3:AB354,"*")</f>
        <v>4415.9999999998217</v>
      </c>
      <c r="BV353" s="87">
        <f>SUMIFS($AU$3:AU354,$AA$3:AA354,"*",$AC$3:AC354,"*")</f>
        <v>13764.4</v>
      </c>
      <c r="BW353" s="87">
        <f>SUMIFS($AU$3:AU354,$AB$3:AB354,"*",$AC$3:AC354,"*")</f>
        <v>3279.9999999999982</v>
      </c>
      <c r="BX353" s="87">
        <f>SUMIFS($AV$3:AV354,$Q$3:Q354,"F")</f>
        <v>357.19230875404793</v>
      </c>
      <c r="BY353" s="87">
        <f>SUMIFS($AV$3:AV354,$Q$3:Q354,"S")</f>
        <v>367.10971725586728</v>
      </c>
      <c r="BZ353" s="87">
        <f>SUMIFS($AV$3:AV354,$Q$3:Q354,"O")</f>
        <v>519.33999999986361</v>
      </c>
    </row>
    <row r="354" spans="1:78" ht="15.75" customHeight="1">
      <c r="A354" s="45" t="s">
        <v>1310</v>
      </c>
      <c r="B354" s="59"/>
      <c r="C354" s="46"/>
      <c r="D354" s="46"/>
      <c r="E354" s="66"/>
      <c r="F354" s="47"/>
      <c r="G354" s="48"/>
      <c r="H354" s="49"/>
      <c r="I354" s="49"/>
      <c r="J354" s="49"/>
      <c r="K354" s="50"/>
      <c r="L354" s="49"/>
      <c r="M354" s="49"/>
      <c r="N354" s="49"/>
      <c r="O354" s="50"/>
      <c r="P354" s="50"/>
      <c r="Q354" s="50"/>
      <c r="R354" s="50"/>
      <c r="S354" s="50"/>
      <c r="T354" s="50"/>
      <c r="U354" s="50"/>
      <c r="V354" s="50"/>
      <c r="W354" s="50"/>
      <c r="X354" s="50"/>
      <c r="Y354" s="50"/>
      <c r="Z354" s="50"/>
      <c r="AA354" s="52"/>
      <c r="AB354" s="52"/>
      <c r="AC354" s="52"/>
      <c r="AD354" s="231"/>
      <c r="AE354" s="49"/>
      <c r="AF354" s="84"/>
      <c r="AG354" s="49"/>
      <c r="AH354" s="49"/>
      <c r="AI354" s="49"/>
      <c r="AJ354" s="226"/>
      <c r="AK354" s="49"/>
      <c r="AL354" s="113">
        <f t="shared" ref="AL354:AL543" si="128">-0.02*Z354</f>
        <v>0</v>
      </c>
      <c r="AM354" s="113">
        <f t="shared" ref="AM354:AM385" si="129">AL354*(R354-S354)</f>
        <v>0</v>
      </c>
      <c r="AN354" s="218"/>
      <c r="AO354" s="49"/>
      <c r="AP354" s="49"/>
      <c r="AQ354" s="84" t="str">
        <f>UPPER(RIGHT(Journal_Live[[#This Row],[DURATION ]]))</f>
        <v/>
      </c>
      <c r="AR354" s="49"/>
      <c r="AS354" s="55"/>
      <c r="AT354" s="55"/>
      <c r="AU354" s="54"/>
      <c r="AV354" s="56"/>
      <c r="AW354" s="57"/>
      <c r="AX354" s="153" t="s">
        <v>1311</v>
      </c>
      <c r="AY354" s="153"/>
      <c r="AZ354" s="153"/>
      <c r="BA354" s="153"/>
      <c r="BB354" s="153"/>
      <c r="BC354" s="153"/>
      <c r="BD354" s="151" t="s">
        <v>1312</v>
      </c>
      <c r="BE354" s="152" t="s">
        <v>1313</v>
      </c>
      <c r="BF354" s="151" t="s">
        <v>1314</v>
      </c>
      <c r="BG354" s="94">
        <f>SUM($AV$4:AV354)</f>
        <v>1559.6420260097843</v>
      </c>
      <c r="BH354" s="95">
        <f>SUM($AU$4:AU354)</f>
        <v>26704.780000000177</v>
      </c>
      <c r="BI354" s="80">
        <f>SUMIFS($AU$3:AU355,$Q$3:Q355,"F")</f>
        <v>19188.400000000001</v>
      </c>
      <c r="BJ354" s="80">
        <f>SUMIFS($AU$3:AU355,$Q$3:Q355,"S")</f>
        <v>5727.9999999999909</v>
      </c>
      <c r="BK354" s="87">
        <f>SUMIFS($AU$3:AU355,$P$3:P355,"W")</f>
        <v>19085.580000000136</v>
      </c>
      <c r="BL354" s="87">
        <f>SUMIFS($AU$3:AU355,$P$3:P355,"R")</f>
        <v>6661.9999999999991</v>
      </c>
      <c r="BM354" s="87">
        <f>SUMIFS($AU$3:AU355,$AQ$3:AQ355,"M")</f>
        <v>5261.1799999997265</v>
      </c>
      <c r="BN354" s="87">
        <f>SUMIFS($AU$3:AU355,$AQ$3:AQ355,"H")</f>
        <v>4299.2000000004446</v>
      </c>
      <c r="BO354" s="87">
        <f>SUMIFS($AU$3:AU355,$AQ$3:AQ355,"D")</f>
        <v>5426.0000000000009</v>
      </c>
      <c r="BP354" s="87">
        <f>SUMIFS($AU$3:AU442,$AQ$3:AQ442,"W")</f>
        <v>12022.400000000001</v>
      </c>
      <c r="BQ354" s="87">
        <f>SUMIFS($AU$3:AU355,$Q$3:Q355,"O")</f>
        <v>1828.3800000001911</v>
      </c>
      <c r="BR354" s="87">
        <f>SUMIFS($AU$3:AU355,$AA$3:AA355,"*")</f>
        <v>21865.600000000064</v>
      </c>
      <c r="BS354" s="87">
        <f>SUMIFS($AU$3:AU355,$AB$3:AB355,"*")</f>
        <v>6951.1799999999312</v>
      </c>
      <c r="BT354" s="87">
        <f>SUMIFS($AU$3:AU355,$AC$3:AC355,"*")</f>
        <v>16068.4</v>
      </c>
      <c r="BU354" s="87">
        <f>SUMIFS($AU$3:AU355,$AA$3:AA355,"*",$AB$3:AB355,"*")</f>
        <v>4415.9999999998217</v>
      </c>
      <c r="BV354" s="87">
        <f>SUMIFS($AU$3:AU355,$AA$3:AA355,"*",$AC$3:AC355,"*")</f>
        <v>13764.4</v>
      </c>
      <c r="BW354" s="87">
        <f>SUMIFS($AU$3:AU355,$AB$3:AB355,"*",$AC$3:AC355,"*")</f>
        <v>3279.9999999999982</v>
      </c>
      <c r="BX354" s="87">
        <f>SUMIFS($AV$3:AV355,$Q$3:Q355,"F")</f>
        <v>357.19230875404793</v>
      </c>
      <c r="BY354" s="87">
        <f>SUMIFS($AV$3:AV355,$Q$3:Q355,"S")</f>
        <v>367.10971725586728</v>
      </c>
      <c r="BZ354" s="87">
        <f>SUMIFS($AV$3:AV355,$Q$3:Q355,"O")</f>
        <v>519.33999999986361</v>
      </c>
    </row>
    <row r="355" spans="1:78" ht="15.75" customHeight="1">
      <c r="A355" s="45" t="s">
        <v>1310</v>
      </c>
      <c r="B355" s="59"/>
      <c r="C355" s="46"/>
      <c r="D355" s="46"/>
      <c r="E355" s="66"/>
      <c r="F355" s="47"/>
      <c r="G355" s="48"/>
      <c r="H355" s="49"/>
      <c r="I355" s="49"/>
      <c r="J355" s="49"/>
      <c r="K355" s="50"/>
      <c r="L355" s="49"/>
      <c r="M355" s="49"/>
      <c r="N355" s="49"/>
      <c r="O355" s="50"/>
      <c r="P355" s="50"/>
      <c r="Q355" s="50"/>
      <c r="R355" s="50"/>
      <c r="S355" s="50"/>
      <c r="T355" s="50"/>
      <c r="U355" s="50"/>
      <c r="V355" s="50"/>
      <c r="W355" s="50"/>
      <c r="X355" s="50"/>
      <c r="Y355" s="50"/>
      <c r="Z355" s="50"/>
      <c r="AA355" s="52"/>
      <c r="AB355" s="52"/>
      <c r="AC355" s="52"/>
      <c r="AD355" s="231"/>
      <c r="AE355" s="49"/>
      <c r="AF355" s="84"/>
      <c r="AG355" s="49"/>
      <c r="AH355" s="49"/>
      <c r="AI355" s="49"/>
      <c r="AJ355" s="226"/>
      <c r="AK355" s="49"/>
      <c r="AL355" s="113">
        <f t="shared" ref="AL355:AL542" si="130">-0.02*Z355</f>
        <v>0</v>
      </c>
      <c r="AM355" s="113">
        <f t="shared" si="129"/>
        <v>0</v>
      </c>
      <c r="AN355" s="218"/>
      <c r="AO355" s="49"/>
      <c r="AP355" s="49"/>
      <c r="AQ355" s="84" t="str">
        <f>UPPER(RIGHT(Journal_Live[[#This Row],[DURATION ]]))</f>
        <v/>
      </c>
      <c r="AR355" s="49"/>
      <c r="AS355" s="55"/>
      <c r="AT355" s="55"/>
      <c r="AU355" s="54"/>
      <c r="AV355" s="56"/>
      <c r="AW355" s="57"/>
      <c r="AX355" s="153" t="s">
        <v>1315</v>
      </c>
      <c r="AY355" s="151" t="s">
        <v>1316</v>
      </c>
      <c r="AZ355" s="153" t="s">
        <v>1317</v>
      </c>
      <c r="BA355" s="153" t="s">
        <v>1318</v>
      </c>
      <c r="BB355" s="153" t="s">
        <v>1319</v>
      </c>
      <c r="BC355" s="153"/>
      <c r="BD355" s="151"/>
      <c r="BE355" s="152"/>
      <c r="BF355" s="151"/>
      <c r="BG355" s="94">
        <f>SUM($AV$4:AV355)</f>
        <v>1559.6420260097843</v>
      </c>
      <c r="BH355" s="95">
        <f>SUM($AU$4:AU355)</f>
        <v>26704.780000000177</v>
      </c>
      <c r="BI355" s="80">
        <f>SUMIFS($AU$3:AU356,$Q$3:Q356,"F")</f>
        <v>19188.400000000001</v>
      </c>
      <c r="BJ355" s="80">
        <f>SUMIFS($AU$3:AU356,$Q$3:Q356,"S")</f>
        <v>5727.9999999999909</v>
      </c>
      <c r="BK355" s="87">
        <f>SUMIFS($AU$3:AU356,$P$3:P356,"W")</f>
        <v>19085.580000000136</v>
      </c>
      <c r="BL355" s="87">
        <f>SUMIFS($AU$3:AU356,$P$3:P356,"R")</f>
        <v>6661.9999999999991</v>
      </c>
      <c r="BM355" s="87">
        <f>SUMIFS($AU$3:AU356,$AQ$3:AQ356,"M")</f>
        <v>5261.1799999997265</v>
      </c>
      <c r="BN355" s="87">
        <f>SUMIFS($AU$3:AU356,$AQ$3:AQ356,"H")</f>
        <v>4299.2000000004446</v>
      </c>
      <c r="BO355" s="87">
        <f>SUMIFS($AU$3:AU356,$AQ$3:AQ356,"D")</f>
        <v>5426.0000000000009</v>
      </c>
      <c r="BP355" s="87">
        <f>SUMIFS($AU$3:AU443,$AQ$3:AQ443,"W")</f>
        <v>12022.400000000001</v>
      </c>
      <c r="BQ355" s="87">
        <f>SUMIFS($AU$3:AU356,$Q$3:Q356,"O")</f>
        <v>1828.3800000001911</v>
      </c>
      <c r="BR355" s="87">
        <f>SUMIFS($AU$3:AU356,$AA$3:AA356,"*")</f>
        <v>21865.600000000064</v>
      </c>
      <c r="BS355" s="87">
        <f>SUMIFS($AU$3:AU356,$AB$3:AB356,"*")</f>
        <v>6951.1799999999312</v>
      </c>
      <c r="BT355" s="87">
        <f>SUMIFS($AU$3:AU356,$AC$3:AC356,"*")</f>
        <v>16068.4</v>
      </c>
      <c r="BU355" s="87">
        <f>SUMIFS($AU$3:AU356,$AA$3:AA356,"*",$AB$3:AB356,"*")</f>
        <v>4415.9999999998217</v>
      </c>
      <c r="BV355" s="87">
        <f>SUMIFS($AU$3:AU356,$AA$3:AA356,"*",$AC$3:AC356,"*")</f>
        <v>13764.4</v>
      </c>
      <c r="BW355" s="87">
        <f>SUMIFS($AU$3:AU356,$AB$3:AB356,"*",$AC$3:AC356,"*")</f>
        <v>3279.9999999999982</v>
      </c>
      <c r="BX355" s="87">
        <f>SUMIFS($AV$3:AV356,$Q$3:Q356,"F")</f>
        <v>357.19230875404793</v>
      </c>
      <c r="BY355" s="87">
        <f>SUMIFS($AV$3:AV356,$Q$3:Q356,"S")</f>
        <v>367.10971725586728</v>
      </c>
      <c r="BZ355" s="87">
        <f>SUMIFS($AV$3:AV356,$Q$3:Q356,"O")</f>
        <v>519.33999999986361</v>
      </c>
    </row>
    <row r="356" spans="1:78" ht="15.75" customHeight="1">
      <c r="A356" s="45" t="s">
        <v>1310</v>
      </c>
      <c r="B356" s="59"/>
      <c r="C356" s="46"/>
      <c r="D356" s="46"/>
      <c r="E356" s="66"/>
      <c r="F356" s="47"/>
      <c r="G356" s="48"/>
      <c r="H356" s="49"/>
      <c r="I356" s="49"/>
      <c r="J356" s="49"/>
      <c r="K356" s="50"/>
      <c r="L356" s="49"/>
      <c r="M356" s="49"/>
      <c r="N356" s="49"/>
      <c r="O356" s="50"/>
      <c r="P356" s="50"/>
      <c r="Q356" s="50"/>
      <c r="R356" s="50"/>
      <c r="S356" s="50"/>
      <c r="T356" s="50"/>
      <c r="U356" s="50"/>
      <c r="V356" s="50"/>
      <c r="W356" s="50"/>
      <c r="X356" s="50"/>
      <c r="Y356" s="50"/>
      <c r="Z356" s="50"/>
      <c r="AA356" s="52"/>
      <c r="AB356" s="52"/>
      <c r="AC356" s="52"/>
      <c r="AD356" s="231"/>
      <c r="AE356" s="49"/>
      <c r="AF356" s="84"/>
      <c r="AG356" s="49"/>
      <c r="AH356" s="49"/>
      <c r="AI356" s="49"/>
      <c r="AJ356" s="226"/>
      <c r="AK356" s="49"/>
      <c r="AL356" s="113">
        <f t="shared" ref="AL356:AL359" si="131">-0.02*Z356</f>
        <v>0</v>
      </c>
      <c r="AM356" s="113">
        <f t="shared" si="129"/>
        <v>0</v>
      </c>
      <c r="AN356" s="218"/>
      <c r="AO356" s="49"/>
      <c r="AP356" s="49"/>
      <c r="AQ356" s="84" t="str">
        <f>UPPER(RIGHT(Journal_Live[[#This Row],[DURATION ]]))</f>
        <v/>
      </c>
      <c r="AR356" s="49"/>
      <c r="AS356" s="55"/>
      <c r="AT356" s="55"/>
      <c r="AU356" s="54"/>
      <c r="AV356" s="56"/>
      <c r="AW356" s="57"/>
      <c r="AX356" s="153" t="s">
        <v>1320</v>
      </c>
      <c r="AY356" s="153" t="s">
        <v>1321</v>
      </c>
      <c r="AZ356" s="153" t="s">
        <v>1322</v>
      </c>
      <c r="BA356" s="153" t="s">
        <v>1323</v>
      </c>
      <c r="BB356" s="153"/>
      <c r="BC356" s="153"/>
      <c r="BD356" s="151"/>
      <c r="BE356" s="152"/>
      <c r="BF356" s="151"/>
      <c r="BG356" s="94">
        <f>SUM($AV$4:AV356)</f>
        <v>1559.6420260097843</v>
      </c>
      <c r="BH356" s="95">
        <f>SUM($AU$4:AU356)</f>
        <v>26704.780000000177</v>
      </c>
      <c r="BI356" s="80">
        <f>SUMIFS($AU$3:AU357,$Q$3:Q357,"F")</f>
        <v>19188.400000000001</v>
      </c>
      <c r="BJ356" s="80">
        <f>SUMIFS($AU$3:AU357,$Q$3:Q357,"S")</f>
        <v>5727.9999999999909</v>
      </c>
      <c r="BK356" s="87">
        <f>SUMIFS($AU$3:AU357,$P$3:P357,"W")</f>
        <v>19085.580000000136</v>
      </c>
      <c r="BL356" s="87">
        <f>SUMIFS($AU$3:AU357,$P$3:P357,"R")</f>
        <v>6661.9999999999991</v>
      </c>
      <c r="BM356" s="87">
        <f>SUMIFS($AU$3:AU357,$AQ$3:AQ357,"M")</f>
        <v>5261.1799999997265</v>
      </c>
      <c r="BN356" s="87">
        <f>SUMIFS($AU$3:AU357,$AQ$3:AQ357,"H")</f>
        <v>4299.2000000004446</v>
      </c>
      <c r="BO356" s="87">
        <f>SUMIFS($AU$3:AU357,$AQ$3:AQ357,"D")</f>
        <v>5426.0000000000009</v>
      </c>
      <c r="BP356" s="87">
        <f>SUMIFS($AU$3:AU444,$AQ$3:AQ444,"W")</f>
        <v>12022.400000000001</v>
      </c>
      <c r="BQ356" s="87">
        <f>SUMIFS($AU$3:AU357,$Q$3:Q357,"O")</f>
        <v>1828.3800000001911</v>
      </c>
      <c r="BR356" s="87">
        <f>SUMIFS($AU$3:AU357,$AA$3:AA357,"*")</f>
        <v>21865.600000000064</v>
      </c>
      <c r="BS356" s="87">
        <f>SUMIFS($AU$3:AU357,$AB$3:AB357,"*")</f>
        <v>6951.1799999999312</v>
      </c>
      <c r="BT356" s="87">
        <f>SUMIFS($AU$3:AU357,$AC$3:AC357,"*")</f>
        <v>16068.4</v>
      </c>
      <c r="BU356" s="87">
        <f>SUMIFS($AU$3:AU357,$AA$3:AA357,"*",$AB$3:AB357,"*")</f>
        <v>4415.9999999998217</v>
      </c>
      <c r="BV356" s="87">
        <f>SUMIFS($AU$3:AU357,$AA$3:AA357,"*",$AC$3:AC357,"*")</f>
        <v>13764.4</v>
      </c>
      <c r="BW356" s="87">
        <f>SUMIFS($AU$3:AU357,$AB$3:AB357,"*",$AC$3:AC357,"*")</f>
        <v>3279.9999999999982</v>
      </c>
      <c r="BX356" s="87">
        <f>SUMIFS($AV$3:AV357,$Q$3:Q357,"F")</f>
        <v>357.19230875404793</v>
      </c>
      <c r="BY356" s="87">
        <f>SUMIFS($AV$3:AV357,$Q$3:Q357,"S")</f>
        <v>367.10971725586728</v>
      </c>
      <c r="BZ356" s="87">
        <f>SUMIFS($AV$3:AV357,$Q$3:Q357,"O")</f>
        <v>519.33999999986361</v>
      </c>
    </row>
    <row r="357" spans="1:78" ht="15.75" customHeight="1">
      <c r="A357" s="45" t="s">
        <v>1310</v>
      </c>
      <c r="B357" s="59">
        <v>45384</v>
      </c>
      <c r="C357" s="46" t="s">
        <v>1324</v>
      </c>
      <c r="D357" s="46" t="s">
        <v>98</v>
      </c>
      <c r="E357" s="66"/>
      <c r="F357" s="47"/>
      <c r="G357" s="106" t="s">
        <v>181</v>
      </c>
      <c r="H357" s="49"/>
      <c r="I357" s="49"/>
      <c r="J357" s="49"/>
      <c r="K357" s="50"/>
      <c r="L357" s="49">
        <v>1</v>
      </c>
      <c r="M357" s="49"/>
      <c r="N357" s="49"/>
      <c r="O357" s="50" t="s">
        <v>100</v>
      </c>
      <c r="P357" s="50" t="s">
        <v>101</v>
      </c>
      <c r="Q357" s="50" t="s">
        <v>102</v>
      </c>
      <c r="R357" s="50">
        <v>30</v>
      </c>
      <c r="S357" s="161">
        <v>0</v>
      </c>
      <c r="T357" s="50">
        <v>30</v>
      </c>
      <c r="U357" s="50" t="s">
        <v>102</v>
      </c>
      <c r="V357" s="50"/>
      <c r="W357" s="50"/>
      <c r="X357" s="50"/>
      <c r="Y357" s="51">
        <f>IF(ISBLANK(O357),"",(IF(O357=UPPER("IB"),0.005,0.01)))</f>
        <v>0.01</v>
      </c>
      <c r="Z357" s="52">
        <f>IF(ISBLANK(O357),"",IF(O357="IB",8.63*200,IF(O357="IR",16*100,IF(O357="YT",20*100,IF(O357="YT-XT",24*200,IF(O357="TED",80*100,IF(O357="XT",29*200)))))))</f>
        <v>1600</v>
      </c>
      <c r="AA357" s="52"/>
      <c r="AB357" s="52"/>
      <c r="AC357" s="52" t="s">
        <v>405</v>
      </c>
      <c r="AD357" s="231">
        <v>-0.13</v>
      </c>
      <c r="AE357" s="49"/>
      <c r="AF357" s="84"/>
      <c r="AG357" s="49"/>
      <c r="AH357" s="49"/>
      <c r="AI357" s="49"/>
      <c r="AJ357" s="226"/>
      <c r="AK357" s="49"/>
      <c r="AL357" s="113">
        <f t="shared" si="131"/>
        <v>-32</v>
      </c>
      <c r="AM357" s="113">
        <f t="shared" si="129"/>
        <v>-960</v>
      </c>
      <c r="AN357" s="218"/>
      <c r="AO357" s="49"/>
      <c r="AP357" s="49"/>
      <c r="AQ357" s="84" t="s">
        <v>142</v>
      </c>
      <c r="AR357" s="49" t="s">
        <v>1325</v>
      </c>
      <c r="AS357" s="55">
        <v>-0.13</v>
      </c>
      <c r="AT357" s="55">
        <f>IF(ISBLANK(AS357),,IF(U357="S",AD357-AS357,AS357-AD357))</f>
        <v>0</v>
      </c>
      <c r="AU357" s="54">
        <f>AV357*R357</f>
        <v>0</v>
      </c>
      <c r="AV357" s="56">
        <f t="shared" ref="AV357" si="132">IF(ISBLANK(AS357),,(AT357*Z357))</f>
        <v>0</v>
      </c>
      <c r="AW357" s="57" t="s">
        <v>155</v>
      </c>
      <c r="AX357" s="153"/>
      <c r="AY357" s="153"/>
      <c r="AZ357" s="153"/>
      <c r="BA357" s="153"/>
      <c r="BB357" s="153"/>
      <c r="BC357" s="153"/>
      <c r="BD357" s="151"/>
      <c r="BE357" s="152"/>
      <c r="BF357" s="151"/>
      <c r="BG357" s="94">
        <f>SUM($AV$4:AV357)</f>
        <v>1559.6420260097843</v>
      </c>
      <c r="BH357" s="95">
        <f>SUM($AU$4:AU357)</f>
        <v>26704.780000000177</v>
      </c>
      <c r="BI357" s="80">
        <f>SUMIFS($AU$3:AU358,$Q$3:Q358,"F")</f>
        <v>19188.400000000001</v>
      </c>
      <c r="BJ357" s="80">
        <f>SUMIFS($AU$3:AU358,$Q$3:Q358,"S")</f>
        <v>5727.9999999999909</v>
      </c>
      <c r="BK357" s="87">
        <f>SUMIFS($AU$3:AU358,$P$3:P358,"W")</f>
        <v>19085.580000000136</v>
      </c>
      <c r="BL357" s="87">
        <f>SUMIFS($AU$3:AU358,$P$3:P358,"R")</f>
        <v>6661.9999999999991</v>
      </c>
      <c r="BM357" s="87">
        <f>SUMIFS($AU$3:AU358,$AQ$3:AQ358,"M")</f>
        <v>5261.1799999997265</v>
      </c>
      <c r="BN357" s="87">
        <f>SUMIFS($AU$3:AU358,$AQ$3:AQ358,"H")</f>
        <v>4299.2000000004446</v>
      </c>
      <c r="BO357" s="87">
        <f>SUMIFS($AU$3:AU358,$AQ$3:AQ358,"D")</f>
        <v>5426.0000000000009</v>
      </c>
      <c r="BP357" s="87">
        <f>SUMIFS($AU$3:AU445,$AQ$3:AQ445,"W")</f>
        <v>12022.400000000001</v>
      </c>
      <c r="BQ357" s="87">
        <f>SUMIFS($AU$3:AU358,$Q$3:Q358,"O")</f>
        <v>1828.3800000001911</v>
      </c>
      <c r="BR357" s="87">
        <f>SUMIFS($AU$3:AU358,$AA$3:AA358,"*")</f>
        <v>21865.600000000064</v>
      </c>
      <c r="BS357" s="87">
        <f>SUMIFS($AU$3:AU358,$AB$3:AB358,"*")</f>
        <v>6951.1799999999312</v>
      </c>
      <c r="BT357" s="87">
        <f>SUMIFS($AU$3:AU358,$AC$3:AC358,"*")</f>
        <v>16068.4</v>
      </c>
      <c r="BU357" s="87">
        <f>SUMIFS($AU$3:AU358,$AA$3:AA358,"*",$AB$3:AB358,"*")</f>
        <v>4415.9999999998217</v>
      </c>
      <c r="BV357" s="87">
        <f>SUMIFS($AU$3:AU358,$AA$3:AA358,"*",$AC$3:AC358,"*")</f>
        <v>13764.4</v>
      </c>
      <c r="BW357" s="87">
        <f>SUMIFS($AU$3:AU358,$AB$3:AB358,"*",$AC$3:AC358,"*")</f>
        <v>3279.9999999999982</v>
      </c>
      <c r="BX357" s="87">
        <f>SUMIFS($AV$3:AV358,$Q$3:Q358,"F")</f>
        <v>357.19230875404793</v>
      </c>
      <c r="BY357" s="87">
        <f>SUMIFS($AV$3:AV358,$Q$3:Q358,"S")</f>
        <v>367.10971725586728</v>
      </c>
      <c r="BZ357" s="87">
        <f>SUMIFS($AV$3:AV358,$Q$3:Q358,"O")</f>
        <v>519.33999999986361</v>
      </c>
    </row>
    <row r="358" spans="1:78" ht="15.75" customHeight="1">
      <c r="A358" s="45" t="s">
        <v>1310</v>
      </c>
      <c r="B358" s="59">
        <v>45384</v>
      </c>
      <c r="C358" s="46" t="s">
        <v>1326</v>
      </c>
      <c r="D358" s="46" t="s">
        <v>98</v>
      </c>
      <c r="E358" s="66"/>
      <c r="F358" s="47"/>
      <c r="G358" s="106" t="s">
        <v>111</v>
      </c>
      <c r="H358" s="49"/>
      <c r="I358" s="49"/>
      <c r="J358" s="49"/>
      <c r="K358" s="50"/>
      <c r="L358" s="49">
        <v>1</v>
      </c>
      <c r="M358" s="49"/>
      <c r="N358" s="49"/>
      <c r="O358" s="50" t="s">
        <v>100</v>
      </c>
      <c r="P358" s="50" t="s">
        <v>101</v>
      </c>
      <c r="Q358" s="50" t="s">
        <v>102</v>
      </c>
      <c r="R358" s="50">
        <v>20</v>
      </c>
      <c r="S358" s="161">
        <v>0</v>
      </c>
      <c r="T358" s="50">
        <v>20</v>
      </c>
      <c r="U358" s="50" t="s">
        <v>102</v>
      </c>
      <c r="V358" s="50"/>
      <c r="W358" s="50"/>
      <c r="X358" s="50"/>
      <c r="Y358" s="51">
        <f>IF(ISBLANK(O358),"",(IF(O358=UPPER("IB"),0.005,0.01)))</f>
        <v>0.01</v>
      </c>
      <c r="Z358" s="52">
        <f>IF(ISBLANK(O358),"",IF(O358="IB",8.63*200,IF(O358="IR",16*100,IF(O358="YT",20*100,IF(O358="YT-XT",24*200,IF(O358="TED",80*100,IF(O358="XT",29*200)))))))</f>
        <v>1600</v>
      </c>
      <c r="AA358" s="52" t="s">
        <v>925</v>
      </c>
      <c r="AB358" s="52"/>
      <c r="AC358" s="52" t="s">
        <v>415</v>
      </c>
      <c r="AD358" s="231">
        <v>-0.1</v>
      </c>
      <c r="AE358" s="49"/>
      <c r="AF358" s="84"/>
      <c r="AG358" s="49"/>
      <c r="AH358" s="49"/>
      <c r="AI358" s="49"/>
      <c r="AJ358" s="226"/>
      <c r="AK358" s="49"/>
      <c r="AL358" s="113">
        <f t="shared" si="131"/>
        <v>-32</v>
      </c>
      <c r="AM358" s="113">
        <f t="shared" si="129"/>
        <v>-640</v>
      </c>
      <c r="AN358" s="218"/>
      <c r="AO358" s="49"/>
      <c r="AP358" s="49" t="s">
        <v>283</v>
      </c>
      <c r="AQ358" s="84" t="s">
        <v>142</v>
      </c>
      <c r="AR358" s="49" t="s">
        <v>1327</v>
      </c>
      <c r="AS358" s="55">
        <v>-0.1</v>
      </c>
      <c r="AT358" s="55">
        <f>IF(ISBLANK(AS358),,IF(U358="S",AD358-AS358,AS358-AD358))</f>
        <v>0</v>
      </c>
      <c r="AU358" s="54">
        <f>AV358*R358</f>
        <v>0</v>
      </c>
      <c r="AV358" s="56">
        <f t="shared" ref="AV358:AV361" si="133">IF(ISBLANK(AS358),,(AT358*Z358))</f>
        <v>0</v>
      </c>
      <c r="AW358" s="57" t="s">
        <v>155</v>
      </c>
      <c r="AX358" s="153" t="s">
        <v>1328</v>
      </c>
      <c r="AY358" s="153"/>
      <c r="AZ358" s="153"/>
      <c r="BA358" s="153"/>
      <c r="BB358" s="153"/>
      <c r="BC358" s="153"/>
      <c r="BD358" s="151"/>
      <c r="BE358" s="152"/>
      <c r="BF358" s="151"/>
      <c r="BG358" s="94">
        <f>SUM($AV$4:AV358)</f>
        <v>1559.6420260097843</v>
      </c>
      <c r="BH358" s="95">
        <f>SUM($AU$4:AU358)</f>
        <v>26704.780000000177</v>
      </c>
      <c r="BI358" s="80">
        <f>SUMIFS($AU$3:AU359,$Q$3:Q359,"F")</f>
        <v>19188.400000000001</v>
      </c>
      <c r="BJ358" s="80">
        <f>SUMIFS($AU$3:AU359,$Q$3:Q359,"S")</f>
        <v>5727.9999999999909</v>
      </c>
      <c r="BK358" s="87">
        <f>SUMIFS($AU$3:AU359,$P$3:P359,"W")</f>
        <v>19085.580000000136</v>
      </c>
      <c r="BL358" s="87">
        <f>SUMIFS($AU$3:AU359,$P$3:P359,"R")</f>
        <v>6661.9999999999991</v>
      </c>
      <c r="BM358" s="87">
        <f>SUMIFS($AU$3:AU359,$AQ$3:AQ359,"M")</f>
        <v>5261.1799999997265</v>
      </c>
      <c r="BN358" s="87">
        <f>SUMIFS($AU$3:AU359,$AQ$3:AQ359,"H")</f>
        <v>4299.2000000004446</v>
      </c>
      <c r="BO358" s="87">
        <f>SUMIFS($AU$3:AU359,$AQ$3:AQ359,"D")</f>
        <v>5426.0000000000009</v>
      </c>
      <c r="BP358" s="87">
        <f>SUMIFS($AU$3:AU446,$AQ$3:AQ446,"W")</f>
        <v>12022.400000000001</v>
      </c>
      <c r="BQ358" s="87">
        <f>SUMIFS($AU$3:AU359,$Q$3:Q359,"O")</f>
        <v>1828.3800000001911</v>
      </c>
      <c r="BR358" s="87">
        <f>SUMIFS($AU$3:AU359,$AA$3:AA359,"*")</f>
        <v>21865.600000000064</v>
      </c>
      <c r="BS358" s="87">
        <f>SUMIFS($AU$3:AU359,$AB$3:AB359,"*")</f>
        <v>6951.1799999999312</v>
      </c>
      <c r="BT358" s="87">
        <f>SUMIFS($AU$3:AU359,$AC$3:AC359,"*")</f>
        <v>16068.4</v>
      </c>
      <c r="BU358" s="87">
        <f>SUMIFS($AU$3:AU359,$AA$3:AA359,"*",$AB$3:AB359,"*")</f>
        <v>4415.9999999998217</v>
      </c>
      <c r="BV358" s="87">
        <f>SUMIFS($AU$3:AU359,$AA$3:AA359,"*",$AC$3:AC359,"*")</f>
        <v>13764.4</v>
      </c>
      <c r="BW358" s="87">
        <f>SUMIFS($AU$3:AU359,$AB$3:AB359,"*",$AC$3:AC359,"*")</f>
        <v>3279.9999999999982</v>
      </c>
      <c r="BX358" s="87">
        <f>SUMIFS($AV$3:AV359,$Q$3:Q359,"F")</f>
        <v>357.19230875404793</v>
      </c>
      <c r="BY358" s="87">
        <f>SUMIFS($AV$3:AV359,$Q$3:Q359,"S")</f>
        <v>367.10971725586728</v>
      </c>
      <c r="BZ358" s="87">
        <f>SUMIFS($AV$3:AV359,$Q$3:Q359,"O")</f>
        <v>519.33999999986361</v>
      </c>
    </row>
    <row r="359" spans="1:78" ht="15.75" customHeight="1">
      <c r="A359" s="45" t="s">
        <v>1310</v>
      </c>
      <c r="B359" s="59">
        <v>45384</v>
      </c>
      <c r="C359" s="46" t="s">
        <v>1326</v>
      </c>
      <c r="D359" s="46" t="s">
        <v>98</v>
      </c>
      <c r="E359" s="66"/>
      <c r="F359" s="47"/>
      <c r="G359" s="48" t="s">
        <v>111</v>
      </c>
      <c r="H359" s="49"/>
      <c r="I359" s="49"/>
      <c r="J359" s="49"/>
      <c r="K359" s="50"/>
      <c r="L359" s="49"/>
      <c r="M359" s="49"/>
      <c r="N359" s="49"/>
      <c r="O359" s="50"/>
      <c r="P359" s="50"/>
      <c r="Q359" s="50"/>
      <c r="R359" s="50"/>
      <c r="S359" s="161"/>
      <c r="T359" s="50"/>
      <c r="U359" s="50"/>
      <c r="V359" s="50"/>
      <c r="W359" s="50"/>
      <c r="X359" s="50"/>
      <c r="Y359" s="51"/>
      <c r="Z359" s="52"/>
      <c r="AA359" s="52"/>
      <c r="AB359" s="52"/>
      <c r="AC359" s="52"/>
      <c r="AD359" s="231"/>
      <c r="AE359" s="49"/>
      <c r="AF359" s="84"/>
      <c r="AG359" s="49"/>
      <c r="AH359" s="49"/>
      <c r="AI359" s="49"/>
      <c r="AJ359" s="226" t="s">
        <v>1329</v>
      </c>
      <c r="AK359" s="49"/>
      <c r="AL359" s="113">
        <f t="shared" si="131"/>
        <v>0</v>
      </c>
      <c r="AM359" s="113">
        <f t="shared" si="129"/>
        <v>0</v>
      </c>
      <c r="AN359" s="218"/>
      <c r="AO359" s="49"/>
      <c r="AP359" s="49"/>
      <c r="AQ359" s="84" t="str">
        <f>UPPER(RIGHT(Journal_Live[[#This Row],[DURATION ]]))</f>
        <v/>
      </c>
      <c r="AR359" s="49"/>
      <c r="AS359" s="55"/>
      <c r="AT359" s="55"/>
      <c r="AU359" s="54"/>
      <c r="AV359" s="56"/>
      <c r="AW359" s="57"/>
      <c r="AX359" s="153"/>
      <c r="AY359" s="153"/>
      <c r="AZ359" s="153"/>
      <c r="BA359" s="153"/>
      <c r="BB359" s="153"/>
      <c r="BC359" s="153"/>
      <c r="BD359" s="151"/>
      <c r="BE359" s="152"/>
      <c r="BF359" s="151"/>
      <c r="BG359" s="94">
        <f>SUM($AV$4:AV359)</f>
        <v>1559.6420260097843</v>
      </c>
      <c r="BH359" s="95">
        <f>SUM($AU$4:AU359)</f>
        <v>26704.780000000177</v>
      </c>
      <c r="BI359" s="80">
        <f>SUMIFS($AU$3:AU360,$Q$3:Q360,"F")</f>
        <v>19188.400000000001</v>
      </c>
      <c r="BJ359" s="80">
        <f>SUMIFS($AU$3:AU360,$Q$3:Q360,"S")</f>
        <v>5727.9999999999909</v>
      </c>
      <c r="BK359" s="87">
        <f>SUMIFS($AU$3:AU360,$P$3:P360,"W")</f>
        <v>19085.580000000136</v>
      </c>
      <c r="BL359" s="87">
        <f>SUMIFS($AU$3:AU360,$P$3:P360,"R")</f>
        <v>6661.9999999999991</v>
      </c>
      <c r="BM359" s="87">
        <f>SUMIFS($AU$3:AU360,$AQ$3:AQ360,"M")</f>
        <v>5261.1799999997265</v>
      </c>
      <c r="BN359" s="87">
        <f>SUMIFS($AU$3:AU360,$AQ$3:AQ360,"H")</f>
        <v>4299.2000000004446</v>
      </c>
      <c r="BO359" s="87">
        <f>SUMIFS($AU$3:AU360,$AQ$3:AQ360,"D")</f>
        <v>5426.0000000000009</v>
      </c>
      <c r="BP359" s="87">
        <f>SUMIFS($AU$3:AU447,$AQ$3:AQ447,"W")</f>
        <v>12022.400000000001</v>
      </c>
      <c r="BQ359" s="87">
        <f>SUMIFS($AU$3:AU360,$Q$3:Q360,"O")</f>
        <v>1828.3800000001911</v>
      </c>
      <c r="BR359" s="87">
        <f>SUMIFS($AU$3:AU360,$AA$3:AA360,"*")</f>
        <v>21865.600000000064</v>
      </c>
      <c r="BS359" s="87">
        <f>SUMIFS($AU$3:AU360,$AB$3:AB360,"*")</f>
        <v>6951.1799999999312</v>
      </c>
      <c r="BT359" s="87">
        <f>SUMIFS($AU$3:AU360,$AC$3:AC360,"*")</f>
        <v>16068.4</v>
      </c>
      <c r="BU359" s="87">
        <f>SUMIFS($AU$3:AU360,$AA$3:AA360,"*",$AB$3:AB360,"*")</f>
        <v>4415.9999999998217</v>
      </c>
      <c r="BV359" s="87">
        <f>SUMIFS($AU$3:AU360,$AA$3:AA360,"*",$AC$3:AC360,"*")</f>
        <v>13764.4</v>
      </c>
      <c r="BW359" s="87">
        <f>SUMIFS($AU$3:AU360,$AB$3:AB360,"*",$AC$3:AC360,"*")</f>
        <v>3279.9999999999982</v>
      </c>
      <c r="BX359" s="87">
        <f>SUMIFS($AV$3:AV360,$Q$3:Q360,"F")</f>
        <v>357.19230875404793</v>
      </c>
      <c r="BY359" s="87">
        <f>SUMIFS($AV$3:AV360,$Q$3:Q360,"S")</f>
        <v>367.10971725586728</v>
      </c>
      <c r="BZ359" s="87">
        <f>SUMIFS($AV$3:AV360,$Q$3:Q360,"O")</f>
        <v>519.33999999986361</v>
      </c>
    </row>
    <row r="360" spans="1:78" ht="15.75" customHeight="1">
      <c r="A360" s="45" t="s">
        <v>1310</v>
      </c>
      <c r="B360" s="59">
        <v>45384</v>
      </c>
      <c r="C360" s="46" t="s">
        <v>1330</v>
      </c>
      <c r="D360" s="46" t="s">
        <v>98</v>
      </c>
      <c r="E360" s="66"/>
      <c r="F360" s="47"/>
      <c r="G360" s="48" t="s">
        <v>227</v>
      </c>
      <c r="H360" s="49"/>
      <c r="I360" s="49"/>
      <c r="J360" s="49"/>
      <c r="K360" s="50"/>
      <c r="L360" s="49"/>
      <c r="M360" s="49"/>
      <c r="N360" s="49"/>
      <c r="O360" s="50"/>
      <c r="P360" s="50"/>
      <c r="Q360" s="50"/>
      <c r="R360" s="50"/>
      <c r="S360" s="161"/>
      <c r="T360" s="50"/>
      <c r="U360" s="50"/>
      <c r="V360" s="50"/>
      <c r="W360" s="50"/>
      <c r="X360" s="50"/>
      <c r="Y360" s="51"/>
      <c r="Z360" s="52"/>
      <c r="AA360" s="52"/>
      <c r="AB360" s="52"/>
      <c r="AC360" s="52"/>
      <c r="AD360" s="231"/>
      <c r="AE360" s="49"/>
      <c r="AF360" s="84"/>
      <c r="AG360" s="49"/>
      <c r="AH360" s="49"/>
      <c r="AI360" s="49"/>
      <c r="AJ360" s="226"/>
      <c r="AK360" s="49"/>
      <c r="AL360" s="113">
        <f t="shared" si="130"/>
        <v>0</v>
      </c>
      <c r="AM360" s="113">
        <f t="shared" si="129"/>
        <v>0</v>
      </c>
      <c r="AN360" s="218"/>
      <c r="AO360" s="49"/>
      <c r="AP360" s="49"/>
      <c r="AQ360" s="84" t="str">
        <f>UPPER(RIGHT(Journal_Live[[#This Row],[DURATION ]]))</f>
        <v/>
      </c>
      <c r="AR360" s="49"/>
      <c r="AS360" s="55"/>
      <c r="AT360" s="55"/>
      <c r="AU360" s="54"/>
      <c r="AV360" s="56"/>
      <c r="AW360" s="57"/>
      <c r="AX360" s="153"/>
      <c r="AY360" s="153"/>
      <c r="AZ360" s="153"/>
      <c r="BA360" s="153"/>
      <c r="BB360" s="153"/>
      <c r="BC360" s="153"/>
      <c r="BD360" s="151"/>
      <c r="BE360" s="152"/>
      <c r="BF360" s="151"/>
      <c r="BG360" s="94">
        <f>SUM($AV$4:AV360)</f>
        <v>1559.6420260097843</v>
      </c>
      <c r="BH360" s="95">
        <f>SUM($AU$4:AU360)</f>
        <v>26704.780000000177</v>
      </c>
      <c r="BI360" s="80">
        <f>SUMIFS($AU$3:AU361,$Q$3:Q361,"F")</f>
        <v>19188.400000000001</v>
      </c>
      <c r="BJ360" s="80">
        <f>SUMIFS($AU$3:AU361,$Q$3:Q361,"S")</f>
        <v>6335.9999999999909</v>
      </c>
      <c r="BK360" s="87">
        <f>SUMIFS($AU$3:AU361,$P$3:P361,"W")</f>
        <v>19693.580000000136</v>
      </c>
      <c r="BL360" s="87">
        <f>SUMIFS($AU$3:AU361,$P$3:P361,"R")</f>
        <v>6661.9999999999991</v>
      </c>
      <c r="BM360" s="87">
        <f>SUMIFS($AU$3:AU361,$AQ$3:AQ361,"M")</f>
        <v>5261.1799999997265</v>
      </c>
      <c r="BN360" s="87">
        <f>SUMIFS($AU$3:AU361,$AQ$3:AQ361,"H")</f>
        <v>4907.2000000004446</v>
      </c>
      <c r="BO360" s="87">
        <f>SUMIFS($AU$3:AU361,$AQ$3:AQ361,"D")</f>
        <v>5426.0000000000009</v>
      </c>
      <c r="BP360" s="87">
        <f>SUMIFS($AU$3:AU448,$AQ$3:AQ448,"W")</f>
        <v>12022.400000000001</v>
      </c>
      <c r="BQ360" s="87">
        <f>SUMIFS($AU$3:AU361,$Q$3:Q361,"O")</f>
        <v>1828.3800000001911</v>
      </c>
      <c r="BR360" s="87">
        <f>SUMIFS($AU$3:AU361,$AA$3:AA361,"*")</f>
        <v>22473.600000000064</v>
      </c>
      <c r="BS360" s="87">
        <f>SUMIFS($AU$3:AU361,$AB$3:AB361,"*")</f>
        <v>6951.1799999999312</v>
      </c>
      <c r="BT360" s="87">
        <f>SUMIFS($AU$3:AU361,$AC$3:AC361,"*")</f>
        <v>16068.4</v>
      </c>
      <c r="BU360" s="87">
        <f>SUMIFS($AU$3:AU361,$AA$3:AA361,"*",$AB$3:AB361,"*")</f>
        <v>4415.9999999998217</v>
      </c>
      <c r="BV360" s="87">
        <f>SUMIFS($AU$3:AU361,$AA$3:AA361,"*",$AC$3:AC361,"*")</f>
        <v>13764.4</v>
      </c>
      <c r="BW360" s="87">
        <f>SUMIFS($AU$3:AU361,$AB$3:AB361,"*",$AC$3:AC361,"*")</f>
        <v>3279.9999999999982</v>
      </c>
      <c r="BX360" s="87">
        <f>SUMIFS($AV$3:AV361,$Q$3:Q361,"F")</f>
        <v>357.19230875404793</v>
      </c>
      <c r="BY360" s="87">
        <f>SUMIFS($AV$3:AV361,$Q$3:Q361,"S")</f>
        <v>392.44305058920065</v>
      </c>
      <c r="BZ360" s="87">
        <f>SUMIFS($AV$3:AV361,$Q$3:Q361,"O")</f>
        <v>519.33999999986361</v>
      </c>
    </row>
    <row r="361" spans="1:78" ht="15.75" customHeight="1">
      <c r="A361" s="45" t="s">
        <v>1310</v>
      </c>
      <c r="B361" s="59">
        <v>45384</v>
      </c>
      <c r="C361" s="46" t="s">
        <v>1331</v>
      </c>
      <c r="D361" s="46" t="s">
        <v>98</v>
      </c>
      <c r="E361" s="66"/>
      <c r="F361" s="47"/>
      <c r="G361" s="106" t="s">
        <v>459</v>
      </c>
      <c r="H361" s="49"/>
      <c r="I361" s="49"/>
      <c r="J361" s="49"/>
      <c r="K361" s="50"/>
      <c r="L361" s="49">
        <v>1</v>
      </c>
      <c r="M361" s="49"/>
      <c r="N361" s="49"/>
      <c r="O361" s="50" t="s">
        <v>100</v>
      </c>
      <c r="P361" s="50" t="s">
        <v>101</v>
      </c>
      <c r="Q361" s="50" t="s">
        <v>102</v>
      </c>
      <c r="R361" s="50">
        <v>24</v>
      </c>
      <c r="S361" s="161">
        <v>10</v>
      </c>
      <c r="T361" s="50">
        <v>24</v>
      </c>
      <c r="U361" s="50" t="s">
        <v>102</v>
      </c>
      <c r="V361" s="50"/>
      <c r="W361" s="50"/>
      <c r="X361" s="50"/>
      <c r="Y361" s="51">
        <f>IF(ISBLANK(O361),"",(IF(O361=UPPER("IB"),0.005,0.01)))</f>
        <v>0.01</v>
      </c>
      <c r="Z361" s="52">
        <f>IF(ISBLANK(O361),"",IF(O361="IB",8.63*200,IF(O361="IR",16*100,IF(O361="YT",20*100,IF(O361="YT-XT",24*200,IF(O361="TED",80*100,IF(O361="XT",29*200)))))))</f>
        <v>1600</v>
      </c>
      <c r="AA361" s="52" t="s">
        <v>1332</v>
      </c>
      <c r="AB361" s="52"/>
      <c r="AC361" s="52"/>
      <c r="AD361" s="231">
        <v>-0.21</v>
      </c>
      <c r="AE361" s="49"/>
      <c r="AF361" s="84"/>
      <c r="AG361" s="49"/>
      <c r="AH361" s="49"/>
      <c r="AI361" s="49"/>
      <c r="AJ361" s="226"/>
      <c r="AK361" s="49"/>
      <c r="AL361" s="113">
        <f t="shared" ref="AL361:AL368" si="134">-0.02*Z361</f>
        <v>-32</v>
      </c>
      <c r="AM361" s="113">
        <f t="shared" si="129"/>
        <v>-448</v>
      </c>
      <c r="AN361" s="218"/>
      <c r="AO361" s="49"/>
      <c r="AP361" s="49" t="s">
        <v>1333</v>
      </c>
      <c r="AQ361" s="84" t="s">
        <v>142</v>
      </c>
      <c r="AR361" s="49" t="s">
        <v>1334</v>
      </c>
      <c r="AS361" s="55">
        <f>((-0.22*10)+(-0.23*14))/24</f>
        <v>-0.22583333333333333</v>
      </c>
      <c r="AT361" s="55">
        <f>IF(ISBLANK(AS361),,IF(U361="S",AD361-AS361,AS361-AD361))</f>
        <v>1.5833333333333338E-2</v>
      </c>
      <c r="AU361" s="54">
        <f>AV361*R361</f>
        <v>608.00000000000023</v>
      </c>
      <c r="AV361" s="56">
        <f t="shared" si="133"/>
        <v>25.333333333333343</v>
      </c>
      <c r="AW361" s="57" t="s">
        <v>101</v>
      </c>
      <c r="AX361" s="153" t="s">
        <v>489</v>
      </c>
      <c r="AY361" s="153"/>
      <c r="AZ361" s="153"/>
      <c r="BA361" s="153"/>
      <c r="BB361" s="153"/>
      <c r="BC361" s="153"/>
      <c r="BD361" s="151"/>
      <c r="BE361" s="152"/>
      <c r="BF361" s="151"/>
      <c r="BG361" s="94">
        <f>SUM($AV$4:AV361)</f>
        <v>1584.9753593431176</v>
      </c>
      <c r="BH361" s="95">
        <f>SUM($AU$4:AU361)</f>
        <v>27312.780000000177</v>
      </c>
      <c r="BI361" s="80">
        <f>SUMIFS($AU$3:AU362,$Q$3:Q362,"F")</f>
        <v>19188.400000000001</v>
      </c>
      <c r="BJ361" s="80">
        <f>SUMIFS($AU$3:AU362,$Q$3:Q362,"S")</f>
        <v>6335.9999999999909</v>
      </c>
      <c r="BK361" s="87">
        <f>SUMIFS($AU$3:AU362,$P$3:P362,"W")</f>
        <v>19693.580000000136</v>
      </c>
      <c r="BL361" s="87">
        <f>SUMIFS($AU$3:AU362,$P$3:P362,"R")</f>
        <v>6661.9999999999991</v>
      </c>
      <c r="BM361" s="87">
        <f>SUMIFS($AU$3:AU362,$AQ$3:AQ362,"M")</f>
        <v>5261.1799999997265</v>
      </c>
      <c r="BN361" s="87">
        <f>SUMIFS($AU$3:AU362,$AQ$3:AQ362,"H")</f>
        <v>4907.2000000004446</v>
      </c>
      <c r="BO361" s="87">
        <f>SUMIFS($AU$3:AU362,$AQ$3:AQ362,"D")</f>
        <v>5426.0000000000009</v>
      </c>
      <c r="BP361" s="87">
        <f>SUMIFS($AU$3:AU449,$AQ$3:AQ449,"W")</f>
        <v>12022.400000000001</v>
      </c>
      <c r="BQ361" s="87">
        <f>SUMIFS($AU$3:AU362,$Q$3:Q362,"O")</f>
        <v>1828.3800000001911</v>
      </c>
      <c r="BR361" s="87">
        <f>SUMIFS($AU$3:AU362,$AA$3:AA362,"*")</f>
        <v>22473.600000000064</v>
      </c>
      <c r="BS361" s="87">
        <f>SUMIFS($AU$3:AU362,$AB$3:AB362,"*")</f>
        <v>6951.1799999999312</v>
      </c>
      <c r="BT361" s="87">
        <f>SUMIFS($AU$3:AU362,$AC$3:AC362,"*")</f>
        <v>16068.4</v>
      </c>
      <c r="BU361" s="87">
        <f>SUMIFS($AU$3:AU362,$AA$3:AA362,"*",$AB$3:AB362,"*")</f>
        <v>4415.9999999998217</v>
      </c>
      <c r="BV361" s="87">
        <f>SUMIFS($AU$3:AU362,$AA$3:AA362,"*",$AC$3:AC362,"*")</f>
        <v>13764.4</v>
      </c>
      <c r="BW361" s="87">
        <f>SUMIFS($AU$3:AU362,$AB$3:AB362,"*",$AC$3:AC362,"*")</f>
        <v>3279.9999999999982</v>
      </c>
      <c r="BX361" s="87">
        <f>SUMIFS($AV$3:AV362,$Q$3:Q362,"F")</f>
        <v>357.19230875404793</v>
      </c>
      <c r="BY361" s="87">
        <f>SUMIFS($AV$3:AV362,$Q$3:Q362,"S")</f>
        <v>392.44305058920065</v>
      </c>
      <c r="BZ361" s="87">
        <f>SUMIFS($AV$3:AV362,$Q$3:Q362,"O")</f>
        <v>519.33999999986361</v>
      </c>
    </row>
    <row r="362" spans="1:78" ht="15.75" customHeight="1">
      <c r="A362" s="45" t="s">
        <v>1310</v>
      </c>
      <c r="B362" s="59">
        <v>45385</v>
      </c>
      <c r="C362" s="46" t="s">
        <v>293</v>
      </c>
      <c r="D362" s="46" t="s">
        <v>186</v>
      </c>
      <c r="E362" s="66"/>
      <c r="F362" s="47"/>
      <c r="G362" s="48" t="s">
        <v>227</v>
      </c>
      <c r="H362" s="49"/>
      <c r="I362" s="49"/>
      <c r="J362" s="49"/>
      <c r="K362" s="50"/>
      <c r="L362" s="49"/>
      <c r="M362" s="49"/>
      <c r="N362" s="49"/>
      <c r="O362" s="50"/>
      <c r="P362" s="50"/>
      <c r="Q362" s="50"/>
      <c r="R362" s="50"/>
      <c r="S362" s="50"/>
      <c r="T362" s="50"/>
      <c r="U362" s="50"/>
      <c r="V362" s="50"/>
      <c r="W362" s="50"/>
      <c r="X362" s="50"/>
      <c r="Y362" s="51"/>
      <c r="Z362" s="52"/>
      <c r="AA362" s="52"/>
      <c r="AB362" s="52"/>
      <c r="AC362" s="52"/>
      <c r="AD362" s="231"/>
      <c r="AE362" s="49"/>
      <c r="AF362" s="84"/>
      <c r="AG362" s="49"/>
      <c r="AH362" s="49"/>
      <c r="AI362" s="49"/>
      <c r="AJ362" s="226"/>
      <c r="AK362" s="49"/>
      <c r="AL362" s="113">
        <f t="shared" si="134"/>
        <v>0</v>
      </c>
      <c r="AM362" s="113">
        <f t="shared" si="129"/>
        <v>0</v>
      </c>
      <c r="AN362" s="218"/>
      <c r="AO362" s="49"/>
      <c r="AP362" s="49"/>
      <c r="AQ362" s="84" t="str">
        <f>UPPER(RIGHT(Journal_Live[[#This Row],[DURATION ]]))</f>
        <v/>
      </c>
      <c r="AR362" s="49"/>
      <c r="AS362" s="55"/>
      <c r="AT362" s="55"/>
      <c r="AU362" s="54"/>
      <c r="AV362" s="56"/>
      <c r="AW362" s="57"/>
      <c r="AX362" s="153"/>
      <c r="AY362" s="153"/>
      <c r="AZ362" s="153"/>
      <c r="BA362" s="153"/>
      <c r="BB362" s="153"/>
      <c r="BC362" s="153"/>
      <c r="BD362" s="151"/>
      <c r="BE362" s="152"/>
      <c r="BF362" s="151"/>
      <c r="BG362" s="94">
        <f>SUM($AV$4:AV362)</f>
        <v>1584.9753593431176</v>
      </c>
      <c r="BH362" s="95">
        <f>SUM($AU$4:AU362)</f>
        <v>27312.780000000177</v>
      </c>
      <c r="BI362" s="80">
        <f>SUMIFS($AU$3:AU363,$Q$3:Q363,"F")</f>
        <v>19188.400000000001</v>
      </c>
      <c r="BJ362" s="80">
        <f>SUMIFS($AU$3:AU363,$Q$3:Q363,"S")</f>
        <v>6335.9999999999909</v>
      </c>
      <c r="BK362" s="87">
        <f>SUMIFS($AU$3:AU363,$P$3:P363,"W")</f>
        <v>19693.580000000136</v>
      </c>
      <c r="BL362" s="87">
        <f>SUMIFS($AU$3:AU363,$P$3:P363,"R")</f>
        <v>6661.9999999999991</v>
      </c>
      <c r="BM362" s="87">
        <f>SUMIFS($AU$3:AU363,$AQ$3:AQ363,"M")</f>
        <v>5261.1799999997265</v>
      </c>
      <c r="BN362" s="87">
        <f>SUMIFS($AU$3:AU363,$AQ$3:AQ363,"H")</f>
        <v>4907.2000000004446</v>
      </c>
      <c r="BO362" s="87">
        <f>SUMIFS($AU$3:AU363,$AQ$3:AQ363,"D")</f>
        <v>5426.0000000000009</v>
      </c>
      <c r="BP362" s="87">
        <f>SUMIFS($AU$3:AU450,$AQ$3:AQ450,"W")</f>
        <v>12022.400000000001</v>
      </c>
      <c r="BQ362" s="87">
        <f>SUMIFS($AU$3:AU363,$Q$3:Q363,"O")</f>
        <v>1828.3800000001911</v>
      </c>
      <c r="BR362" s="87">
        <f>SUMIFS($AU$3:AU363,$AA$3:AA363,"*")</f>
        <v>22473.600000000064</v>
      </c>
      <c r="BS362" s="87">
        <f>SUMIFS($AU$3:AU363,$AB$3:AB363,"*")</f>
        <v>6951.1799999999312</v>
      </c>
      <c r="BT362" s="87">
        <f>SUMIFS($AU$3:AU363,$AC$3:AC363,"*")</f>
        <v>16068.4</v>
      </c>
      <c r="BU362" s="87">
        <f>SUMIFS($AU$3:AU363,$AA$3:AA363,"*",$AB$3:AB363,"*")</f>
        <v>4415.9999999998217</v>
      </c>
      <c r="BV362" s="87">
        <f>SUMIFS($AU$3:AU363,$AA$3:AA363,"*",$AC$3:AC363,"*")</f>
        <v>13764.4</v>
      </c>
      <c r="BW362" s="87">
        <f>SUMIFS($AU$3:AU363,$AB$3:AB363,"*",$AC$3:AC363,"*")</f>
        <v>3279.9999999999982</v>
      </c>
      <c r="BX362" s="87">
        <f>SUMIFS($AV$3:AV363,$Q$3:Q363,"F")</f>
        <v>357.19230875404793</v>
      </c>
      <c r="BY362" s="87">
        <f>SUMIFS($AV$3:AV363,$Q$3:Q363,"S")</f>
        <v>392.44305058920065</v>
      </c>
      <c r="BZ362" s="87">
        <f>SUMIFS($AV$3:AV363,$Q$3:Q363,"O")</f>
        <v>519.33999999986361</v>
      </c>
    </row>
    <row r="363" spans="1:78" ht="15.75" customHeight="1">
      <c r="A363" s="45" t="s">
        <v>1310</v>
      </c>
      <c r="B363" s="59">
        <v>45385</v>
      </c>
      <c r="C363" s="46"/>
      <c r="D363" s="46"/>
      <c r="E363" s="66"/>
      <c r="F363" s="47"/>
      <c r="G363" s="48"/>
      <c r="H363" s="49"/>
      <c r="I363" s="49"/>
      <c r="J363" s="49"/>
      <c r="K363" s="50"/>
      <c r="L363" s="49"/>
      <c r="M363" s="49"/>
      <c r="N363" s="49"/>
      <c r="O363" s="50"/>
      <c r="P363" s="50"/>
      <c r="Q363" s="50"/>
      <c r="R363" s="50"/>
      <c r="S363" s="50"/>
      <c r="T363" s="50"/>
      <c r="U363" s="50"/>
      <c r="V363" s="50"/>
      <c r="W363" s="50"/>
      <c r="X363" s="50"/>
      <c r="Y363" s="50"/>
      <c r="Z363" s="50"/>
      <c r="AA363" s="52"/>
      <c r="AB363" s="52"/>
      <c r="AC363" s="52"/>
      <c r="AD363" s="231"/>
      <c r="AE363" s="49"/>
      <c r="AF363" s="84"/>
      <c r="AG363" s="49"/>
      <c r="AH363" s="49"/>
      <c r="AI363" s="49"/>
      <c r="AJ363" s="226"/>
      <c r="AK363" s="49"/>
      <c r="AL363" s="113">
        <f t="shared" si="134"/>
        <v>0</v>
      </c>
      <c r="AM363" s="113">
        <f t="shared" si="129"/>
        <v>0</v>
      </c>
      <c r="AN363" s="218"/>
      <c r="AO363" s="49"/>
      <c r="AP363" s="49"/>
      <c r="AQ363" s="84" t="str">
        <f>UPPER(RIGHT(Journal_Live[[#This Row],[DURATION ]]))</f>
        <v/>
      </c>
      <c r="AR363" s="49"/>
      <c r="AS363" s="55"/>
      <c r="AT363" s="55"/>
      <c r="AU363" s="54"/>
      <c r="AV363" s="56"/>
      <c r="AW363" s="57"/>
      <c r="AX363" s="153" t="s">
        <v>1335</v>
      </c>
      <c r="AY363" s="153"/>
      <c r="AZ363" s="153"/>
      <c r="BA363" s="153"/>
      <c r="BB363" s="153"/>
      <c r="BC363" s="153"/>
      <c r="BD363" s="151"/>
      <c r="BE363" s="152"/>
      <c r="BF363" s="151"/>
      <c r="BG363" s="94">
        <f>SUM($AV$4:AV363)</f>
        <v>1584.9753593431176</v>
      </c>
      <c r="BH363" s="95">
        <f>SUM($AU$4:AU363)</f>
        <v>27312.780000000177</v>
      </c>
      <c r="BI363" s="80">
        <f>SUMIFS($AU$3:AU364,$Q$3:Q364,"F")</f>
        <v>19188.400000000001</v>
      </c>
      <c r="BJ363" s="80">
        <f>SUMIFS($AU$3:AU364,$Q$3:Q364,"S")</f>
        <v>6335.9999999999909</v>
      </c>
      <c r="BK363" s="87">
        <f>SUMIFS($AU$3:AU364,$P$3:P364,"W")</f>
        <v>19693.580000000136</v>
      </c>
      <c r="BL363" s="87">
        <f>SUMIFS($AU$3:AU364,$P$3:P364,"R")</f>
        <v>6325.9999999999991</v>
      </c>
      <c r="BM363" s="87">
        <f>SUMIFS($AU$3:AU364,$AQ$3:AQ364,"M")</f>
        <v>5261.1799999997265</v>
      </c>
      <c r="BN363" s="87">
        <f>SUMIFS($AU$3:AU364,$AQ$3:AQ364,"H")</f>
        <v>4907.2000000004446</v>
      </c>
      <c r="BO363" s="87">
        <f>SUMIFS($AU$3:AU364,$AQ$3:AQ364,"D")</f>
        <v>5090.0000000000009</v>
      </c>
      <c r="BP363" s="87">
        <f>SUMIFS($AU$3:AU451,$AQ$3:AQ451,"W")</f>
        <v>12022.400000000001</v>
      </c>
      <c r="BQ363" s="87">
        <f>SUMIFS($AU$3:AU364,$Q$3:Q364,"O")</f>
        <v>1828.3800000001911</v>
      </c>
      <c r="BR363" s="87">
        <f>SUMIFS($AU$3:AU364,$AA$3:AA364,"*")</f>
        <v>22137.600000000064</v>
      </c>
      <c r="BS363" s="87">
        <f>SUMIFS($AU$3:AU364,$AB$3:AB364,"*")</f>
        <v>6615.1799999999312</v>
      </c>
      <c r="BT363" s="87">
        <f>SUMIFS($AU$3:AU364,$AC$3:AC364,"*")</f>
        <v>16068.4</v>
      </c>
      <c r="BU363" s="87">
        <f>SUMIFS($AU$3:AU364,$AA$3:AA364,"*",$AB$3:AB364,"*")</f>
        <v>4079.9999999998217</v>
      </c>
      <c r="BV363" s="87">
        <f>SUMIFS($AU$3:AU364,$AA$3:AA364,"*",$AC$3:AC364,"*")</f>
        <v>13764.4</v>
      </c>
      <c r="BW363" s="87">
        <f>SUMIFS($AU$3:AU364,$AB$3:AB364,"*",$AC$3:AC364,"*")</f>
        <v>3279.9999999999982</v>
      </c>
      <c r="BX363" s="87">
        <f>SUMIFS($AV$3:AV364,$Q$3:Q364,"F")</f>
        <v>357.19230875404793</v>
      </c>
      <c r="BY363" s="87">
        <f>SUMIFS($AV$3:AV364,$Q$3:Q364,"S")</f>
        <v>392.44305058920065</v>
      </c>
      <c r="BZ363" s="87">
        <f>SUMIFS($AV$3:AV364,$Q$3:Q364,"O")</f>
        <v>519.33999999986361</v>
      </c>
    </row>
    <row r="364" spans="1:78" ht="15.75" customHeight="1">
      <c r="A364" s="45" t="s">
        <v>1310</v>
      </c>
      <c r="B364" s="59">
        <v>45385</v>
      </c>
      <c r="C364" s="46" t="s">
        <v>1336</v>
      </c>
      <c r="D364" s="46" t="s">
        <v>186</v>
      </c>
      <c r="E364" s="66"/>
      <c r="F364" s="47"/>
      <c r="G364" s="163" t="s">
        <v>1111</v>
      </c>
      <c r="H364" s="49"/>
      <c r="I364" s="49"/>
      <c r="J364" s="49"/>
      <c r="K364" s="50"/>
      <c r="L364" s="49">
        <v>1</v>
      </c>
      <c r="M364" s="49"/>
      <c r="N364" s="49"/>
      <c r="O364" s="50" t="s">
        <v>363</v>
      </c>
      <c r="P364" s="50" t="s">
        <v>126</v>
      </c>
      <c r="Q364" s="50"/>
      <c r="R364" s="50">
        <v>2</v>
      </c>
      <c r="S364" s="50">
        <v>1</v>
      </c>
      <c r="T364" s="50">
        <v>2</v>
      </c>
      <c r="U364" s="50" t="s">
        <v>22</v>
      </c>
      <c r="V364" s="50"/>
      <c r="W364" s="50"/>
      <c r="X364" s="50"/>
      <c r="Y364" s="51">
        <f t="shared" ref="Y364:Y369" si="135">IF(ISBLANK(O364),"",(IF(O364=UPPER("IB"),0.005,0.01)))</f>
        <v>0.01</v>
      </c>
      <c r="Z364" s="52">
        <f>IF(ISBLANK(O364),"",IF(O364="IB",8.63*200,IF(O364="IR",16*100,IF(O364="YT",20*100,IF(O364="YT-XT",24*200,IF(O364="TED",80*100))))))</f>
        <v>8000</v>
      </c>
      <c r="AA364" s="52" t="s">
        <v>1251</v>
      </c>
      <c r="AB364" s="52" t="s">
        <v>1337</v>
      </c>
      <c r="AC364" s="52"/>
      <c r="AD364" s="231">
        <v>-1.4E-2</v>
      </c>
      <c r="AE364" s="49"/>
      <c r="AF364" s="84"/>
      <c r="AG364" s="49"/>
      <c r="AH364" s="49"/>
      <c r="AI364" s="49"/>
      <c r="AJ364" s="226"/>
      <c r="AK364" s="49"/>
      <c r="AL364" s="113">
        <f t="shared" si="134"/>
        <v>-160</v>
      </c>
      <c r="AM364" s="113">
        <f t="shared" si="129"/>
        <v>-160</v>
      </c>
      <c r="AN364" s="218"/>
      <c r="AO364" s="49"/>
      <c r="AP364" s="49" t="s">
        <v>1338</v>
      </c>
      <c r="AQ364" s="84" t="s">
        <v>155</v>
      </c>
      <c r="AR364" s="49" t="s">
        <v>1339</v>
      </c>
      <c r="AS364" s="55">
        <f>((-0.03)+(-0.04))/2</f>
        <v>-3.5000000000000003E-2</v>
      </c>
      <c r="AT364" s="55">
        <f t="shared" ref="AT364:AT369" si="136">IF(ISBLANK(AS364),,IF(U364="S",AD364-AS364,AS364-AD364))</f>
        <v>-2.1000000000000005E-2</v>
      </c>
      <c r="AU364" s="54">
        <f t="shared" ref="AU364:AU369" si="137">AV364*R364</f>
        <v>-336.00000000000006</v>
      </c>
      <c r="AV364" s="56">
        <f t="shared" ref="AV364" si="138">IF(ISBLANK(AS364),,(AT364*Z364))</f>
        <v>-168.00000000000003</v>
      </c>
      <c r="AW364" s="57" t="s">
        <v>121</v>
      </c>
      <c r="AX364" s="153" t="s">
        <v>1340</v>
      </c>
      <c r="AY364" s="153"/>
      <c r="AZ364" s="153"/>
      <c r="BA364" s="153"/>
      <c r="BB364" s="153"/>
      <c r="BC364" s="153"/>
      <c r="BD364" s="151"/>
      <c r="BE364" s="152"/>
      <c r="BF364" s="151"/>
      <c r="BG364" s="94">
        <f>SUM($AV$4:AV364)</f>
        <v>1416.9753593431176</v>
      </c>
      <c r="BH364" s="95">
        <f>SUM($AU$4:AU364)</f>
        <v>26976.780000000177</v>
      </c>
      <c r="BI364" s="80">
        <f>SUMIFS($AU$3:AU365,$Q$3:Q365,"F")</f>
        <v>19188.400000000001</v>
      </c>
      <c r="BJ364" s="80">
        <f>SUMIFS($AU$3:AU365,$Q$3:Q365,"S")</f>
        <v>6655.9999999999909</v>
      </c>
      <c r="BK364" s="87">
        <f>SUMIFS($AU$3:AU365,$P$3:P365,"W")</f>
        <v>20013.580000000136</v>
      </c>
      <c r="BL364" s="87">
        <f>SUMIFS($AU$3:AU365,$P$3:P365,"R")</f>
        <v>6325.9999999999991</v>
      </c>
      <c r="BM364" s="87">
        <f>SUMIFS($AU$3:AU365,$AQ$3:AQ365,"M")</f>
        <v>5581.1799999997265</v>
      </c>
      <c r="BN364" s="87">
        <f>SUMIFS($AU$3:AU365,$AQ$3:AQ365,"H")</f>
        <v>4907.2000000004446</v>
      </c>
      <c r="BO364" s="87">
        <f>SUMIFS($AU$3:AU365,$AQ$3:AQ365,"D")</f>
        <v>5090.0000000000009</v>
      </c>
      <c r="BP364" s="87">
        <f>SUMIFS($AU$3:AU452,$AQ$3:AQ452,"W")</f>
        <v>12022.400000000001</v>
      </c>
      <c r="BQ364" s="87">
        <f>SUMIFS($AU$3:AU365,$Q$3:Q365,"O")</f>
        <v>1828.3800000001911</v>
      </c>
      <c r="BR364" s="87">
        <f>SUMIFS($AU$3:AU365,$AA$3:AA365,"*")</f>
        <v>22457.600000000064</v>
      </c>
      <c r="BS364" s="87">
        <f>SUMIFS($AU$3:AU365,$AB$3:AB365,"*")</f>
        <v>6615.1799999999312</v>
      </c>
      <c r="BT364" s="87">
        <f>SUMIFS($AU$3:AU365,$AC$3:AC365,"*")</f>
        <v>16068.4</v>
      </c>
      <c r="BU364" s="87">
        <f>SUMIFS($AU$3:AU365,$AA$3:AA365,"*",$AB$3:AB365,"*")</f>
        <v>4079.9999999998217</v>
      </c>
      <c r="BV364" s="87">
        <f>SUMIFS($AU$3:AU365,$AA$3:AA365,"*",$AC$3:AC365,"*")</f>
        <v>13764.4</v>
      </c>
      <c r="BW364" s="87">
        <f>SUMIFS($AU$3:AU365,$AB$3:AB365,"*",$AC$3:AC365,"*")</f>
        <v>3279.9999999999982</v>
      </c>
      <c r="BX364" s="87">
        <f>SUMIFS($AV$3:AV365,$Q$3:Q365,"F")</f>
        <v>357.19230875404793</v>
      </c>
      <c r="BY364" s="87">
        <f>SUMIFS($AV$3:AV365,$Q$3:Q365,"S")</f>
        <v>408.44305058920065</v>
      </c>
      <c r="BZ364" s="87">
        <f>SUMIFS($AV$3:AV365,$Q$3:Q365,"O")</f>
        <v>519.33999999986361</v>
      </c>
    </row>
    <row r="365" spans="1:78" ht="15.75" customHeight="1">
      <c r="A365" s="45" t="s">
        <v>1310</v>
      </c>
      <c r="B365" s="59">
        <v>45385</v>
      </c>
      <c r="C365" s="46" t="s">
        <v>1341</v>
      </c>
      <c r="D365" s="46" t="s">
        <v>186</v>
      </c>
      <c r="E365" s="66"/>
      <c r="F365" s="47"/>
      <c r="G365" s="48" t="s">
        <v>459</v>
      </c>
      <c r="H365" s="49"/>
      <c r="I365" s="49"/>
      <c r="J365" s="49"/>
      <c r="K365" s="50"/>
      <c r="L365" s="49">
        <v>1</v>
      </c>
      <c r="M365" s="49"/>
      <c r="N365" s="49"/>
      <c r="O365" s="50" t="s">
        <v>100</v>
      </c>
      <c r="P365" s="50" t="s">
        <v>101</v>
      </c>
      <c r="Q365" s="50" t="s">
        <v>102</v>
      </c>
      <c r="R365" s="50">
        <v>20</v>
      </c>
      <c r="S365" s="161">
        <v>0</v>
      </c>
      <c r="T365" s="50">
        <v>20</v>
      </c>
      <c r="U365" s="50" t="s">
        <v>102</v>
      </c>
      <c r="V365" s="50"/>
      <c r="W365" s="50"/>
      <c r="X365" s="50"/>
      <c r="Y365" s="51">
        <f t="shared" si="135"/>
        <v>0.01</v>
      </c>
      <c r="Z365" s="52">
        <f>IF(ISBLANK(O365),"",IF(O365="IB",8.63*200,IF(O365="IR",16*100,IF(O365="YT",20*100,IF(O365="YT-XT",24*200,IF(O365="TED",80*100,IF(O365="XT",29*200)))))))</f>
        <v>1600</v>
      </c>
      <c r="AA365" s="52" t="s">
        <v>1342</v>
      </c>
      <c r="AB365" s="52"/>
      <c r="AC365" s="52"/>
      <c r="AD365" s="231">
        <v>-0.21</v>
      </c>
      <c r="AE365" s="49"/>
      <c r="AF365" s="84"/>
      <c r="AG365" s="49"/>
      <c r="AH365" s="49"/>
      <c r="AI365" s="49"/>
      <c r="AJ365" s="226"/>
      <c r="AK365" s="49"/>
      <c r="AL365" s="113">
        <f t="shared" si="134"/>
        <v>-32</v>
      </c>
      <c r="AM365" s="113">
        <f t="shared" si="129"/>
        <v>-640</v>
      </c>
      <c r="AN365" s="218"/>
      <c r="AO365" s="49"/>
      <c r="AP365" s="49" t="s">
        <v>1343</v>
      </c>
      <c r="AQ365" s="84" t="s">
        <v>350</v>
      </c>
      <c r="AR365" s="49" t="s">
        <v>687</v>
      </c>
      <c r="AS365" s="55">
        <v>-0.22</v>
      </c>
      <c r="AT365" s="55">
        <f t="shared" si="136"/>
        <v>1.0000000000000009E-2</v>
      </c>
      <c r="AU365" s="54">
        <f t="shared" si="137"/>
        <v>320.00000000000028</v>
      </c>
      <c r="AV365" s="56">
        <f t="shared" ref="AV365" si="139">IF(ISBLANK(AS365),,(AT365*Z365))</f>
        <v>16.000000000000014</v>
      </c>
      <c r="AW365" s="57" t="s">
        <v>101</v>
      </c>
      <c r="AX365" s="153" t="s">
        <v>489</v>
      </c>
      <c r="AY365" s="153"/>
      <c r="AZ365" s="153"/>
      <c r="BA365" s="153"/>
      <c r="BB365" s="153"/>
      <c r="BC365" s="153"/>
      <c r="BD365" s="153" t="s">
        <v>1146</v>
      </c>
      <c r="BE365" s="157" t="s">
        <v>1147</v>
      </c>
      <c r="BF365" s="151"/>
      <c r="BG365" s="94">
        <f>SUM($AV$4:AV365)</f>
        <v>1432.9753593431176</v>
      </c>
      <c r="BH365" s="95">
        <f>SUM($AU$4:AU365)</f>
        <v>27296.780000000177</v>
      </c>
      <c r="BI365" s="80">
        <f>SUMIFS($AU$3:AU366,$Q$3:Q366,"F")</f>
        <v>19188.400000000001</v>
      </c>
      <c r="BJ365" s="80">
        <f>SUMIFS($AU$3:AU366,$Q$3:Q366,"S")</f>
        <v>6655.9999999999909</v>
      </c>
      <c r="BK365" s="87">
        <f>SUMIFS($AU$3:AU366,$P$3:P366,"W")</f>
        <v>20013.580000000136</v>
      </c>
      <c r="BL365" s="87">
        <f>SUMIFS($AU$3:AU366,$P$3:P366,"R")</f>
        <v>6325.9999999999991</v>
      </c>
      <c r="BM365" s="87">
        <f>SUMIFS($AU$3:AU366,$AQ$3:AQ366,"M")</f>
        <v>5610.1799999997002</v>
      </c>
      <c r="BN365" s="87">
        <f>SUMIFS($AU$3:AU366,$AQ$3:AQ366,"H")</f>
        <v>4907.2000000004446</v>
      </c>
      <c r="BO365" s="87">
        <f>SUMIFS($AU$3:AU366,$AQ$3:AQ366,"D")</f>
        <v>5090.0000000000009</v>
      </c>
      <c r="BP365" s="87">
        <f>SUMIFS($AU$3:AU453,$AQ$3:AQ453,"W")</f>
        <v>12022.400000000001</v>
      </c>
      <c r="BQ365" s="87">
        <f>SUMIFS($AU$3:AU366,$Q$3:Q366,"O")</f>
        <v>1857.3800000001647</v>
      </c>
      <c r="BR365" s="87">
        <f>SUMIFS($AU$3:AU366,$AA$3:AA366,"*")</f>
        <v>22486.600000000039</v>
      </c>
      <c r="BS365" s="87">
        <f>SUMIFS($AU$3:AU366,$AB$3:AB366,"*")</f>
        <v>6615.1799999999312</v>
      </c>
      <c r="BT365" s="87">
        <f>SUMIFS($AU$3:AU366,$AC$3:AC366,"*")</f>
        <v>16068.4</v>
      </c>
      <c r="BU365" s="87">
        <f>SUMIFS($AU$3:AU366,$AA$3:AA366,"*",$AB$3:AB366,"*")</f>
        <v>4079.9999999998217</v>
      </c>
      <c r="BV365" s="87">
        <f>SUMIFS($AU$3:AU366,$AA$3:AA366,"*",$AC$3:AC366,"*")</f>
        <v>13764.4</v>
      </c>
      <c r="BW365" s="87">
        <f>SUMIFS($AU$3:AU366,$AB$3:AB366,"*",$AC$3:AC366,"*")</f>
        <v>3279.9999999999982</v>
      </c>
      <c r="BX365" s="87">
        <f>SUMIFS($AV$3:AV366,$Q$3:Q366,"F")</f>
        <v>357.19230875404793</v>
      </c>
      <c r="BY365" s="87">
        <f>SUMIFS($AV$3:AV366,$Q$3:Q366,"S")</f>
        <v>408.44305058920065</v>
      </c>
      <c r="BZ365" s="87">
        <f>SUMIFS($AV$3:AV366,$Q$3:Q366,"O")</f>
        <v>548.33999999983723</v>
      </c>
    </row>
    <row r="366" spans="1:78" ht="15.75" customHeight="1">
      <c r="A366" s="45" t="s">
        <v>1310</v>
      </c>
      <c r="B366" s="59">
        <v>45385</v>
      </c>
      <c r="C366" s="46" t="s">
        <v>687</v>
      </c>
      <c r="D366" s="46" t="s">
        <v>186</v>
      </c>
      <c r="E366" s="66" t="s">
        <v>1344</v>
      </c>
      <c r="F366" s="47" t="s">
        <v>1345</v>
      </c>
      <c r="G366" s="48" t="s">
        <v>1346</v>
      </c>
      <c r="H366" s="49"/>
      <c r="I366" s="49"/>
      <c r="J366" s="49">
        <v>1</v>
      </c>
      <c r="K366" s="50" t="s">
        <v>155</v>
      </c>
      <c r="L366" s="49" t="s">
        <v>102</v>
      </c>
      <c r="M366" s="49"/>
      <c r="N366" s="49"/>
      <c r="O366" s="50" t="s">
        <v>196</v>
      </c>
      <c r="P366" s="50" t="s">
        <v>197</v>
      </c>
      <c r="Q366" s="50" t="s">
        <v>198</v>
      </c>
      <c r="R366" s="50">
        <v>1</v>
      </c>
      <c r="S366" s="50">
        <v>0</v>
      </c>
      <c r="T366" s="50">
        <v>1</v>
      </c>
      <c r="U366" s="50" t="s">
        <v>102</v>
      </c>
      <c r="V366" s="50"/>
      <c r="W366" s="50"/>
      <c r="X366" s="50"/>
      <c r="Y366" s="51">
        <f t="shared" si="135"/>
        <v>0.01</v>
      </c>
      <c r="Z366" s="52">
        <f>IF(ISBLANK(O366),"",IF(O366="IB",8.63*200,IF(O366="IR",16*100,IF(O366="YT",20*100,IF(O366="YT-XT",24*200,IF(O366="TED",80*100,IF(O366="XT",29*200)))))))</f>
        <v>5800</v>
      </c>
      <c r="AA366" s="52" t="s">
        <v>1347</v>
      </c>
      <c r="AB366" s="52"/>
      <c r="AC366" s="52"/>
      <c r="AD366" s="231">
        <v>95.8</v>
      </c>
      <c r="AE366" s="49"/>
      <c r="AF366" s="84"/>
      <c r="AG366" s="49"/>
      <c r="AH366" s="49"/>
      <c r="AI366" s="49"/>
      <c r="AJ366" s="226"/>
      <c r="AK366" s="49"/>
      <c r="AL366" s="113">
        <f t="shared" si="134"/>
        <v>-116</v>
      </c>
      <c r="AM366" s="113">
        <f t="shared" si="129"/>
        <v>-116</v>
      </c>
      <c r="AN366" s="218"/>
      <c r="AO366" s="49"/>
      <c r="AP366" s="49" t="s">
        <v>1348</v>
      </c>
      <c r="AQ366" s="84" t="s">
        <v>350</v>
      </c>
      <c r="AR366" s="49"/>
      <c r="AS366" s="55">
        <v>95.795000000000002</v>
      </c>
      <c r="AT366" s="55">
        <f t="shared" si="136"/>
        <v>4.9999999999954525E-3</v>
      </c>
      <c r="AU366" s="54">
        <f t="shared" si="137"/>
        <v>28.999999999973625</v>
      </c>
      <c r="AV366" s="56">
        <f t="shared" ref="AV366" si="140">IF(ISBLANK(AS366),,(AT366*Z366))</f>
        <v>28.999999999973625</v>
      </c>
      <c r="AW366" s="57" t="s">
        <v>101</v>
      </c>
      <c r="AX366" s="153" t="s">
        <v>489</v>
      </c>
      <c r="AY366" s="153"/>
      <c r="AZ366" s="153"/>
      <c r="BA366" s="153"/>
      <c r="BB366" s="153"/>
      <c r="BC366" s="153"/>
      <c r="BD366" s="151"/>
      <c r="BE366" s="152"/>
      <c r="BF366" s="151"/>
      <c r="BG366" s="94">
        <f>SUM($AV$4:AV366)</f>
        <v>1461.9753593430912</v>
      </c>
      <c r="BH366" s="95">
        <f>SUM($AU$4:AU366)</f>
        <v>27325.780000000152</v>
      </c>
      <c r="BI366" s="80">
        <f>SUMIFS($AU$3:AU367,$Q$3:Q367,"F")</f>
        <v>19188.400000000001</v>
      </c>
      <c r="BJ366" s="80">
        <f>SUMIFS($AU$3:AU367,$Q$3:Q367,"S")</f>
        <v>6655.9999999999909</v>
      </c>
      <c r="BK366" s="87">
        <f>SUMIFS($AU$3:AU367,$P$3:P367,"W")</f>
        <v>20013.580000000136</v>
      </c>
      <c r="BL366" s="87">
        <f>SUMIFS($AU$3:AU367,$P$3:P367,"R")</f>
        <v>6325.9999999999991</v>
      </c>
      <c r="BM366" s="87">
        <f>SUMIFS($AU$3:AU367,$AQ$3:AQ367,"M")</f>
        <v>5610.1799999997002</v>
      </c>
      <c r="BN366" s="87">
        <f>SUMIFS($AU$3:AU367,$AQ$3:AQ367,"H")</f>
        <v>4907.2000000004446</v>
      </c>
      <c r="BO366" s="87">
        <f>SUMIFS($AU$3:AU367,$AQ$3:AQ367,"D")</f>
        <v>5090.0000000000009</v>
      </c>
      <c r="BP366" s="87">
        <f>SUMIFS($AU$3:AU454,$AQ$3:AQ454,"W")</f>
        <v>12022.400000000001</v>
      </c>
      <c r="BQ366" s="87">
        <f>SUMIFS($AU$3:AU367,$Q$3:Q367,"O")</f>
        <v>1857.3800000001647</v>
      </c>
      <c r="BR366" s="87">
        <f>SUMIFS($AU$3:AU367,$AA$3:AA367,"*")</f>
        <v>22486.600000000039</v>
      </c>
      <c r="BS366" s="87">
        <f>SUMIFS($AU$3:AU367,$AB$3:AB367,"*")</f>
        <v>6615.1799999999312</v>
      </c>
      <c r="BT366" s="87">
        <f>SUMIFS($AU$3:AU367,$AC$3:AC367,"*")</f>
        <v>16068.4</v>
      </c>
      <c r="BU366" s="87">
        <f>SUMIFS($AU$3:AU367,$AA$3:AA367,"*",$AB$3:AB367,"*")</f>
        <v>4079.9999999998217</v>
      </c>
      <c r="BV366" s="87">
        <f>SUMIFS($AU$3:AU367,$AA$3:AA367,"*",$AC$3:AC367,"*")</f>
        <v>13764.4</v>
      </c>
      <c r="BW366" s="87">
        <f>SUMIFS($AU$3:AU367,$AB$3:AB367,"*",$AC$3:AC367,"*")</f>
        <v>3279.9999999999982</v>
      </c>
      <c r="BX366" s="87">
        <f>SUMIFS($AV$3:AV367,$Q$3:Q367,"F")</f>
        <v>357.19230875404793</v>
      </c>
      <c r="BY366" s="87">
        <f>SUMIFS($AV$3:AV367,$Q$3:Q367,"S")</f>
        <v>408.44305058920065</v>
      </c>
      <c r="BZ366" s="87">
        <f>SUMIFS($AV$3:AV367,$Q$3:Q367,"O")</f>
        <v>548.33999999983723</v>
      </c>
    </row>
    <row r="367" spans="1:78" ht="15.75" customHeight="1">
      <c r="A367" s="45" t="s">
        <v>1310</v>
      </c>
      <c r="B367" s="59">
        <v>45385</v>
      </c>
      <c r="C367" s="46" t="s">
        <v>1349</v>
      </c>
      <c r="D367" s="46" t="s">
        <v>186</v>
      </c>
      <c r="E367" s="66"/>
      <c r="F367" s="47"/>
      <c r="G367" s="106" t="s">
        <v>459</v>
      </c>
      <c r="H367" s="49"/>
      <c r="I367" s="49"/>
      <c r="J367" s="49"/>
      <c r="K367" s="50"/>
      <c r="L367" s="49">
        <v>1</v>
      </c>
      <c r="M367" s="49"/>
      <c r="N367" s="49"/>
      <c r="O367" s="50" t="s">
        <v>100</v>
      </c>
      <c r="P367" s="50" t="s">
        <v>101</v>
      </c>
      <c r="Q367" s="50" t="s">
        <v>102</v>
      </c>
      <c r="R367" s="50">
        <v>30</v>
      </c>
      <c r="S367" s="161">
        <v>20</v>
      </c>
      <c r="T367" s="50">
        <v>20</v>
      </c>
      <c r="U367" s="50" t="s">
        <v>22</v>
      </c>
      <c r="V367" s="50"/>
      <c r="W367" s="50"/>
      <c r="X367" s="50"/>
      <c r="Y367" s="51">
        <f t="shared" si="135"/>
        <v>0.01</v>
      </c>
      <c r="Z367" s="52">
        <f>IF(ISBLANK(O367),"",IF(O367="IB",8.63*200,IF(O367="IR",16*100,IF(O367="YT",20*100,IF(O367="YT-XT",24*200,IF(O367="TED",80*100,IF(O367="XT",29*200)))))))</f>
        <v>1600</v>
      </c>
      <c r="AA367" s="52"/>
      <c r="AB367" s="52"/>
      <c r="AC367" s="52" t="s">
        <v>405</v>
      </c>
      <c r="AD367" s="231">
        <f>((-0.22*20)+(-0.24*10))/30</f>
        <v>-0.22666666666666668</v>
      </c>
      <c r="AE367" s="49"/>
      <c r="AF367" s="84"/>
      <c r="AG367" s="49"/>
      <c r="AH367" s="49"/>
      <c r="AI367" s="49"/>
      <c r="AJ367" s="226"/>
      <c r="AK367" s="49"/>
      <c r="AL367" s="113">
        <f t="shared" si="134"/>
        <v>-32</v>
      </c>
      <c r="AM367" s="113">
        <f t="shared" si="129"/>
        <v>-320</v>
      </c>
      <c r="AN367" s="218"/>
      <c r="AO367" s="49"/>
      <c r="AP367" s="49" t="s">
        <v>622</v>
      </c>
      <c r="AQ367" s="84" t="s">
        <v>142</v>
      </c>
      <c r="AR367" s="49" t="s">
        <v>1350</v>
      </c>
      <c r="AS367" s="55">
        <f>((-0.23*20)+(-0.22*10))/30</f>
        <v>-0.22666666666666668</v>
      </c>
      <c r="AT367" s="55">
        <f t="shared" si="136"/>
        <v>0</v>
      </c>
      <c r="AU367" s="54">
        <f t="shared" si="137"/>
        <v>0</v>
      </c>
      <c r="AV367" s="56">
        <f t="shared" ref="AV367:AV368" si="141">IF(ISBLANK(AS367),,(AT367*Z367))</f>
        <v>0</v>
      </c>
      <c r="AW367" s="57" t="s">
        <v>155</v>
      </c>
      <c r="AX367" s="153" t="s">
        <v>1351</v>
      </c>
      <c r="AY367" s="153" t="s">
        <v>1352</v>
      </c>
      <c r="AZ367" s="153"/>
      <c r="BA367" s="153"/>
      <c r="BB367" s="153"/>
      <c r="BC367" s="153"/>
      <c r="BD367" s="151"/>
      <c r="BE367" s="152"/>
      <c r="BF367" s="151"/>
      <c r="BG367" s="94">
        <f>SUM($AV$4:AV367)</f>
        <v>1461.9753593430912</v>
      </c>
      <c r="BH367" s="95">
        <f>SUM($AU$4:AU367)</f>
        <v>27325.780000000152</v>
      </c>
      <c r="BI367" s="80">
        <f>SUMIFS($AU$3:AU368,$Q$3:Q368,"F")</f>
        <v>19188.400000000001</v>
      </c>
      <c r="BJ367" s="80">
        <f>SUMIFS($AU$3:AU368,$Q$3:Q368,"S")</f>
        <v>6655.9999999999909</v>
      </c>
      <c r="BK367" s="87">
        <f>SUMIFS($AU$3:AU368,$P$3:P368,"W")</f>
        <v>20013.580000000136</v>
      </c>
      <c r="BL367" s="87">
        <f>SUMIFS($AU$3:AU368,$P$3:P368,"R")</f>
        <v>6325.9999999999991</v>
      </c>
      <c r="BM367" s="87">
        <f>SUMIFS($AU$3:AU368,$AQ$3:AQ368,"M")</f>
        <v>5610.1799999997002</v>
      </c>
      <c r="BN367" s="87">
        <f>SUMIFS($AU$3:AU368,$AQ$3:AQ368,"H")</f>
        <v>4907.2000000004446</v>
      </c>
      <c r="BO367" s="87">
        <f>SUMIFS($AU$3:AU368,$AQ$3:AQ368,"D")</f>
        <v>5090.0000000000009</v>
      </c>
      <c r="BP367" s="87">
        <f>SUMIFS($AU$3:AU455,$AQ$3:AQ455,"W")</f>
        <v>12022.400000000001</v>
      </c>
      <c r="BQ367" s="87">
        <f>SUMIFS($AU$3:AU368,$Q$3:Q368,"O")</f>
        <v>1857.3800000001647</v>
      </c>
      <c r="BR367" s="87">
        <f>SUMIFS($AU$3:AU368,$AA$3:AA368,"*")</f>
        <v>22486.600000000039</v>
      </c>
      <c r="BS367" s="87">
        <f>SUMIFS($AU$3:AU368,$AB$3:AB368,"*")</f>
        <v>6615.1799999999312</v>
      </c>
      <c r="BT367" s="87">
        <f>SUMIFS($AU$3:AU368,$AC$3:AC368,"*")</f>
        <v>16068.4</v>
      </c>
      <c r="BU367" s="87">
        <f>SUMIFS($AU$3:AU368,$AA$3:AA368,"*",$AB$3:AB368,"*")</f>
        <v>4079.9999999998217</v>
      </c>
      <c r="BV367" s="87">
        <f>SUMIFS($AU$3:AU368,$AA$3:AA368,"*",$AC$3:AC368,"*")</f>
        <v>13764.4</v>
      </c>
      <c r="BW367" s="87">
        <f>SUMIFS($AU$3:AU368,$AB$3:AB368,"*",$AC$3:AC368,"*")</f>
        <v>3279.9999999999982</v>
      </c>
      <c r="BX367" s="87">
        <f>SUMIFS($AV$3:AV368,$Q$3:Q368,"F")</f>
        <v>357.19230875404793</v>
      </c>
      <c r="BY367" s="87">
        <f>SUMIFS($AV$3:AV368,$Q$3:Q368,"S")</f>
        <v>408.44305058920065</v>
      </c>
      <c r="BZ367" s="87">
        <f>SUMIFS($AV$3:AV368,$Q$3:Q368,"O")</f>
        <v>548.33999999983723</v>
      </c>
    </row>
    <row r="368" spans="1:78" ht="15.75" customHeight="1">
      <c r="A368" s="45" t="s">
        <v>1310</v>
      </c>
      <c r="B368" s="59">
        <v>45386</v>
      </c>
      <c r="C368" s="46" t="s">
        <v>1353</v>
      </c>
      <c r="D368" s="46" t="s">
        <v>107</v>
      </c>
      <c r="E368" s="66"/>
      <c r="F368" s="47"/>
      <c r="G368" s="106" t="s">
        <v>181</v>
      </c>
      <c r="H368" s="49"/>
      <c r="I368" s="49"/>
      <c r="J368" s="49"/>
      <c r="K368" s="50"/>
      <c r="L368" s="49">
        <v>1</v>
      </c>
      <c r="M368" s="49"/>
      <c r="N368" s="49"/>
      <c r="O368" s="50" t="s">
        <v>100</v>
      </c>
      <c r="P368" s="50" t="s">
        <v>101</v>
      </c>
      <c r="Q368" s="50" t="s">
        <v>102</v>
      </c>
      <c r="R368" s="50">
        <v>20</v>
      </c>
      <c r="S368" s="161">
        <v>0</v>
      </c>
      <c r="T368" s="50">
        <v>20</v>
      </c>
      <c r="U368" s="50" t="s">
        <v>22</v>
      </c>
      <c r="V368" s="50"/>
      <c r="W368" s="50"/>
      <c r="X368" s="50"/>
      <c r="Y368" s="51">
        <f t="shared" si="135"/>
        <v>0.01</v>
      </c>
      <c r="Z368" s="52">
        <f>IF(ISBLANK(O368),"",IF(O368="IB",8.63*200,IF(O368="IR",16*100,IF(O368="YT",20*100,IF(O368="YT-XT",24*200,IF(O368="TED",80*100,IF(O368="XT",29*200)))))))</f>
        <v>1600</v>
      </c>
      <c r="AA368" s="52"/>
      <c r="AB368" s="52"/>
      <c r="AC368" s="52" t="s">
        <v>1354</v>
      </c>
      <c r="AD368" s="231">
        <v>-0.12</v>
      </c>
      <c r="AE368" s="49"/>
      <c r="AF368" s="84"/>
      <c r="AG368" s="49"/>
      <c r="AH368" s="49"/>
      <c r="AI368" s="49"/>
      <c r="AJ368" s="226"/>
      <c r="AK368" s="49"/>
      <c r="AL368" s="113">
        <f t="shared" si="134"/>
        <v>-32</v>
      </c>
      <c r="AM368" s="113">
        <f t="shared" si="129"/>
        <v>-640</v>
      </c>
      <c r="AN368" s="218"/>
      <c r="AO368" s="49"/>
      <c r="AP368" s="49" t="s">
        <v>1175</v>
      </c>
      <c r="AQ368" s="84" t="s">
        <v>142</v>
      </c>
      <c r="AR368" s="49" t="s">
        <v>1355</v>
      </c>
      <c r="AS368" s="55">
        <v>-0.12</v>
      </c>
      <c r="AT368" s="55">
        <f t="shared" si="136"/>
        <v>0</v>
      </c>
      <c r="AU368" s="54">
        <f t="shared" si="137"/>
        <v>0</v>
      </c>
      <c r="AV368" s="56">
        <f t="shared" si="141"/>
        <v>0</v>
      </c>
      <c r="AW368" s="57" t="s">
        <v>155</v>
      </c>
      <c r="AX368" s="153" t="s">
        <v>1356</v>
      </c>
      <c r="AY368" s="153"/>
      <c r="AZ368" s="153"/>
      <c r="BA368" s="153"/>
      <c r="BB368" s="153"/>
      <c r="BC368" s="153"/>
      <c r="BD368" s="151"/>
      <c r="BE368" s="152"/>
      <c r="BF368" s="151"/>
      <c r="BG368" s="94">
        <f>SUM($AV$4:AV368)</f>
        <v>1461.9753593430912</v>
      </c>
      <c r="BH368" s="95">
        <f>SUM($AU$4:AU368)</f>
        <v>27325.780000000152</v>
      </c>
      <c r="BI368" s="80">
        <f>SUMIFS($AU$3:AU369,$Q$3:Q369,"F")</f>
        <v>19188.400000000001</v>
      </c>
      <c r="BJ368" s="80">
        <f>SUMIFS($AU$3:AU369,$Q$3:Q369,"S")</f>
        <v>6655.9999999999909</v>
      </c>
      <c r="BK368" s="87">
        <f>SUMIFS($AU$3:AU369,$P$3:P369,"W")</f>
        <v>20013.580000000136</v>
      </c>
      <c r="BL368" s="87">
        <f>SUMIFS($AU$3:AU369,$P$3:P369,"R")</f>
        <v>6325.9999999999991</v>
      </c>
      <c r="BM368" s="87">
        <f>SUMIFS($AU$3:AU369,$AQ$3:AQ369,"M")</f>
        <v>5610.1799999997002</v>
      </c>
      <c r="BN368" s="87">
        <f>SUMIFS($AU$3:AU369,$AQ$3:AQ369,"H")</f>
        <v>4907.2000000004446</v>
      </c>
      <c r="BO368" s="87">
        <f>SUMIFS($AU$3:AU369,$AQ$3:AQ369,"D")</f>
        <v>5090.0000000000009</v>
      </c>
      <c r="BP368" s="87">
        <f>SUMIFS($AU$3:AU456,$AQ$3:AQ456,"W")</f>
        <v>12022.400000000001</v>
      </c>
      <c r="BQ368" s="87">
        <f>SUMIFS($AU$3:AU369,$Q$3:Q369,"O")</f>
        <v>1857.3800000001647</v>
      </c>
      <c r="BR368" s="87">
        <f>SUMIFS($AU$3:AU369,$AA$3:AA369,"*")</f>
        <v>22486.600000000039</v>
      </c>
      <c r="BS368" s="87">
        <f>SUMIFS($AU$3:AU369,$AB$3:AB369,"*")</f>
        <v>6615.1799999999312</v>
      </c>
      <c r="BT368" s="87">
        <f>SUMIFS($AU$3:AU369,$AC$3:AC369,"*")</f>
        <v>16068.4</v>
      </c>
      <c r="BU368" s="87">
        <f>SUMIFS($AU$3:AU369,$AA$3:AA369,"*",$AB$3:AB369,"*")</f>
        <v>4079.9999999998217</v>
      </c>
      <c r="BV368" s="87">
        <f>SUMIFS($AU$3:AU369,$AA$3:AA369,"*",$AC$3:AC369,"*")</f>
        <v>13764.4</v>
      </c>
      <c r="BW368" s="87">
        <f>SUMIFS($AU$3:AU369,$AB$3:AB369,"*",$AC$3:AC369,"*")</f>
        <v>3279.9999999999982</v>
      </c>
      <c r="BX368" s="87">
        <f>SUMIFS($AV$3:AV369,$Q$3:Q369,"F")</f>
        <v>357.19230875404793</v>
      </c>
      <c r="BY368" s="87">
        <f>SUMIFS($AV$3:AV369,$Q$3:Q369,"S")</f>
        <v>408.44305058920065</v>
      </c>
      <c r="BZ368" s="87">
        <f>SUMIFS($AV$3:AV369,$Q$3:Q369,"O")</f>
        <v>548.33999999983723</v>
      </c>
    </row>
    <row r="369" spans="1:78" ht="15.75" customHeight="1">
      <c r="A369" s="45" t="s">
        <v>1310</v>
      </c>
      <c r="B369" s="59">
        <v>45386</v>
      </c>
      <c r="C369" s="46" t="s">
        <v>450</v>
      </c>
      <c r="D369" s="46" t="s">
        <v>107</v>
      </c>
      <c r="E369" s="66"/>
      <c r="F369" s="47"/>
      <c r="G369" s="106" t="s">
        <v>459</v>
      </c>
      <c r="H369" s="49"/>
      <c r="I369" s="49"/>
      <c r="J369" s="49"/>
      <c r="K369" s="50"/>
      <c r="L369" s="49">
        <v>1</v>
      </c>
      <c r="M369" s="49"/>
      <c r="N369" s="49"/>
      <c r="O369" s="50" t="s">
        <v>100</v>
      </c>
      <c r="P369" s="50" t="s">
        <v>101</v>
      </c>
      <c r="Q369" s="50" t="s">
        <v>102</v>
      </c>
      <c r="R369" s="50">
        <v>20</v>
      </c>
      <c r="S369" s="161">
        <v>0</v>
      </c>
      <c r="T369" s="50">
        <v>20</v>
      </c>
      <c r="U369" s="50" t="s">
        <v>102</v>
      </c>
      <c r="V369" s="50"/>
      <c r="W369" s="50"/>
      <c r="X369" s="50"/>
      <c r="Y369" s="51">
        <f t="shared" si="135"/>
        <v>0.01</v>
      </c>
      <c r="Z369" s="52">
        <f>IF(ISBLANK(O369),"",IF(O369="IB",8.63*200,IF(O369="IR",16*100,IF(O369="YT",20*100,IF(O369="YT-XT",24*200,IF(O369="TED",80*100,IF(O369="XT",29*200)))))))</f>
        <v>1600</v>
      </c>
      <c r="AA369" s="52" t="s">
        <v>1342</v>
      </c>
      <c r="AB369" s="52"/>
      <c r="AC369" s="52"/>
      <c r="AD369" s="231">
        <v>-0.21</v>
      </c>
      <c r="AE369" s="49"/>
      <c r="AF369" s="84"/>
      <c r="AG369" s="49"/>
      <c r="AH369" s="49"/>
      <c r="AI369" s="49"/>
      <c r="AJ369" s="226"/>
      <c r="AK369" s="49"/>
      <c r="AL369" s="113">
        <f t="shared" si="130"/>
        <v>-32</v>
      </c>
      <c r="AM369" s="113">
        <f t="shared" si="129"/>
        <v>-640</v>
      </c>
      <c r="AN369" s="218"/>
      <c r="AO369" s="49"/>
      <c r="AP369" s="49" t="s">
        <v>1357</v>
      </c>
      <c r="AQ369" s="84" t="s">
        <v>350</v>
      </c>
      <c r="AR369" s="49" t="s">
        <v>1358</v>
      </c>
      <c r="AS369" s="55">
        <v>-0.21</v>
      </c>
      <c r="AT369" s="55">
        <f t="shared" si="136"/>
        <v>0</v>
      </c>
      <c r="AU369" s="54">
        <f t="shared" si="137"/>
        <v>0</v>
      </c>
      <c r="AV369" s="56">
        <f t="shared" ref="AV369" si="142">IF(ISBLANK(AS369),,(AT369*Z369))</f>
        <v>0</v>
      </c>
      <c r="AW369" s="57" t="s">
        <v>155</v>
      </c>
      <c r="AX369" s="153" t="s">
        <v>1359</v>
      </c>
      <c r="AY369" s="153"/>
      <c r="AZ369" s="153"/>
      <c r="BA369" s="153"/>
      <c r="BB369" s="153"/>
      <c r="BC369" s="153"/>
      <c r="BD369" s="151"/>
      <c r="BE369" s="152"/>
      <c r="BF369" s="151"/>
      <c r="BG369" s="94">
        <f>SUM($AV$4:AV369)</f>
        <v>1461.9753593430912</v>
      </c>
      <c r="BH369" s="95">
        <f>SUM($AU$4:AU369)</f>
        <v>27325.780000000152</v>
      </c>
      <c r="BI369" s="80">
        <f>SUMIFS($AU$3:AU370,$Q$3:Q370,"F")</f>
        <v>19188.400000000001</v>
      </c>
      <c r="BJ369" s="80">
        <f>SUMIFS($AU$3:AU370,$Q$3:Q370,"S")</f>
        <v>6655.9999999999909</v>
      </c>
      <c r="BK369" s="87">
        <f>SUMIFS($AU$3:AU370,$P$3:P370,"W")</f>
        <v>20013.580000000136</v>
      </c>
      <c r="BL369" s="87">
        <f>SUMIFS($AU$3:AU370,$P$3:P370,"R")</f>
        <v>6325.9999999999991</v>
      </c>
      <c r="BM369" s="87">
        <f>SUMIFS($AU$3:AU370,$AQ$3:AQ370,"M")</f>
        <v>5610.1799999997002</v>
      </c>
      <c r="BN369" s="87">
        <f>SUMIFS($AU$3:AU370,$AQ$3:AQ370,"H")</f>
        <v>4907.2000000004446</v>
      </c>
      <c r="BO369" s="87">
        <f>SUMIFS($AU$3:AU370,$AQ$3:AQ370,"D")</f>
        <v>5090.0000000000009</v>
      </c>
      <c r="BP369" s="87">
        <f>SUMIFS($AU$3:AU457,$AQ$3:AQ457,"W")</f>
        <v>12022.400000000001</v>
      </c>
      <c r="BQ369" s="87">
        <f>SUMIFS($AU$3:AU370,$Q$3:Q370,"O")</f>
        <v>1857.3800000001647</v>
      </c>
      <c r="BR369" s="87">
        <f>SUMIFS($AU$3:AU370,$AA$3:AA370,"*")</f>
        <v>22486.600000000039</v>
      </c>
      <c r="BS369" s="87">
        <f>SUMIFS($AU$3:AU370,$AB$3:AB370,"*")</f>
        <v>6615.1799999999312</v>
      </c>
      <c r="BT369" s="87">
        <f>SUMIFS($AU$3:AU370,$AC$3:AC370,"*")</f>
        <v>16068.4</v>
      </c>
      <c r="BU369" s="87">
        <f>SUMIFS($AU$3:AU370,$AA$3:AA370,"*",$AB$3:AB370,"*")</f>
        <v>4079.9999999998217</v>
      </c>
      <c r="BV369" s="87">
        <f>SUMIFS($AU$3:AU370,$AA$3:AA370,"*",$AC$3:AC370,"*")</f>
        <v>13764.4</v>
      </c>
      <c r="BW369" s="87">
        <f>SUMIFS($AU$3:AU370,$AB$3:AB370,"*",$AC$3:AC370,"*")</f>
        <v>3279.9999999999982</v>
      </c>
      <c r="BX369" s="87">
        <f>SUMIFS($AV$3:AV370,$Q$3:Q370,"F")</f>
        <v>357.19230875404793</v>
      </c>
      <c r="BY369" s="87">
        <f>SUMIFS($AV$3:AV370,$Q$3:Q370,"S")</f>
        <v>408.44305058920065</v>
      </c>
      <c r="BZ369" s="87">
        <f>SUMIFS($AV$3:AV370,$Q$3:Q370,"O")</f>
        <v>548.33999999983723</v>
      </c>
    </row>
    <row r="370" spans="1:78" ht="15.75" customHeight="1">
      <c r="A370" s="45" t="s">
        <v>1310</v>
      </c>
      <c r="B370" s="59"/>
      <c r="C370" s="46"/>
      <c r="D370" s="46"/>
      <c r="E370" s="66"/>
      <c r="F370" s="47"/>
      <c r="G370" s="48"/>
      <c r="H370" s="49"/>
      <c r="I370" s="49"/>
      <c r="J370" s="49"/>
      <c r="K370" s="50"/>
      <c r="L370" s="49"/>
      <c r="M370" s="49"/>
      <c r="N370" s="49"/>
      <c r="O370" s="50"/>
      <c r="P370" s="50"/>
      <c r="Q370" s="50"/>
      <c r="R370" s="50"/>
      <c r="S370" s="50"/>
      <c r="T370" s="50"/>
      <c r="U370" s="50"/>
      <c r="V370" s="50"/>
      <c r="W370" s="50"/>
      <c r="X370" s="50"/>
      <c r="Y370" s="50"/>
      <c r="Z370" s="50"/>
      <c r="AA370" s="52"/>
      <c r="AB370" s="52"/>
      <c r="AC370" s="52"/>
      <c r="AD370" s="231"/>
      <c r="AE370" s="49"/>
      <c r="AF370" s="84"/>
      <c r="AG370" s="49"/>
      <c r="AH370" s="49"/>
      <c r="AI370" s="49"/>
      <c r="AJ370" s="226"/>
      <c r="AK370" s="49"/>
      <c r="AL370" s="113">
        <f t="shared" si="130"/>
        <v>0</v>
      </c>
      <c r="AM370" s="113">
        <f t="shared" si="129"/>
        <v>0</v>
      </c>
      <c r="AN370" s="218"/>
      <c r="AO370" s="49"/>
      <c r="AP370" s="49"/>
      <c r="AQ370" s="84" t="str">
        <f>UPPER(RIGHT(Journal_Live[[#This Row],[DURATION ]]))</f>
        <v/>
      </c>
      <c r="AR370" s="49"/>
      <c r="AS370" s="55"/>
      <c r="AT370" s="55"/>
      <c r="AU370" s="54"/>
      <c r="AV370" s="56"/>
      <c r="AW370" s="57"/>
      <c r="AX370" s="99" t="s">
        <v>992</v>
      </c>
      <c r="AY370" s="153" t="s">
        <v>1360</v>
      </c>
      <c r="AZ370" s="153" t="s">
        <v>1146</v>
      </c>
      <c r="BA370" s="157" t="s">
        <v>1147</v>
      </c>
      <c r="BB370" s="153" t="s">
        <v>1361</v>
      </c>
      <c r="BC370" s="153" t="s">
        <v>1362</v>
      </c>
      <c r="BD370" s="151" t="s">
        <v>1363</v>
      </c>
      <c r="BE370" s="152" t="s">
        <v>1364</v>
      </c>
      <c r="BF370" s="151" t="s">
        <v>1365</v>
      </c>
      <c r="BG370" s="94">
        <f>SUM($AV$4:AV370)</f>
        <v>1461.9753593430912</v>
      </c>
      <c r="BH370" s="95">
        <f>SUM($AU$4:AU370)</f>
        <v>27325.780000000152</v>
      </c>
      <c r="BI370" s="80">
        <f>SUMIFS($AU$3:AU371,$Q$3:Q371,"F")</f>
        <v>19188.400000000001</v>
      </c>
      <c r="BJ370" s="80">
        <f>SUMIFS($AU$3:AU371,$Q$3:Q371,"S")</f>
        <v>6655.9999999999909</v>
      </c>
      <c r="BK370" s="87">
        <f>SUMIFS($AU$3:AU371,$P$3:P371,"W")</f>
        <v>20013.580000000136</v>
      </c>
      <c r="BL370" s="87">
        <f>SUMIFS($AU$3:AU371,$P$3:P371,"R")</f>
        <v>6325.9999999999991</v>
      </c>
      <c r="BM370" s="87">
        <f>SUMIFS($AU$3:AU371,$AQ$3:AQ371,"M")</f>
        <v>5610.1799999997002</v>
      </c>
      <c r="BN370" s="87">
        <f>SUMIFS($AU$3:AU371,$AQ$3:AQ371,"H")</f>
        <v>4907.2000000004446</v>
      </c>
      <c r="BO370" s="87">
        <f>SUMIFS($AU$3:AU371,$AQ$3:AQ371,"D")</f>
        <v>5090.0000000000009</v>
      </c>
      <c r="BP370" s="87">
        <f>SUMIFS($AU$3:AU458,$AQ$3:AQ458,"W")</f>
        <v>12022.400000000001</v>
      </c>
      <c r="BQ370" s="87">
        <f>SUMIFS($AU$3:AU371,$Q$3:Q371,"O")</f>
        <v>1857.3800000001647</v>
      </c>
      <c r="BR370" s="87">
        <f>SUMIFS($AU$3:AU371,$AA$3:AA371,"*")</f>
        <v>22486.600000000039</v>
      </c>
      <c r="BS370" s="87">
        <f>SUMIFS($AU$3:AU371,$AB$3:AB371,"*")</f>
        <v>6615.1799999999312</v>
      </c>
      <c r="BT370" s="87">
        <f>SUMIFS($AU$3:AU371,$AC$3:AC371,"*")</f>
        <v>16068.4</v>
      </c>
      <c r="BU370" s="87">
        <f>SUMIFS($AU$3:AU371,$AA$3:AA371,"*",$AB$3:AB371,"*")</f>
        <v>4079.9999999998217</v>
      </c>
      <c r="BV370" s="87">
        <f>SUMIFS($AU$3:AU371,$AA$3:AA371,"*",$AC$3:AC371,"*")</f>
        <v>13764.4</v>
      </c>
      <c r="BW370" s="87">
        <f>SUMIFS($AU$3:AU371,$AB$3:AB371,"*",$AC$3:AC371,"*")</f>
        <v>3279.9999999999982</v>
      </c>
      <c r="BX370" s="87">
        <f>SUMIFS($AV$3:AV371,$Q$3:Q371,"F")</f>
        <v>357.19230875404793</v>
      </c>
      <c r="BY370" s="87">
        <f>SUMIFS($AV$3:AV371,$Q$3:Q371,"S")</f>
        <v>408.44305058920065</v>
      </c>
      <c r="BZ370" s="87">
        <f>SUMIFS($AV$3:AV371,$Q$3:Q371,"O")</f>
        <v>548.33999999983723</v>
      </c>
    </row>
    <row r="371" spans="1:78" ht="15.75" customHeight="1">
      <c r="A371" s="45" t="s">
        <v>1310</v>
      </c>
      <c r="B371" s="59">
        <v>45387</v>
      </c>
      <c r="C371" s="46" t="s">
        <v>502</v>
      </c>
      <c r="D371" s="46" t="s">
        <v>115</v>
      </c>
      <c r="E371" s="66"/>
      <c r="F371" s="47"/>
      <c r="G371" s="48" t="s">
        <v>227</v>
      </c>
      <c r="H371" s="49"/>
      <c r="I371" s="49"/>
      <c r="J371" s="49"/>
      <c r="K371" s="50"/>
      <c r="L371" s="49"/>
      <c r="M371" s="49"/>
      <c r="N371" s="49"/>
      <c r="O371" s="50"/>
      <c r="P371" s="50"/>
      <c r="Q371" s="50"/>
      <c r="R371" s="50"/>
      <c r="S371" s="161"/>
      <c r="T371" s="50"/>
      <c r="U371" s="50"/>
      <c r="V371" s="50"/>
      <c r="W371" s="50"/>
      <c r="X371" s="50"/>
      <c r="Y371" s="51"/>
      <c r="Z371" s="52"/>
      <c r="AA371" s="52"/>
      <c r="AB371" s="52"/>
      <c r="AC371" s="52"/>
      <c r="AD371" s="231"/>
      <c r="AE371" s="49"/>
      <c r="AF371" s="84"/>
      <c r="AG371" s="49"/>
      <c r="AH371" s="49"/>
      <c r="AI371" s="49"/>
      <c r="AJ371" s="226"/>
      <c r="AK371" s="49"/>
      <c r="AL371" s="113">
        <f t="shared" si="130"/>
        <v>0</v>
      </c>
      <c r="AM371" s="113">
        <f t="shared" si="129"/>
        <v>0</v>
      </c>
      <c r="AN371" s="218"/>
      <c r="AO371" s="49"/>
      <c r="AP371" s="49"/>
      <c r="AQ371" s="84" t="str">
        <f>UPPER(RIGHT(Journal_Live[[#This Row],[DURATION ]]))</f>
        <v/>
      </c>
      <c r="AR371" s="49"/>
      <c r="AS371" s="55"/>
      <c r="AT371" s="55"/>
      <c r="AU371" s="54"/>
      <c r="AV371" s="56"/>
      <c r="AW371" s="57"/>
      <c r="AX371" s="153"/>
      <c r="AY371" s="153"/>
      <c r="AZ371" s="153"/>
      <c r="BA371" s="153"/>
      <c r="BB371" s="153"/>
      <c r="BC371" s="153"/>
      <c r="BD371" s="151"/>
      <c r="BE371" s="152"/>
      <c r="BF371" s="151"/>
      <c r="BG371" s="94">
        <f>SUM($AV$4:AV371)</f>
        <v>1461.9753593430912</v>
      </c>
      <c r="BH371" s="95">
        <f>SUM($AU$4:AU371)</f>
        <v>27325.780000000152</v>
      </c>
      <c r="BI371" s="80">
        <f>SUMIFS($AU$3:AU372,$Q$3:Q372,"F")</f>
        <v>22308.400000000001</v>
      </c>
      <c r="BJ371" s="80">
        <f>SUMIFS($AU$3:AU372,$Q$3:Q372,"S")</f>
        <v>6655.9999999999909</v>
      </c>
      <c r="BK371" s="87">
        <f>SUMIFS($AU$3:AU372,$P$3:P372,"W")</f>
        <v>23133.580000000136</v>
      </c>
      <c r="BL371" s="87">
        <f>SUMIFS($AU$3:AU372,$P$3:P372,"R")</f>
        <v>6325.9999999999991</v>
      </c>
      <c r="BM371" s="87">
        <f>SUMIFS($AU$3:AU372,$AQ$3:AQ372,"M")</f>
        <v>5610.1799999997002</v>
      </c>
      <c r="BN371" s="87">
        <f>SUMIFS($AU$3:AU372,$AQ$3:AQ372,"H")</f>
        <v>4907.2000000004446</v>
      </c>
      <c r="BO371" s="87">
        <f>SUMIFS($AU$3:AU372,$AQ$3:AQ372,"D")</f>
        <v>8210</v>
      </c>
      <c r="BP371" s="87">
        <f>SUMIFS($AU$3:AU459,$AQ$3:AQ459,"W")</f>
        <v>12022.400000000001</v>
      </c>
      <c r="BQ371" s="87">
        <f>SUMIFS($AU$3:AU372,$Q$3:Q372,"O")</f>
        <v>1857.3800000001647</v>
      </c>
      <c r="BR371" s="87">
        <f>SUMIFS($AU$3:AU372,$AA$3:AA372,"*")</f>
        <v>22486.600000000039</v>
      </c>
      <c r="BS371" s="87">
        <f>SUMIFS($AU$3:AU372,$AB$3:AB372,"*")</f>
        <v>6615.1799999999312</v>
      </c>
      <c r="BT371" s="87">
        <f>SUMIFS($AU$3:AU372,$AC$3:AC372,"*")</f>
        <v>19188.400000000001</v>
      </c>
      <c r="BU371" s="87">
        <f>SUMIFS($AU$3:AU372,$AA$3:AA372,"*",$AB$3:AB372,"*")</f>
        <v>4079.9999999998217</v>
      </c>
      <c r="BV371" s="87">
        <f>SUMIFS($AU$3:AU372,$AA$3:AA372,"*",$AC$3:AC372,"*")</f>
        <v>13764.4</v>
      </c>
      <c r="BW371" s="87">
        <f>SUMIFS($AU$3:AU372,$AB$3:AB372,"*",$AC$3:AC372,"*")</f>
        <v>3279.9999999999982</v>
      </c>
      <c r="BX371" s="87">
        <f>SUMIFS($AV$3:AV372,$Q$3:Q372,"F")</f>
        <v>396.19230875404793</v>
      </c>
      <c r="BY371" s="87">
        <f>SUMIFS($AV$3:AV372,$Q$3:Q372,"S")</f>
        <v>408.44305058920065</v>
      </c>
      <c r="BZ371" s="87">
        <f>SUMIFS($AV$3:AV372,$Q$3:Q372,"O")</f>
        <v>548.33999999983723</v>
      </c>
    </row>
    <row r="372" spans="1:78" ht="15.75" customHeight="1">
      <c r="A372" s="45" t="s">
        <v>1310</v>
      </c>
      <c r="B372" s="59">
        <v>45387</v>
      </c>
      <c r="C372" s="46" t="s">
        <v>1366</v>
      </c>
      <c r="D372" s="46" t="s">
        <v>115</v>
      </c>
      <c r="E372" s="66"/>
      <c r="F372" s="47"/>
      <c r="G372" s="162" t="s">
        <v>804</v>
      </c>
      <c r="H372" s="49"/>
      <c r="I372" s="49"/>
      <c r="J372" s="49"/>
      <c r="K372" s="50"/>
      <c r="L372" s="49">
        <v>1</v>
      </c>
      <c r="M372" s="49">
        <v>1</v>
      </c>
      <c r="N372" s="49"/>
      <c r="O372" s="50" t="s">
        <v>100</v>
      </c>
      <c r="P372" s="50" t="s">
        <v>101</v>
      </c>
      <c r="Q372" s="50" t="s">
        <v>127</v>
      </c>
      <c r="R372" s="50">
        <v>80</v>
      </c>
      <c r="S372" s="161">
        <v>40</v>
      </c>
      <c r="T372" s="50">
        <v>30</v>
      </c>
      <c r="U372" s="50" t="s">
        <v>102</v>
      </c>
      <c r="V372" s="50"/>
      <c r="W372" s="50"/>
      <c r="X372" s="50"/>
      <c r="Y372" s="51">
        <f>IF(ISBLANK(O372),"",(IF(O372=UPPER("IB"),0.005,0.01)))</f>
        <v>0.01</v>
      </c>
      <c r="Z372" s="52">
        <f>IF(ISBLANK(O372),"",IF(O372="IB",8.63*200,IF(O372="IR",16*100,IF(O372="YT",20*100,IF(O372="YT-XT",24*200,IF(O372="TED",80*100,IF(O372="XT",29*200)))))))</f>
        <v>1600</v>
      </c>
      <c r="AA372" s="52"/>
      <c r="AB372" s="52"/>
      <c r="AC372" s="52" t="s">
        <v>1367</v>
      </c>
      <c r="AD372" s="231">
        <f>((45*0.06)+(15*0.07)+(0.05*20))/80</f>
        <v>5.9374999999999997E-2</v>
      </c>
      <c r="AE372" s="49"/>
      <c r="AF372" s="84"/>
      <c r="AG372" s="49"/>
      <c r="AH372" s="49"/>
      <c r="AI372" s="49" t="s">
        <v>1368</v>
      </c>
      <c r="AJ372" s="226"/>
      <c r="AK372" s="49"/>
      <c r="AL372" s="113">
        <f t="shared" si="130"/>
        <v>-32</v>
      </c>
      <c r="AM372" s="113">
        <f t="shared" si="129"/>
        <v>-1280</v>
      </c>
      <c r="AN372" s="218"/>
      <c r="AO372" s="49"/>
      <c r="AP372" s="49" t="s">
        <v>1369</v>
      </c>
      <c r="AQ372" s="84" t="s">
        <v>155</v>
      </c>
      <c r="AR372" s="49" t="s">
        <v>1370</v>
      </c>
      <c r="AS372" s="55">
        <f>(0.04*40+0.03*40)/80</f>
        <v>3.4999999999999996E-2</v>
      </c>
      <c r="AT372" s="55">
        <f>IF(ISBLANK(AS372),,IF(U372="S",AD372-AS372,AS372-AD372))</f>
        <v>2.4375000000000001E-2</v>
      </c>
      <c r="AU372" s="54">
        <f>AV372*R372</f>
        <v>3120</v>
      </c>
      <c r="AV372" s="56">
        <f t="shared" ref="AV372:AV379" si="143">IF(ISBLANK(AS372),,(AT372*Z372))</f>
        <v>39</v>
      </c>
      <c r="AW372" s="57" t="s">
        <v>101</v>
      </c>
      <c r="AX372" s="153" t="s">
        <v>1371</v>
      </c>
      <c r="AY372" s="153" t="s">
        <v>1372</v>
      </c>
      <c r="AZ372" s="153" t="s">
        <v>1373</v>
      </c>
      <c r="BA372" s="153" t="s">
        <v>1040</v>
      </c>
      <c r="BB372" s="153"/>
      <c r="BC372" s="153"/>
      <c r="BD372" s="151"/>
      <c r="BE372" s="152"/>
      <c r="BF372" s="151"/>
      <c r="BG372" s="94">
        <f>SUM($AV$4:AV372)</f>
        <v>1500.9753593430912</v>
      </c>
      <c r="BH372" s="95">
        <f>SUM($AU$4:AU372)</f>
        <v>30445.780000000152</v>
      </c>
      <c r="BI372" s="80">
        <f>SUMIFS($AU$3:AU373,$Q$3:Q373,"F")</f>
        <v>22308.400000000001</v>
      </c>
      <c r="BJ372" s="80">
        <f>SUMIFS($AU$3:AU373,$Q$3:Q373,"S")</f>
        <v>6655.9999999999909</v>
      </c>
      <c r="BK372" s="87">
        <f>SUMIFS($AU$3:AU373,$P$3:P373,"W")</f>
        <v>23133.580000000136</v>
      </c>
      <c r="BL372" s="87">
        <f>SUMIFS($AU$3:AU373,$P$3:P373,"R")</f>
        <v>6485.9999999999991</v>
      </c>
      <c r="BM372" s="87">
        <f>SUMIFS($AU$3:AU373,$AQ$3:AQ373,"M")</f>
        <v>5610.1799999997002</v>
      </c>
      <c r="BN372" s="87">
        <f>SUMIFS($AU$3:AU373,$AQ$3:AQ373,"H")</f>
        <v>4907.2000000004446</v>
      </c>
      <c r="BO372" s="87">
        <f>SUMIFS($AU$3:AU373,$AQ$3:AQ373,"D")</f>
        <v>8370</v>
      </c>
      <c r="BP372" s="87">
        <f>SUMIFS($AU$3:AU460,$AQ$3:AQ460,"W")</f>
        <v>12022.400000000001</v>
      </c>
      <c r="BQ372" s="87">
        <f>SUMIFS($AU$3:AU373,$Q$3:Q373,"O")</f>
        <v>1857.3800000001647</v>
      </c>
      <c r="BR372" s="87">
        <f>SUMIFS($AU$3:AU373,$AA$3:AA373,"*")</f>
        <v>22646.600000000039</v>
      </c>
      <c r="BS372" s="87">
        <f>SUMIFS($AU$3:AU373,$AB$3:AB373,"*")</f>
        <v>6615.1799999999312</v>
      </c>
      <c r="BT372" s="87">
        <f>SUMIFS($AU$3:AU373,$AC$3:AC373,"*")</f>
        <v>19188.400000000001</v>
      </c>
      <c r="BU372" s="87">
        <f>SUMIFS($AU$3:AU373,$AA$3:AA373,"*",$AB$3:AB373,"*")</f>
        <v>4079.9999999998217</v>
      </c>
      <c r="BV372" s="87">
        <f>SUMIFS($AU$3:AU373,$AA$3:AA373,"*",$AC$3:AC373,"*")</f>
        <v>13764.4</v>
      </c>
      <c r="BW372" s="87">
        <f>SUMIFS($AU$3:AU373,$AB$3:AB373,"*",$AC$3:AC373,"*")</f>
        <v>3279.9999999999982</v>
      </c>
      <c r="BX372" s="87">
        <f>SUMIFS($AV$3:AV373,$Q$3:Q373,"F")</f>
        <v>396.19230875404793</v>
      </c>
      <c r="BY372" s="87">
        <f>SUMIFS($AV$3:AV373,$Q$3:Q373,"S")</f>
        <v>408.44305058920065</v>
      </c>
      <c r="BZ372" s="87">
        <f>SUMIFS($AV$3:AV373,$Q$3:Q373,"O")</f>
        <v>548.33999999983723</v>
      </c>
    </row>
    <row r="373" spans="1:78" ht="15.75" customHeight="1">
      <c r="A373" s="45" t="s">
        <v>1310</v>
      </c>
      <c r="B373" s="59">
        <v>45387</v>
      </c>
      <c r="C373" s="46" t="s">
        <v>796</v>
      </c>
      <c r="D373" s="46" t="s">
        <v>115</v>
      </c>
      <c r="E373" s="66"/>
      <c r="F373" s="47"/>
      <c r="G373" s="163" t="s">
        <v>362</v>
      </c>
      <c r="H373" s="49"/>
      <c r="I373" s="49"/>
      <c r="J373" s="49"/>
      <c r="K373" s="50"/>
      <c r="L373" s="49">
        <v>1</v>
      </c>
      <c r="M373" s="49"/>
      <c r="N373" s="49"/>
      <c r="O373" s="50" t="s">
        <v>363</v>
      </c>
      <c r="P373" s="50" t="s">
        <v>126</v>
      </c>
      <c r="Q373" s="50"/>
      <c r="R373" s="50">
        <v>2</v>
      </c>
      <c r="S373" s="50">
        <v>1</v>
      </c>
      <c r="T373" s="50">
        <v>2</v>
      </c>
      <c r="U373" s="50" t="s">
        <v>22</v>
      </c>
      <c r="V373" s="50"/>
      <c r="W373" s="50"/>
      <c r="X373" s="50"/>
      <c r="Y373" s="51">
        <f>IF(ISBLANK(O373),"",(IF(O373=UPPER("IB"),0.005,0.01)))</f>
        <v>0.01</v>
      </c>
      <c r="Z373" s="52">
        <f>IF(ISBLANK(O373),"",IF(O373="IB",8.63*200,IF(O373="IR",16*100,IF(O373="YT",20*100,IF(O373="YT-XT",24*200,IF(O373="TED",80*100))))))</f>
        <v>8000</v>
      </c>
      <c r="AA373" s="52" t="s">
        <v>1374</v>
      </c>
      <c r="AB373" s="52"/>
      <c r="AC373" s="52"/>
      <c r="AD373" s="231">
        <v>-0.1</v>
      </c>
      <c r="AE373" s="49"/>
      <c r="AF373" s="84"/>
      <c r="AG373" s="49"/>
      <c r="AH373" s="49"/>
      <c r="AI373" s="49"/>
      <c r="AJ373" s="226"/>
      <c r="AK373" s="49"/>
      <c r="AL373" s="113">
        <f t="shared" ref="AL373:AL443" si="144">-0.02*Z373</f>
        <v>-160</v>
      </c>
      <c r="AM373" s="113">
        <f t="shared" si="129"/>
        <v>-160</v>
      </c>
      <c r="AN373" s="218"/>
      <c r="AO373" s="49"/>
      <c r="AP373" s="49" t="s">
        <v>297</v>
      </c>
      <c r="AQ373" s="84" t="s">
        <v>155</v>
      </c>
      <c r="AR373" s="49" t="s">
        <v>1375</v>
      </c>
      <c r="AS373" s="55">
        <f>((-0.09*1)+(-0.09*1))/2</f>
        <v>-0.09</v>
      </c>
      <c r="AT373" s="55">
        <f>IF(ISBLANK(AS373),,IF(U373="S",AD373-AS373,AS373-AD373))</f>
        <v>1.0000000000000009E-2</v>
      </c>
      <c r="AU373" s="54">
        <f>AV373*R373</f>
        <v>160.00000000000014</v>
      </c>
      <c r="AV373" s="56">
        <f t="shared" si="143"/>
        <v>80.000000000000071</v>
      </c>
      <c r="AW373" s="57" t="s">
        <v>101</v>
      </c>
      <c r="AX373" s="159" t="s">
        <v>1376</v>
      </c>
      <c r="AY373" s="153" t="s">
        <v>1377</v>
      </c>
      <c r="AZ373" s="153"/>
      <c r="BA373" s="153"/>
      <c r="BB373" s="153"/>
      <c r="BC373" s="153"/>
      <c r="BD373" s="151"/>
      <c r="BE373" s="152"/>
      <c r="BF373" s="151"/>
      <c r="BG373" s="94">
        <f>SUM($AV$4:AV373)</f>
        <v>1580.9753593430912</v>
      </c>
      <c r="BH373" s="95">
        <f>SUM($AU$4:AU373)</f>
        <v>30605.780000000152</v>
      </c>
      <c r="BI373" s="80">
        <f>SUMIFS($AU$3:AU374,$Q$3:Q374,"F")</f>
        <v>22308.400000000001</v>
      </c>
      <c r="BJ373" s="80">
        <f>SUMIFS($AU$3:AU374,$Q$3:Q374,"S")</f>
        <v>6655.9999999999909</v>
      </c>
      <c r="BK373" s="87">
        <f>SUMIFS($AU$3:AU374,$P$3:P374,"W")</f>
        <v>23133.580000000136</v>
      </c>
      <c r="BL373" s="87">
        <f>SUMIFS($AU$3:AU374,$P$3:P374,"R")</f>
        <v>6485.9999999999991</v>
      </c>
      <c r="BM373" s="87">
        <f>SUMIFS($AU$3:AU374,$AQ$3:AQ374,"M")</f>
        <v>5610.1799999997002</v>
      </c>
      <c r="BN373" s="87">
        <f>SUMIFS($AU$3:AU374,$AQ$3:AQ374,"H")</f>
        <v>4907.2000000004446</v>
      </c>
      <c r="BO373" s="87">
        <f>SUMIFS($AU$3:AU374,$AQ$3:AQ374,"D")</f>
        <v>8370</v>
      </c>
      <c r="BP373" s="87">
        <f>SUMIFS($AU$3:AU461,$AQ$3:AQ461,"W")</f>
        <v>12022.400000000001</v>
      </c>
      <c r="BQ373" s="87">
        <f>SUMIFS($AU$3:AU374,$Q$3:Q374,"O")</f>
        <v>1857.3800000001647</v>
      </c>
      <c r="BR373" s="87">
        <f>SUMIFS($AU$3:AU374,$AA$3:AA374,"*")</f>
        <v>22646.600000000039</v>
      </c>
      <c r="BS373" s="87">
        <f>SUMIFS($AU$3:AU374,$AB$3:AB374,"*")</f>
        <v>6615.1799999999312</v>
      </c>
      <c r="BT373" s="87">
        <f>SUMIFS($AU$3:AU374,$AC$3:AC374,"*")</f>
        <v>19188.400000000001</v>
      </c>
      <c r="BU373" s="87">
        <f>SUMIFS($AU$3:AU374,$AA$3:AA374,"*",$AB$3:AB374,"*")</f>
        <v>4079.9999999998217</v>
      </c>
      <c r="BV373" s="87">
        <f>SUMIFS($AU$3:AU374,$AA$3:AA374,"*",$AC$3:AC374,"*")</f>
        <v>13764.4</v>
      </c>
      <c r="BW373" s="87">
        <f>SUMIFS($AU$3:AU374,$AB$3:AB374,"*",$AC$3:AC374,"*")</f>
        <v>3279.9999999999982</v>
      </c>
      <c r="BX373" s="87">
        <f>SUMIFS($AV$3:AV374,$Q$3:Q374,"F")</f>
        <v>396.19230875404793</v>
      </c>
      <c r="BY373" s="87">
        <f>SUMIFS($AV$3:AV374,$Q$3:Q374,"S")</f>
        <v>408.44305058920065</v>
      </c>
      <c r="BZ373" s="87">
        <f>SUMIFS($AV$3:AV374,$Q$3:Q374,"O")</f>
        <v>548.33999999983723</v>
      </c>
    </row>
    <row r="374" spans="1:78" ht="15.75" customHeight="1">
      <c r="A374" s="45" t="s">
        <v>1310</v>
      </c>
      <c r="B374" s="59">
        <v>45387</v>
      </c>
      <c r="C374" s="46" t="s">
        <v>1378</v>
      </c>
      <c r="D374" s="46" t="s">
        <v>115</v>
      </c>
      <c r="E374" s="66"/>
      <c r="F374" s="47"/>
      <c r="G374" s="106" t="s">
        <v>111</v>
      </c>
      <c r="H374" s="49"/>
      <c r="I374" s="49"/>
      <c r="J374" s="49"/>
      <c r="K374" s="50"/>
      <c r="L374" s="49">
        <v>1</v>
      </c>
      <c r="M374" s="49"/>
      <c r="N374" s="49"/>
      <c r="O374" s="50" t="s">
        <v>100</v>
      </c>
      <c r="P374" s="50" t="s">
        <v>101</v>
      </c>
      <c r="Q374" s="50" t="s">
        <v>102</v>
      </c>
      <c r="R374" s="50">
        <v>20</v>
      </c>
      <c r="S374" s="161">
        <v>0</v>
      </c>
      <c r="T374" s="50">
        <v>15</v>
      </c>
      <c r="U374" s="50" t="s">
        <v>102</v>
      </c>
      <c r="V374" s="50"/>
      <c r="W374" s="50"/>
      <c r="X374" s="50"/>
      <c r="Y374" s="51">
        <f>IF(ISBLANK(O374),"",(IF(O374=UPPER("IB"),0.005,0.01)))</f>
        <v>0.01</v>
      </c>
      <c r="Z374" s="52">
        <f>IF(ISBLANK(O374),"",IF(O374="IB",8.63*200,IF(O374="IR",16*100,IF(O374="YT",20*100,IF(O374="YT-XT",24*200,IF(O374="TED",80*100,IF(O374="XT",29*200)))))))</f>
        <v>1600</v>
      </c>
      <c r="AA374" s="52" t="s">
        <v>177</v>
      </c>
      <c r="AB374" s="52"/>
      <c r="AC374" s="52" t="s">
        <v>1367</v>
      </c>
      <c r="AD374" s="231">
        <v>-0.09</v>
      </c>
      <c r="AE374" s="49"/>
      <c r="AF374" s="84"/>
      <c r="AG374" s="49"/>
      <c r="AH374" s="49"/>
      <c r="AI374" s="49"/>
      <c r="AJ374" s="226"/>
      <c r="AK374" s="49"/>
      <c r="AL374" s="113">
        <f t="shared" si="144"/>
        <v>-32</v>
      </c>
      <c r="AM374" s="113">
        <f t="shared" si="129"/>
        <v>-640</v>
      </c>
      <c r="AN374" s="218"/>
      <c r="AO374" s="49"/>
      <c r="AP374" s="49" t="s">
        <v>297</v>
      </c>
      <c r="AQ374" s="84" t="s">
        <v>155</v>
      </c>
      <c r="AR374" s="49" t="s">
        <v>1379</v>
      </c>
      <c r="AS374" s="55">
        <v>-0.09</v>
      </c>
      <c r="AT374" s="55">
        <f>IF(ISBLANK(AS374),,IF(U374="S",AD374-AS374,AS374-AD374))</f>
        <v>0</v>
      </c>
      <c r="AU374" s="54">
        <f>AV374*R374</f>
        <v>0</v>
      </c>
      <c r="AV374" s="56">
        <f t="shared" si="143"/>
        <v>0</v>
      </c>
      <c r="AW374" s="57" t="s">
        <v>155</v>
      </c>
      <c r="AX374" s="153"/>
      <c r="AY374" s="153"/>
      <c r="AZ374" s="153"/>
      <c r="BA374" s="153"/>
      <c r="BB374" s="153"/>
      <c r="BC374" s="153"/>
      <c r="BD374" s="151"/>
      <c r="BE374" s="152"/>
      <c r="BF374" s="151"/>
      <c r="BG374" s="94">
        <f>SUM($AV$4:AV374)</f>
        <v>1580.9753593430912</v>
      </c>
      <c r="BH374" s="95">
        <f>SUM($AU$4:AU374)</f>
        <v>30605.780000000152</v>
      </c>
      <c r="BI374" s="80">
        <f>SUMIFS($AU$3:AU375,$Q$3:Q375,"F")</f>
        <v>22308.400000000001</v>
      </c>
      <c r="BJ374" s="80">
        <f>SUMIFS($AU$3:AU375,$Q$3:Q375,"S")</f>
        <v>6655.9999999999909</v>
      </c>
      <c r="BK374" s="87">
        <f>SUMIFS($AU$3:AU375,$P$3:P375,"W")</f>
        <v>23133.580000000136</v>
      </c>
      <c r="BL374" s="87">
        <f>SUMIFS($AU$3:AU375,$P$3:P375,"R")</f>
        <v>6485.9999999999991</v>
      </c>
      <c r="BM374" s="87">
        <f>SUMIFS($AU$3:AU375,$AQ$3:AQ375,"M")</f>
        <v>5610.1799999997002</v>
      </c>
      <c r="BN374" s="87">
        <f>SUMIFS($AU$3:AU375,$AQ$3:AQ375,"H")</f>
        <v>4907.2000000004446</v>
      </c>
      <c r="BO374" s="87">
        <f>SUMIFS($AU$3:AU375,$AQ$3:AQ375,"D")</f>
        <v>8370</v>
      </c>
      <c r="BP374" s="87">
        <f>SUMIFS($AU$3:AU462,$AQ$3:AQ462,"W")</f>
        <v>12022.400000000001</v>
      </c>
      <c r="BQ374" s="87">
        <f>SUMIFS($AU$3:AU375,$Q$3:Q375,"O")</f>
        <v>1857.3800000001647</v>
      </c>
      <c r="BR374" s="87">
        <f>SUMIFS($AU$3:AU375,$AA$3:AA375,"*")</f>
        <v>22646.600000000039</v>
      </c>
      <c r="BS374" s="87">
        <f>SUMIFS($AU$3:AU375,$AB$3:AB375,"*")</f>
        <v>6615.1799999999312</v>
      </c>
      <c r="BT374" s="87">
        <f>SUMIFS($AU$3:AU375,$AC$3:AC375,"*")</f>
        <v>19188.400000000001</v>
      </c>
      <c r="BU374" s="87">
        <f>SUMIFS($AU$3:AU375,$AA$3:AA375,"*",$AB$3:AB375,"*")</f>
        <v>4079.9999999998217</v>
      </c>
      <c r="BV374" s="87">
        <f>SUMIFS($AU$3:AU375,$AA$3:AA375,"*",$AC$3:AC375,"*")</f>
        <v>13764.4</v>
      </c>
      <c r="BW374" s="87">
        <f>SUMIFS($AU$3:AU375,$AB$3:AB375,"*",$AC$3:AC375,"*")</f>
        <v>3279.9999999999982</v>
      </c>
      <c r="BX374" s="87">
        <f>SUMIFS($AV$3:AV375,$Q$3:Q375,"F")</f>
        <v>396.19230875404793</v>
      </c>
      <c r="BY374" s="87">
        <f>SUMIFS($AV$3:AV375,$Q$3:Q375,"S")</f>
        <v>408.44305058920065</v>
      </c>
      <c r="BZ374" s="87">
        <f>SUMIFS($AV$3:AV375,$Q$3:Q375,"O")</f>
        <v>548.33999999983723</v>
      </c>
    </row>
    <row r="375" spans="1:78" ht="15.75" customHeight="1">
      <c r="A375" s="45" t="s">
        <v>1310</v>
      </c>
      <c r="B375" s="59">
        <v>45387</v>
      </c>
      <c r="C375" s="46" t="s">
        <v>871</v>
      </c>
      <c r="D375" s="46" t="s">
        <v>115</v>
      </c>
      <c r="E375" s="66" t="s">
        <v>1380</v>
      </c>
      <c r="F375" s="47" t="s">
        <v>1381</v>
      </c>
      <c r="G375" s="48"/>
      <c r="H375" s="49">
        <v>1</v>
      </c>
      <c r="I375" s="49"/>
      <c r="J375" s="49"/>
      <c r="K375" s="50" t="s">
        <v>142</v>
      </c>
      <c r="L375" s="49"/>
      <c r="M375" s="49"/>
      <c r="N375" s="49"/>
      <c r="O375" s="50"/>
      <c r="P375" s="50"/>
      <c r="Q375" s="50"/>
      <c r="R375" s="50"/>
      <c r="S375" s="50"/>
      <c r="T375" s="50"/>
      <c r="U375" s="50"/>
      <c r="V375" s="50"/>
      <c r="W375" s="50"/>
      <c r="X375" s="50"/>
      <c r="Y375" s="50"/>
      <c r="Z375" s="50"/>
      <c r="AA375" s="52"/>
      <c r="AB375" s="52"/>
      <c r="AC375" s="52"/>
      <c r="AD375" s="231"/>
      <c r="AE375" s="49"/>
      <c r="AF375" s="84"/>
      <c r="AG375" s="49"/>
      <c r="AH375" s="49"/>
      <c r="AI375" s="49"/>
      <c r="AJ375" s="226"/>
      <c r="AK375" s="49"/>
      <c r="AL375" s="113">
        <f t="shared" si="144"/>
        <v>0</v>
      </c>
      <c r="AM375" s="113">
        <f t="shared" si="129"/>
        <v>0</v>
      </c>
      <c r="AN375" s="218"/>
      <c r="AO375" s="49"/>
      <c r="AP375" s="49"/>
      <c r="AQ375" s="84" t="str">
        <f>UPPER(RIGHT(Journal_Live[[#This Row],[DURATION ]]))</f>
        <v/>
      </c>
      <c r="AR375" s="49"/>
      <c r="AS375" s="55"/>
      <c r="AT375" s="55"/>
      <c r="AU375" s="54"/>
      <c r="AV375" s="56"/>
      <c r="AW375" s="57"/>
      <c r="AX375" s="153"/>
      <c r="AY375" s="153"/>
      <c r="AZ375" s="153"/>
      <c r="BA375" s="153"/>
      <c r="BB375" s="153"/>
      <c r="BC375" s="153"/>
      <c r="BD375" s="151"/>
      <c r="BE375" s="152"/>
      <c r="BF375" s="151"/>
      <c r="BG375" s="94">
        <f>SUM($AV$4:AV375)</f>
        <v>1580.9753593430912</v>
      </c>
      <c r="BH375" s="95">
        <f>SUM($AU$4:AU375)</f>
        <v>30605.780000000152</v>
      </c>
      <c r="BI375" s="80">
        <f>SUMIFS($AU$3:AU376,$Q$3:Q376,"F")</f>
        <v>22308.400000000001</v>
      </c>
      <c r="BJ375" s="80">
        <f>SUMIFS($AU$3:AU376,$Q$3:Q376,"S")</f>
        <v>6655.9999999999909</v>
      </c>
      <c r="BK375" s="87">
        <f>SUMIFS($AU$3:AU376,$P$3:P376,"W")</f>
        <v>23133.580000000136</v>
      </c>
      <c r="BL375" s="87">
        <f>SUMIFS($AU$3:AU376,$P$3:P376,"R")</f>
        <v>6485.9999999999991</v>
      </c>
      <c r="BM375" s="87">
        <f>SUMIFS($AU$3:AU376,$AQ$3:AQ376,"M")</f>
        <v>5610.1799999997002</v>
      </c>
      <c r="BN375" s="87">
        <f>SUMIFS($AU$3:AU376,$AQ$3:AQ376,"H")</f>
        <v>4907.2000000004446</v>
      </c>
      <c r="BO375" s="87">
        <f>SUMIFS($AU$3:AU376,$AQ$3:AQ376,"D")</f>
        <v>8370</v>
      </c>
      <c r="BP375" s="87">
        <f>SUMIFS($AU$3:AU463,$AQ$3:AQ463,"W")</f>
        <v>12022.400000000001</v>
      </c>
      <c r="BQ375" s="87">
        <f>SUMIFS($AU$3:AU376,$Q$3:Q376,"O")</f>
        <v>1857.3800000001647</v>
      </c>
      <c r="BR375" s="87">
        <f>SUMIFS($AU$3:AU376,$AA$3:AA376,"*")</f>
        <v>22646.600000000039</v>
      </c>
      <c r="BS375" s="87">
        <f>SUMIFS($AU$3:AU376,$AB$3:AB376,"*")</f>
        <v>6615.1799999999312</v>
      </c>
      <c r="BT375" s="87">
        <f>SUMIFS($AU$3:AU376,$AC$3:AC376,"*")</f>
        <v>19188.400000000001</v>
      </c>
      <c r="BU375" s="87">
        <f>SUMIFS($AU$3:AU376,$AA$3:AA376,"*",$AB$3:AB376,"*")</f>
        <v>4079.9999999998217</v>
      </c>
      <c r="BV375" s="87">
        <f>SUMIFS($AU$3:AU376,$AA$3:AA376,"*",$AC$3:AC376,"*")</f>
        <v>13764.4</v>
      </c>
      <c r="BW375" s="87">
        <f>SUMIFS($AU$3:AU376,$AB$3:AB376,"*",$AC$3:AC376,"*")</f>
        <v>3279.9999999999982</v>
      </c>
      <c r="BX375" s="87">
        <f>SUMIFS($AV$3:AV376,$Q$3:Q376,"F")</f>
        <v>396.19230875404793</v>
      </c>
      <c r="BY375" s="87">
        <f>SUMIFS($AV$3:AV376,$Q$3:Q376,"S")</f>
        <v>408.44305058920065</v>
      </c>
      <c r="BZ375" s="87">
        <f>SUMIFS($AV$3:AV376,$Q$3:Q376,"O")</f>
        <v>548.33999999983723</v>
      </c>
    </row>
    <row r="376" spans="1:78" ht="15.75" customHeight="1">
      <c r="A376" s="45" t="s">
        <v>1310</v>
      </c>
      <c r="B376" s="59"/>
      <c r="C376" s="46"/>
      <c r="D376" s="46"/>
      <c r="E376" s="66" t="s">
        <v>1382</v>
      </c>
      <c r="F376" s="47"/>
      <c r="G376" s="48"/>
      <c r="H376" s="49"/>
      <c r="I376" s="49"/>
      <c r="J376" s="49">
        <v>1</v>
      </c>
      <c r="K376" s="50" t="s">
        <v>142</v>
      </c>
      <c r="L376" s="49"/>
      <c r="M376" s="49"/>
      <c r="N376" s="49"/>
      <c r="O376" s="50"/>
      <c r="P376" s="50"/>
      <c r="Q376" s="50"/>
      <c r="R376" s="50"/>
      <c r="S376" s="50"/>
      <c r="T376" s="50"/>
      <c r="U376" s="50"/>
      <c r="V376" s="50"/>
      <c r="W376" s="50"/>
      <c r="X376" s="50"/>
      <c r="Y376" s="50"/>
      <c r="Z376" s="50"/>
      <c r="AA376" s="52"/>
      <c r="AB376" s="52"/>
      <c r="AC376" s="52"/>
      <c r="AD376" s="231"/>
      <c r="AE376" s="49"/>
      <c r="AF376" s="84"/>
      <c r="AG376" s="49"/>
      <c r="AH376" s="49"/>
      <c r="AI376" s="49"/>
      <c r="AJ376" s="226"/>
      <c r="AK376" s="49"/>
      <c r="AL376" s="113">
        <f t="shared" si="144"/>
        <v>0</v>
      </c>
      <c r="AM376" s="113">
        <f t="shared" si="129"/>
        <v>0</v>
      </c>
      <c r="AN376" s="218"/>
      <c r="AO376" s="49"/>
      <c r="AP376" s="49"/>
      <c r="AQ376" s="84" t="str">
        <f>UPPER(RIGHT(Journal_Live[[#This Row],[DURATION ]]))</f>
        <v/>
      </c>
      <c r="AR376" s="49"/>
      <c r="AS376" s="55"/>
      <c r="AT376" s="55"/>
      <c r="AU376" s="54"/>
      <c r="AV376" s="56"/>
      <c r="AW376" s="57"/>
      <c r="AX376" s="153"/>
      <c r="AY376" s="153"/>
      <c r="AZ376" s="153"/>
      <c r="BA376" s="153"/>
      <c r="BB376" s="153"/>
      <c r="BC376" s="153"/>
      <c r="BD376" s="151"/>
      <c r="BE376" s="152"/>
      <c r="BF376" s="151"/>
      <c r="BG376" s="94">
        <f>SUM($AV$4:AV376)</f>
        <v>1580.9753593430912</v>
      </c>
      <c r="BH376" s="95">
        <f>SUM($AU$4:AU376)</f>
        <v>30605.780000000152</v>
      </c>
      <c r="BI376" s="80">
        <f>SUMIFS($AU$3:AU377,$Q$3:Q377,"F")</f>
        <v>22308.400000000001</v>
      </c>
      <c r="BJ376" s="80">
        <f>SUMIFS($AU$3:AU377,$Q$3:Q377,"S")</f>
        <v>6335.9999999999909</v>
      </c>
      <c r="BK376" s="87">
        <f>SUMIFS($AU$3:AU377,$P$3:P377,"W")</f>
        <v>22813.580000000136</v>
      </c>
      <c r="BL376" s="87">
        <f>SUMIFS($AU$3:AU377,$P$3:P377,"R")</f>
        <v>6485.9999999999991</v>
      </c>
      <c r="BM376" s="87">
        <f>SUMIFS($AU$3:AU377,$AQ$3:AQ377,"M")</f>
        <v>5610.1799999997002</v>
      </c>
      <c r="BN376" s="87">
        <f>SUMIFS($AU$3:AU377,$AQ$3:AQ377,"H")</f>
        <v>4907.2000000004446</v>
      </c>
      <c r="BO376" s="87">
        <f>SUMIFS($AU$3:AU377,$AQ$3:AQ377,"D")</f>
        <v>8370</v>
      </c>
      <c r="BP376" s="87">
        <f>SUMIFS($AU$3:AU464,$AQ$3:AQ464,"W")</f>
        <v>12022.400000000001</v>
      </c>
      <c r="BQ376" s="87">
        <f>SUMIFS($AU$3:AU377,$Q$3:Q377,"O")</f>
        <v>1857.3800000001647</v>
      </c>
      <c r="BR376" s="87">
        <f>SUMIFS($AU$3:AU377,$AA$3:AA377,"*")</f>
        <v>22326.600000000039</v>
      </c>
      <c r="BS376" s="87">
        <f>SUMIFS($AU$3:AU377,$AB$3:AB377,"*")</f>
        <v>6615.1799999999312</v>
      </c>
      <c r="BT376" s="87">
        <f>SUMIFS($AU$3:AU377,$AC$3:AC377,"*")</f>
        <v>18868.400000000001</v>
      </c>
      <c r="BU376" s="87">
        <f>SUMIFS($AU$3:AU377,$AA$3:AA377,"*",$AB$3:AB377,"*")</f>
        <v>4079.9999999998217</v>
      </c>
      <c r="BV376" s="87">
        <f>SUMIFS($AU$3:AU377,$AA$3:AA377,"*",$AC$3:AC377,"*")</f>
        <v>13444.4</v>
      </c>
      <c r="BW376" s="87">
        <f>SUMIFS($AU$3:AU377,$AB$3:AB377,"*",$AC$3:AC377,"*")</f>
        <v>3279.9999999999982</v>
      </c>
      <c r="BX376" s="87">
        <f>SUMIFS($AV$3:AV377,$Q$3:Q377,"F")</f>
        <v>396.19230875404793</v>
      </c>
      <c r="BY376" s="87">
        <f>SUMIFS($AV$3:AV377,$Q$3:Q377,"S")</f>
        <v>392.44305058920065</v>
      </c>
      <c r="BZ376" s="87">
        <f>SUMIFS($AV$3:AV377,$Q$3:Q377,"O")</f>
        <v>548.33999999983723</v>
      </c>
    </row>
    <row r="377" spans="1:78" ht="15.75" customHeight="1">
      <c r="A377" s="45" t="s">
        <v>1310</v>
      </c>
      <c r="B377" s="59">
        <v>45387</v>
      </c>
      <c r="C377" s="46" t="s">
        <v>147</v>
      </c>
      <c r="D377" s="46" t="s">
        <v>115</v>
      </c>
      <c r="E377" s="66"/>
      <c r="F377" s="47"/>
      <c r="G377" s="106" t="s">
        <v>181</v>
      </c>
      <c r="H377" s="49"/>
      <c r="I377" s="49"/>
      <c r="J377" s="49"/>
      <c r="K377" s="50"/>
      <c r="L377" s="49">
        <v>1</v>
      </c>
      <c r="M377" s="49"/>
      <c r="N377" s="49"/>
      <c r="O377" s="50" t="s">
        <v>100</v>
      </c>
      <c r="P377" s="50" t="s">
        <v>101</v>
      </c>
      <c r="Q377" s="50" t="s">
        <v>102</v>
      </c>
      <c r="R377" s="50">
        <v>20</v>
      </c>
      <c r="S377" s="161">
        <v>0</v>
      </c>
      <c r="T377" s="50">
        <v>15</v>
      </c>
      <c r="U377" s="50" t="s">
        <v>102</v>
      </c>
      <c r="V377" s="50"/>
      <c r="W377" s="50"/>
      <c r="X377" s="50"/>
      <c r="Y377" s="51">
        <f t="shared" ref="Y377:Y383" si="145">IF(ISBLANK(O377),"",(IF(O377=UPPER("IB"),0.005,0.01)))</f>
        <v>0.01</v>
      </c>
      <c r="Z377" s="52">
        <f>IF(ISBLANK(O377),"",IF(O377="IB",8.63*200,IF(O377="IR",16*100,IF(O377="YT",20*100,IF(O377="YT-XT",24*200,IF(O377="TED",80*100,IF(O377="XT",29*200)))))))</f>
        <v>1600</v>
      </c>
      <c r="AA377" s="52" t="s">
        <v>1251</v>
      </c>
      <c r="AB377" s="52"/>
      <c r="AC377" s="52" t="s">
        <v>1383</v>
      </c>
      <c r="AD377" s="231">
        <v>-0.12</v>
      </c>
      <c r="AE377" s="49"/>
      <c r="AF377" s="84"/>
      <c r="AG377" s="49"/>
      <c r="AH377" s="49"/>
      <c r="AI377" s="49"/>
      <c r="AJ377" s="226"/>
      <c r="AK377" s="49"/>
      <c r="AL377" s="113">
        <f t="shared" si="144"/>
        <v>-32</v>
      </c>
      <c r="AM377" s="113">
        <f t="shared" si="129"/>
        <v>-640</v>
      </c>
      <c r="AN377" s="218"/>
      <c r="AO377" s="49"/>
      <c r="AP377" s="49"/>
      <c r="AQ377" s="84" t="str">
        <f>UPPER(RIGHT(Journal_Live[[#This Row],[DURATION ]]))</f>
        <v/>
      </c>
      <c r="AR377" s="49"/>
      <c r="AS377" s="55">
        <v>-0.11</v>
      </c>
      <c r="AT377" s="55">
        <f t="shared" ref="AT377:AT383" si="146">IF(ISBLANK(AS377),,IF(U377="S",AD377-AS377,AS377-AD377))</f>
        <v>-9.999999999999995E-3</v>
      </c>
      <c r="AU377" s="54">
        <f t="shared" ref="AU377:AU383" si="147">AV377*R377</f>
        <v>-319.99999999999989</v>
      </c>
      <c r="AV377" s="56">
        <f t="shared" si="143"/>
        <v>-15.999999999999993</v>
      </c>
      <c r="AW377" s="57" t="s">
        <v>121</v>
      </c>
      <c r="AX377" s="153" t="s">
        <v>1384</v>
      </c>
      <c r="AY377" s="153" t="s">
        <v>1385</v>
      </c>
      <c r="AZ377" s="153"/>
      <c r="BA377" s="153"/>
      <c r="BB377" s="153"/>
      <c r="BC377" s="153"/>
      <c r="BD377" s="151"/>
      <c r="BE377" s="152"/>
      <c r="BF377" s="151"/>
      <c r="BG377" s="94">
        <f>SUM($AV$4:AV377)</f>
        <v>1564.9753593430912</v>
      </c>
      <c r="BH377" s="95">
        <f>SUM($AU$4:AU377)</f>
        <v>30285.780000000152</v>
      </c>
      <c r="BI377" s="80">
        <f>SUMIFS($AU$3:AU378,$Q$3:Q378,"F")</f>
        <v>22308.400000000001</v>
      </c>
      <c r="BJ377" s="80">
        <f>SUMIFS($AU$3:AU378,$Q$3:Q378,"S")</f>
        <v>6671.9999999999909</v>
      </c>
      <c r="BK377" s="87">
        <f>SUMIFS($AU$3:AU378,$P$3:P378,"W")</f>
        <v>23149.580000000136</v>
      </c>
      <c r="BL377" s="87">
        <f>SUMIFS($AU$3:AU378,$P$3:P378,"R")</f>
        <v>6485.9999999999991</v>
      </c>
      <c r="BM377" s="87">
        <f>SUMIFS($AU$3:AU378,$AQ$3:AQ378,"M")</f>
        <v>5610.1799999997002</v>
      </c>
      <c r="BN377" s="87">
        <f>SUMIFS($AU$3:AU378,$AQ$3:AQ378,"H")</f>
        <v>5243.2000000004446</v>
      </c>
      <c r="BO377" s="87">
        <f>SUMIFS($AU$3:AU378,$AQ$3:AQ378,"D")</f>
        <v>8370</v>
      </c>
      <c r="BP377" s="87">
        <f>SUMIFS($AU$3:AU465,$AQ$3:AQ465,"W")</f>
        <v>12022.400000000001</v>
      </c>
      <c r="BQ377" s="87">
        <f>SUMIFS($AU$3:AU378,$Q$3:Q378,"O")</f>
        <v>1857.3800000001647</v>
      </c>
      <c r="BR377" s="87">
        <f>SUMIFS($AU$3:AU378,$AA$3:AA378,"*")</f>
        <v>22662.600000000039</v>
      </c>
      <c r="BS377" s="87">
        <f>SUMIFS($AU$3:AU378,$AB$3:AB378,"*")</f>
        <v>6615.1799999999312</v>
      </c>
      <c r="BT377" s="87">
        <f>SUMIFS($AU$3:AU378,$AC$3:AC378,"*")</f>
        <v>18868.400000000001</v>
      </c>
      <c r="BU377" s="87">
        <f>SUMIFS($AU$3:AU378,$AA$3:AA378,"*",$AB$3:AB378,"*")</f>
        <v>4079.9999999998217</v>
      </c>
      <c r="BV377" s="87">
        <f>SUMIFS($AU$3:AU378,$AA$3:AA378,"*",$AC$3:AC378,"*")</f>
        <v>13444.4</v>
      </c>
      <c r="BW377" s="87">
        <f>SUMIFS($AU$3:AU378,$AB$3:AB378,"*",$AC$3:AC378,"*")</f>
        <v>3279.9999999999982</v>
      </c>
      <c r="BX377" s="87">
        <f>SUMIFS($AV$3:AV378,$Q$3:Q378,"F")</f>
        <v>396.19230875404793</v>
      </c>
      <c r="BY377" s="87">
        <f>SUMIFS($AV$3:AV378,$Q$3:Q378,"S")</f>
        <v>408.44305058920065</v>
      </c>
      <c r="BZ377" s="87">
        <f>SUMIFS($AV$3:AV378,$Q$3:Q378,"O")</f>
        <v>548.33999999983723</v>
      </c>
    </row>
    <row r="378" spans="1:78" ht="15.75" customHeight="1">
      <c r="A378" s="45" t="s">
        <v>1310</v>
      </c>
      <c r="B378" s="59">
        <v>45387</v>
      </c>
      <c r="C378" s="46" t="s">
        <v>147</v>
      </c>
      <c r="D378" s="46" t="s">
        <v>115</v>
      </c>
      <c r="E378" s="66"/>
      <c r="F378" s="47"/>
      <c r="G378" s="106" t="s">
        <v>459</v>
      </c>
      <c r="H378" s="49"/>
      <c r="I378" s="49"/>
      <c r="J378" s="49"/>
      <c r="K378" s="50"/>
      <c r="L378" s="49">
        <v>1</v>
      </c>
      <c r="M378" s="49"/>
      <c r="N378" s="49"/>
      <c r="O378" s="50" t="s">
        <v>100</v>
      </c>
      <c r="P378" s="50" t="s">
        <v>101</v>
      </c>
      <c r="Q378" s="50" t="s">
        <v>102</v>
      </c>
      <c r="R378" s="50">
        <v>21</v>
      </c>
      <c r="S378" s="161">
        <v>0</v>
      </c>
      <c r="T378" s="50">
        <v>21</v>
      </c>
      <c r="U378" s="50" t="s">
        <v>102</v>
      </c>
      <c r="V378" s="50"/>
      <c r="W378" s="50"/>
      <c r="X378" s="50"/>
      <c r="Y378" s="51">
        <f t="shared" si="145"/>
        <v>0.01</v>
      </c>
      <c r="Z378" s="52">
        <f>IF(ISBLANK(O378),"",IF(O378="IB",8.63*200,IF(O378="IR",16*100,IF(O378="YT",20*100,IF(O378="YT-XT",24*200,IF(O378="TED",80*100,IF(O378="XT",29*200)))))))</f>
        <v>1600</v>
      </c>
      <c r="AA378" s="52" t="s">
        <v>1251</v>
      </c>
      <c r="AB378" s="52"/>
      <c r="AC378" s="52"/>
      <c r="AD378" s="231">
        <v>-0.22</v>
      </c>
      <c r="AE378" s="49"/>
      <c r="AF378" s="84"/>
      <c r="AG378" s="49"/>
      <c r="AH378" s="49"/>
      <c r="AI378" s="49"/>
      <c r="AJ378" s="226"/>
      <c r="AK378" s="49"/>
      <c r="AL378" s="113">
        <f t="shared" si="144"/>
        <v>-32</v>
      </c>
      <c r="AM378" s="113">
        <f t="shared" si="129"/>
        <v>-672</v>
      </c>
      <c r="AN378" s="218"/>
      <c r="AO378" s="49"/>
      <c r="AP378" s="49" t="s">
        <v>1386</v>
      </c>
      <c r="AQ378" s="84" t="s">
        <v>142</v>
      </c>
      <c r="AR378" s="49" t="s">
        <v>1387</v>
      </c>
      <c r="AS378" s="55">
        <v>-0.23</v>
      </c>
      <c r="AT378" s="55">
        <f t="shared" si="146"/>
        <v>1.0000000000000009E-2</v>
      </c>
      <c r="AU378" s="54">
        <f t="shared" si="147"/>
        <v>336.00000000000028</v>
      </c>
      <c r="AV378" s="56">
        <f t="shared" si="143"/>
        <v>16.000000000000014</v>
      </c>
      <c r="AW378" s="57" t="s">
        <v>101</v>
      </c>
      <c r="AX378" s="153"/>
      <c r="AY378" s="153"/>
      <c r="AZ378" s="153"/>
      <c r="BA378" s="153"/>
      <c r="BB378" s="153"/>
      <c r="BC378" s="153"/>
      <c r="BD378" s="151"/>
      <c r="BE378" s="152"/>
      <c r="BF378" s="151"/>
      <c r="BG378" s="94">
        <f>SUM($AV$4:AV378)</f>
        <v>1580.9753593430912</v>
      </c>
      <c r="BH378" s="95">
        <f>SUM($AU$4:AU378)</f>
        <v>30621.780000000152</v>
      </c>
      <c r="BI378" s="80">
        <f>SUMIFS($AU$3:AU379,$Q$3:Q379,"F")</f>
        <v>22308.400000000001</v>
      </c>
      <c r="BJ378" s="80">
        <f>SUMIFS($AU$3:AU379,$Q$3:Q379,"S")</f>
        <v>6671.9999999999909</v>
      </c>
      <c r="BK378" s="87">
        <f>SUMIFS($AU$3:AU379,$P$3:P379,"W")</f>
        <v>23149.580000000136</v>
      </c>
      <c r="BL378" s="87">
        <f>SUMIFS($AU$3:AU379,$P$3:P379,"R")</f>
        <v>6485.9999999999991</v>
      </c>
      <c r="BM378" s="87">
        <f>SUMIFS($AU$3:AU379,$AQ$3:AQ379,"M")</f>
        <v>5668.1799999997302</v>
      </c>
      <c r="BN378" s="87">
        <f>SUMIFS($AU$3:AU379,$AQ$3:AQ379,"H")</f>
        <v>5243.2000000004446</v>
      </c>
      <c r="BO378" s="87">
        <f>SUMIFS($AU$3:AU379,$AQ$3:AQ379,"D")</f>
        <v>8370</v>
      </c>
      <c r="BP378" s="87">
        <f>SUMIFS($AU$3:AU466,$AQ$3:AQ466,"W")</f>
        <v>12022.400000000001</v>
      </c>
      <c r="BQ378" s="87">
        <f>SUMIFS($AU$3:AU379,$Q$3:Q379,"O")</f>
        <v>1915.3800000001943</v>
      </c>
      <c r="BR378" s="87">
        <f>SUMIFS($AU$3:AU379,$AA$3:AA379,"*")</f>
        <v>22720.600000000068</v>
      </c>
      <c r="BS378" s="87">
        <f>SUMIFS($AU$3:AU379,$AB$3:AB379,"*")</f>
        <v>6615.1799999999312</v>
      </c>
      <c r="BT378" s="87">
        <f>SUMIFS($AU$3:AU379,$AC$3:AC379,"*")</f>
        <v>18868.400000000001</v>
      </c>
      <c r="BU378" s="87">
        <f>SUMIFS($AU$3:AU379,$AA$3:AA379,"*",$AB$3:AB379,"*")</f>
        <v>4079.9999999998217</v>
      </c>
      <c r="BV378" s="87">
        <f>SUMIFS($AU$3:AU379,$AA$3:AA379,"*",$AC$3:AC379,"*")</f>
        <v>13444.4</v>
      </c>
      <c r="BW378" s="87">
        <f>SUMIFS($AU$3:AU379,$AB$3:AB379,"*",$AC$3:AC379,"*")</f>
        <v>3279.9999999999982</v>
      </c>
      <c r="BX378" s="87">
        <f>SUMIFS($AV$3:AV379,$Q$3:Q379,"F")</f>
        <v>396.19230875404793</v>
      </c>
      <c r="BY378" s="87">
        <f>SUMIFS($AV$3:AV379,$Q$3:Q379,"S")</f>
        <v>408.44305058920065</v>
      </c>
      <c r="BZ378" s="87">
        <f>SUMIFS($AV$3:AV379,$Q$3:Q379,"O")</f>
        <v>606.3399999998669</v>
      </c>
    </row>
    <row r="379" spans="1:78" ht="15.75" customHeight="1">
      <c r="A379" s="45" t="s">
        <v>1310</v>
      </c>
      <c r="B379" s="59">
        <v>45387</v>
      </c>
      <c r="C379" s="46" t="s">
        <v>1388</v>
      </c>
      <c r="D379" s="46" t="s">
        <v>115</v>
      </c>
      <c r="E379" s="66"/>
      <c r="F379" s="47"/>
      <c r="G379" s="48" t="s">
        <v>1346</v>
      </c>
      <c r="H379" s="49"/>
      <c r="I379" s="49"/>
      <c r="J379" s="49"/>
      <c r="K379" s="50"/>
      <c r="L379" s="49">
        <v>1</v>
      </c>
      <c r="M379" s="49"/>
      <c r="N379" s="49"/>
      <c r="O379" s="50" t="s">
        <v>196</v>
      </c>
      <c r="P379" s="50" t="s">
        <v>197</v>
      </c>
      <c r="Q379" s="50" t="s">
        <v>198</v>
      </c>
      <c r="R379" s="50">
        <v>1</v>
      </c>
      <c r="S379" s="50">
        <v>0</v>
      </c>
      <c r="T379" s="50">
        <v>1</v>
      </c>
      <c r="U379" s="50" t="s">
        <v>102</v>
      </c>
      <c r="V379" s="50"/>
      <c r="W379" s="50"/>
      <c r="X379" s="50"/>
      <c r="Y379" s="51">
        <f t="shared" si="145"/>
        <v>0.01</v>
      </c>
      <c r="Z379" s="52">
        <f>IF(ISBLANK(O379),"",IF(O379="IB",8.63*200,IF(O379="IR",16*100,IF(O379="YT",20*100,IF(O379="YT-XT",24*200,IF(O379="TED",80*100,IF(O379="XT",29*200)))))))</f>
        <v>5800</v>
      </c>
      <c r="AA379" s="52" t="s">
        <v>1347</v>
      </c>
      <c r="AB379" s="52"/>
      <c r="AC379" s="52"/>
      <c r="AD379" s="231">
        <v>95.844999999999999</v>
      </c>
      <c r="AE379" s="49"/>
      <c r="AF379" s="84"/>
      <c r="AG379" s="49"/>
      <c r="AH379" s="49"/>
      <c r="AI379" s="49"/>
      <c r="AJ379" s="226"/>
      <c r="AK379" s="49"/>
      <c r="AL379" s="113">
        <f t="shared" si="144"/>
        <v>-116</v>
      </c>
      <c r="AM379" s="113">
        <f t="shared" si="129"/>
        <v>-116</v>
      </c>
      <c r="AN379" s="218"/>
      <c r="AO379" s="49"/>
      <c r="AP379" s="49" t="s">
        <v>1389</v>
      </c>
      <c r="AQ379" s="84" t="s">
        <v>350</v>
      </c>
      <c r="AR379" s="49" t="s">
        <v>1390</v>
      </c>
      <c r="AS379" s="55">
        <v>95.834999999999994</v>
      </c>
      <c r="AT379" s="55">
        <f t="shared" si="146"/>
        <v>1.0000000000005116E-2</v>
      </c>
      <c r="AU379" s="54">
        <f t="shared" si="147"/>
        <v>58.000000000029672</v>
      </c>
      <c r="AV379" s="56">
        <f t="shared" si="143"/>
        <v>58.000000000029672</v>
      </c>
      <c r="AW379" s="57" t="s">
        <v>101</v>
      </c>
      <c r="AX379" s="153"/>
      <c r="AY379" s="153"/>
      <c r="AZ379" s="153"/>
      <c r="BA379" s="153"/>
      <c r="BB379" s="153"/>
      <c r="BC379" s="153"/>
      <c r="BD379" s="151"/>
      <c r="BE379" s="152"/>
      <c r="BF379" s="151"/>
      <c r="BG379" s="94">
        <f>SUM($AV$4:AV379)</f>
        <v>1638.975359343121</v>
      </c>
      <c r="BH379" s="95">
        <f>SUM($AU$4:AU379)</f>
        <v>30679.780000000181</v>
      </c>
      <c r="BI379" s="80">
        <f>SUMIFS($AU$3:AU380,$Q$3:Q380,"F")</f>
        <v>22308.400000000001</v>
      </c>
      <c r="BJ379" s="80">
        <f>SUMIFS($AU$3:AU380,$Q$3:Q380,"S")</f>
        <v>7231.9999999999909</v>
      </c>
      <c r="BK379" s="87">
        <f>SUMIFS($AU$3:AU380,$P$3:P380,"W")</f>
        <v>23709.580000000136</v>
      </c>
      <c r="BL379" s="87">
        <f>SUMIFS($AU$3:AU380,$P$3:P380,"R")</f>
        <v>6485.9999999999991</v>
      </c>
      <c r="BM379" s="87">
        <f>SUMIFS($AU$3:AU380,$AQ$3:AQ380,"M")</f>
        <v>5668.1799999997302</v>
      </c>
      <c r="BN379" s="87">
        <f>SUMIFS($AU$3:AU380,$AQ$3:AQ380,"H")</f>
        <v>5803.2000000004446</v>
      </c>
      <c r="BO379" s="87">
        <f>SUMIFS($AU$3:AU380,$AQ$3:AQ380,"D")</f>
        <v>8370</v>
      </c>
      <c r="BP379" s="87">
        <f>SUMIFS($AU$3:AU467,$AQ$3:AQ467,"W")</f>
        <v>12022.400000000001</v>
      </c>
      <c r="BQ379" s="87">
        <f>SUMIFS($AU$3:AU380,$Q$3:Q380,"O")</f>
        <v>1915.3800000001943</v>
      </c>
      <c r="BR379" s="87">
        <f>SUMIFS($AU$3:AU380,$AA$3:AA380,"*")</f>
        <v>23280.600000000068</v>
      </c>
      <c r="BS379" s="87">
        <f>SUMIFS($AU$3:AU380,$AB$3:AB380,"*")</f>
        <v>6615.1799999999312</v>
      </c>
      <c r="BT379" s="87">
        <f>SUMIFS($AU$3:AU380,$AC$3:AC380,"*")</f>
        <v>18868.400000000001</v>
      </c>
      <c r="BU379" s="87">
        <f>SUMIFS($AU$3:AU380,$AA$3:AA380,"*",$AB$3:AB380,"*")</f>
        <v>4079.9999999998217</v>
      </c>
      <c r="BV379" s="87">
        <f>SUMIFS($AU$3:AU380,$AA$3:AA380,"*",$AC$3:AC380,"*")</f>
        <v>13444.4</v>
      </c>
      <c r="BW379" s="87">
        <f>SUMIFS($AU$3:AU380,$AB$3:AB380,"*",$AC$3:AC380,"*")</f>
        <v>3279.9999999999982</v>
      </c>
      <c r="BX379" s="87">
        <f>SUMIFS($AV$3:AV380,$Q$3:Q380,"F")</f>
        <v>396.19230875404793</v>
      </c>
      <c r="BY379" s="87">
        <f>SUMIFS($AV$3:AV380,$Q$3:Q380,"S")</f>
        <v>417.77638392253397</v>
      </c>
      <c r="BZ379" s="87">
        <f>SUMIFS($AV$3:AV380,$Q$3:Q380,"O")</f>
        <v>606.3399999998669</v>
      </c>
    </row>
    <row r="380" spans="1:78" ht="15.75" customHeight="1">
      <c r="A380" s="45" t="s">
        <v>1310</v>
      </c>
      <c r="B380" s="59">
        <v>45390</v>
      </c>
      <c r="C380" s="46" t="s">
        <v>281</v>
      </c>
      <c r="D380" s="46" t="s">
        <v>176</v>
      </c>
      <c r="E380" s="66"/>
      <c r="F380" s="47"/>
      <c r="G380" s="106" t="s">
        <v>459</v>
      </c>
      <c r="H380" s="49"/>
      <c r="I380" s="49"/>
      <c r="J380" s="49"/>
      <c r="K380" s="50"/>
      <c r="L380" s="49">
        <v>1</v>
      </c>
      <c r="M380" s="49"/>
      <c r="N380" s="49"/>
      <c r="O380" s="50" t="s">
        <v>100</v>
      </c>
      <c r="P380" s="50" t="s">
        <v>101</v>
      </c>
      <c r="Q380" s="50" t="s">
        <v>102</v>
      </c>
      <c r="R380" s="50">
        <v>60</v>
      </c>
      <c r="S380" s="161">
        <v>35</v>
      </c>
      <c r="T380" s="50">
        <v>21</v>
      </c>
      <c r="U380" s="50" t="s">
        <v>102</v>
      </c>
      <c r="V380" s="50"/>
      <c r="W380" s="50"/>
      <c r="X380" s="50"/>
      <c r="Y380" s="51">
        <f t="shared" si="145"/>
        <v>0.01</v>
      </c>
      <c r="Z380" s="52">
        <f>IF(ISBLANK(O380),"",IF(O380="IB",8.63*200,IF(O380="IR",16*100,IF(O380="YT",20*100,IF(O380="YT-XT",24*200,IF(O380="TED",80*100,IF(O380="XT",29*200)))))))</f>
        <v>1600</v>
      </c>
      <c r="AA380" s="52" t="s">
        <v>1391</v>
      </c>
      <c r="AB380" s="52"/>
      <c r="AC380" s="52"/>
      <c r="AD380" s="231">
        <f>((-0.22*25)+(-0.21*35))/60</f>
        <v>-0.21416666666666667</v>
      </c>
      <c r="AE380" s="49"/>
      <c r="AF380" s="84"/>
      <c r="AG380" s="49"/>
      <c r="AH380" s="49"/>
      <c r="AI380" s="49"/>
      <c r="AJ380" s="226"/>
      <c r="AK380" s="49"/>
      <c r="AL380" s="113">
        <f t="shared" ref="AL380" si="148">-0.02*Z380</f>
        <v>-32</v>
      </c>
      <c r="AM380" s="113">
        <f t="shared" si="129"/>
        <v>-800</v>
      </c>
      <c r="AN380" s="218"/>
      <c r="AO380" s="49"/>
      <c r="AP380" s="49" t="s">
        <v>165</v>
      </c>
      <c r="AQ380" s="84" t="s">
        <v>142</v>
      </c>
      <c r="AR380" s="49" t="s">
        <v>1392</v>
      </c>
      <c r="AS380" s="55">
        <f>((-0.22*35)+(-0.22*25))/60</f>
        <v>-0.22</v>
      </c>
      <c r="AT380" s="55">
        <f t="shared" si="146"/>
        <v>5.8333333333333293E-3</v>
      </c>
      <c r="AU380" s="54">
        <f t="shared" si="147"/>
        <v>559.99999999999966</v>
      </c>
      <c r="AV380" s="56">
        <f t="shared" ref="AV380:AV381" si="149">IF(ISBLANK(AS380),,(AT380*Z380))</f>
        <v>9.3333333333333268</v>
      </c>
      <c r="AW380" s="57" t="s">
        <v>101</v>
      </c>
      <c r="AX380" s="153"/>
      <c r="AY380" s="153"/>
      <c r="AZ380" s="153"/>
      <c r="BA380" s="153"/>
      <c r="BB380" s="153"/>
      <c r="BC380" s="153"/>
      <c r="BD380" s="151"/>
      <c r="BE380" s="152"/>
      <c r="BF380" s="151"/>
      <c r="BG380" s="94">
        <f>SUM($AV$4:AV380)</f>
        <v>1648.3086926764543</v>
      </c>
      <c r="BH380" s="95">
        <f>SUM($AU$4:AU380)</f>
        <v>31239.780000000181</v>
      </c>
      <c r="BI380" s="80">
        <f>SUMIFS($AU$3:AU381,$Q$3:Q381,"F")</f>
        <v>22308.400000000001</v>
      </c>
      <c r="BJ380" s="80">
        <f>SUMIFS($AU$3:AU381,$Q$3:Q381,"S")</f>
        <v>7951.9999999999909</v>
      </c>
      <c r="BK380" s="87">
        <f>SUMIFS($AU$3:AU381,$P$3:P381,"W")</f>
        <v>24429.580000000136</v>
      </c>
      <c r="BL380" s="87">
        <f>SUMIFS($AU$3:AU381,$P$3:P381,"R")</f>
        <v>6485.9999999999991</v>
      </c>
      <c r="BM380" s="87">
        <f>SUMIFS($AU$3:AU381,$AQ$3:AQ381,"M")</f>
        <v>5668.1799999997302</v>
      </c>
      <c r="BN380" s="87">
        <f>SUMIFS($AU$3:AU381,$AQ$3:AQ381,"H")</f>
        <v>6523.2000000004446</v>
      </c>
      <c r="BO380" s="87">
        <f>SUMIFS($AU$3:AU381,$AQ$3:AQ381,"D")</f>
        <v>8370</v>
      </c>
      <c r="BP380" s="87">
        <f>SUMIFS($AU$3:AU468,$AQ$3:AQ468,"W")</f>
        <v>12022.400000000001</v>
      </c>
      <c r="BQ380" s="87">
        <f>SUMIFS($AU$3:AU381,$Q$3:Q381,"O")</f>
        <v>1915.3800000001943</v>
      </c>
      <c r="BR380" s="87">
        <f>SUMIFS($AU$3:AU381,$AA$3:AA381,"*")</f>
        <v>24000.600000000068</v>
      </c>
      <c r="BS380" s="87">
        <f>SUMIFS($AU$3:AU381,$AB$3:AB381,"*")</f>
        <v>6615.1799999999312</v>
      </c>
      <c r="BT380" s="87">
        <f>SUMIFS($AU$3:AU381,$AC$3:AC381,"*")</f>
        <v>18868.400000000001</v>
      </c>
      <c r="BU380" s="87">
        <f>SUMIFS($AU$3:AU381,$AA$3:AA381,"*",$AB$3:AB381,"*")</f>
        <v>4079.9999999998217</v>
      </c>
      <c r="BV380" s="87">
        <f>SUMIFS($AU$3:AU381,$AA$3:AA381,"*",$AC$3:AC381,"*")</f>
        <v>13444.4</v>
      </c>
      <c r="BW380" s="87">
        <f>SUMIFS($AU$3:AU381,$AB$3:AB381,"*",$AC$3:AC381,"*")</f>
        <v>3279.9999999999982</v>
      </c>
      <c r="BX380" s="87">
        <f>SUMIFS($AV$3:AV381,$Q$3:Q381,"F")</f>
        <v>396.19230875404793</v>
      </c>
      <c r="BY380" s="87">
        <f>SUMIFS($AV$3:AV381,$Q$3:Q381,"S")</f>
        <v>433.77638392253397</v>
      </c>
      <c r="BZ380" s="87">
        <f>SUMIFS($AV$3:AV381,$Q$3:Q381,"O")</f>
        <v>606.3399999998669</v>
      </c>
    </row>
    <row r="381" spans="1:78" ht="15.75" customHeight="1">
      <c r="A381" s="45" t="s">
        <v>1310</v>
      </c>
      <c r="B381" s="59">
        <v>45390</v>
      </c>
      <c r="C381" s="46" t="s">
        <v>281</v>
      </c>
      <c r="D381" s="46" t="s">
        <v>176</v>
      </c>
      <c r="E381" s="66"/>
      <c r="F381" s="47"/>
      <c r="G381" s="106" t="s">
        <v>111</v>
      </c>
      <c r="H381" s="49"/>
      <c r="I381" s="49"/>
      <c r="J381" s="49"/>
      <c r="K381" s="50"/>
      <c r="L381" s="49">
        <v>1</v>
      </c>
      <c r="M381" s="49"/>
      <c r="N381" s="49"/>
      <c r="O381" s="50" t="s">
        <v>100</v>
      </c>
      <c r="P381" s="50" t="s">
        <v>101</v>
      </c>
      <c r="Q381" s="50" t="s">
        <v>102</v>
      </c>
      <c r="R381" s="50">
        <v>45</v>
      </c>
      <c r="S381" s="161">
        <v>0</v>
      </c>
      <c r="T381" s="50">
        <v>35</v>
      </c>
      <c r="U381" s="50" t="s">
        <v>102</v>
      </c>
      <c r="V381" s="50"/>
      <c r="W381" s="50"/>
      <c r="X381" s="50"/>
      <c r="Y381" s="51">
        <f t="shared" si="145"/>
        <v>0.01</v>
      </c>
      <c r="Z381" s="52">
        <f>IF(ISBLANK(O381),"",IF(O381="IB",8.63*200,IF(O381="IR",16*100,IF(O381="YT",20*100,IF(O381="YT-XT",24*200,IF(O381="TED",80*100,IF(O381="XT",29*200)))))))</f>
        <v>1600</v>
      </c>
      <c r="AA381" s="52" t="s">
        <v>1393</v>
      </c>
      <c r="AB381" s="52"/>
      <c r="AC381" s="52"/>
      <c r="AD381" s="231">
        <v>-0.08</v>
      </c>
      <c r="AE381" s="49"/>
      <c r="AF381" s="84"/>
      <c r="AG381" s="49"/>
      <c r="AH381" s="49"/>
      <c r="AI381" s="49"/>
      <c r="AJ381" s="226"/>
      <c r="AK381" s="49"/>
      <c r="AL381" s="113">
        <f t="shared" si="144"/>
        <v>-32</v>
      </c>
      <c r="AM381" s="113">
        <f t="shared" si="129"/>
        <v>-1440</v>
      </c>
      <c r="AN381" s="218"/>
      <c r="AO381" s="49"/>
      <c r="AP381" s="49" t="s">
        <v>165</v>
      </c>
      <c r="AQ381" s="84" t="s">
        <v>142</v>
      </c>
      <c r="AR381" s="49" t="s">
        <v>1392</v>
      </c>
      <c r="AS381" s="55">
        <v>-0.09</v>
      </c>
      <c r="AT381" s="55">
        <f t="shared" si="146"/>
        <v>9.999999999999995E-3</v>
      </c>
      <c r="AU381" s="54">
        <f t="shared" si="147"/>
        <v>719.99999999999966</v>
      </c>
      <c r="AV381" s="56">
        <f t="shared" si="149"/>
        <v>15.999999999999993</v>
      </c>
      <c r="AW381" s="57" t="s">
        <v>101</v>
      </c>
      <c r="AX381" s="153"/>
      <c r="AY381" s="153"/>
      <c r="AZ381" s="153"/>
      <c r="BA381" s="153"/>
      <c r="BB381" s="153"/>
      <c r="BC381" s="153"/>
      <c r="BD381" s="151"/>
      <c r="BE381" s="152"/>
      <c r="BF381" s="151"/>
      <c r="BG381" s="94">
        <f>SUM($AV$4:AV381)</f>
        <v>1664.3086926764543</v>
      </c>
      <c r="BH381" s="95">
        <f>SUM($AU$4:AU381)</f>
        <v>31959.780000000181</v>
      </c>
      <c r="BI381" s="80">
        <f>SUMIFS($AU$3:AU382,$Q$3:Q382,"F")</f>
        <v>22308.400000000001</v>
      </c>
      <c r="BJ381" s="80">
        <f>SUMIFS($AU$3:AU382,$Q$3:Q382,"S")</f>
        <v>7951.9999999999909</v>
      </c>
      <c r="BK381" s="87">
        <f>SUMIFS($AU$3:AU382,$P$3:P382,"W")</f>
        <v>24429.580000000136</v>
      </c>
      <c r="BL381" s="87">
        <f>SUMIFS($AU$3:AU382,$P$3:P382,"R")</f>
        <v>6485.9999999999991</v>
      </c>
      <c r="BM381" s="87">
        <f>SUMIFS($AU$3:AU382,$AQ$3:AQ382,"M")</f>
        <v>5668.1799999997302</v>
      </c>
      <c r="BN381" s="87">
        <f>SUMIFS($AU$3:AU382,$AQ$3:AQ382,"H")</f>
        <v>6523.2000000004446</v>
      </c>
      <c r="BO381" s="87">
        <f>SUMIFS($AU$3:AU382,$AQ$3:AQ382,"D")</f>
        <v>8370</v>
      </c>
      <c r="BP381" s="87">
        <f>SUMIFS($AU$3:AU469,$AQ$3:AQ469,"W")</f>
        <v>12022.400000000001</v>
      </c>
      <c r="BQ381" s="87">
        <f>SUMIFS($AU$3:AU382,$Q$3:Q382,"O")</f>
        <v>1915.3800000001943</v>
      </c>
      <c r="BR381" s="87">
        <f>SUMIFS($AU$3:AU382,$AA$3:AA382,"*")</f>
        <v>24000.600000000068</v>
      </c>
      <c r="BS381" s="87">
        <f>SUMIFS($AU$3:AU382,$AB$3:AB382,"*")</f>
        <v>6615.1799999999312</v>
      </c>
      <c r="BT381" s="87">
        <f>SUMIFS($AU$3:AU382,$AC$3:AC382,"*")</f>
        <v>18868.400000000001</v>
      </c>
      <c r="BU381" s="87">
        <f>SUMIFS($AU$3:AU382,$AA$3:AA382,"*",$AB$3:AB382,"*")</f>
        <v>4079.9999999998217</v>
      </c>
      <c r="BV381" s="87">
        <f>SUMIFS($AU$3:AU382,$AA$3:AA382,"*",$AC$3:AC382,"*")</f>
        <v>13444.4</v>
      </c>
      <c r="BW381" s="87">
        <f>SUMIFS($AU$3:AU382,$AB$3:AB382,"*",$AC$3:AC382,"*")</f>
        <v>3279.9999999999982</v>
      </c>
      <c r="BX381" s="87">
        <f>SUMIFS($AV$3:AV382,$Q$3:Q382,"F")</f>
        <v>396.19230875404793</v>
      </c>
      <c r="BY381" s="87">
        <f>SUMIFS($AV$3:AV382,$Q$3:Q382,"S")</f>
        <v>433.77638392253397</v>
      </c>
      <c r="BZ381" s="87">
        <f>SUMIFS($AV$3:AV382,$Q$3:Q382,"O")</f>
        <v>606.3399999998669</v>
      </c>
    </row>
    <row r="382" spans="1:78" ht="15.75" customHeight="1">
      <c r="A382" s="45" t="s">
        <v>1310</v>
      </c>
      <c r="B382" s="59">
        <v>45390</v>
      </c>
      <c r="C382" s="46" t="s">
        <v>1394</v>
      </c>
      <c r="D382" s="46" t="s">
        <v>176</v>
      </c>
      <c r="E382" s="66"/>
      <c r="F382" s="47"/>
      <c r="G382" s="163" t="s">
        <v>1395</v>
      </c>
      <c r="H382" s="49"/>
      <c r="I382" s="49"/>
      <c r="J382" s="49"/>
      <c r="K382" s="50"/>
      <c r="L382" s="49">
        <v>1</v>
      </c>
      <c r="M382" s="49"/>
      <c r="N382" s="49"/>
      <c r="O382" s="50" t="s">
        <v>363</v>
      </c>
      <c r="P382" s="50" t="s">
        <v>126</v>
      </c>
      <c r="Q382" s="50"/>
      <c r="R382" s="50">
        <v>2</v>
      </c>
      <c r="S382" s="50">
        <v>0</v>
      </c>
      <c r="T382" s="50">
        <v>1</v>
      </c>
      <c r="U382" s="50" t="s">
        <v>22</v>
      </c>
      <c r="V382" s="50"/>
      <c r="W382" s="50"/>
      <c r="X382" s="50"/>
      <c r="Y382" s="51">
        <f t="shared" si="145"/>
        <v>0.01</v>
      </c>
      <c r="Z382" s="52">
        <f>IF(ISBLANK(O382),"",IF(O382="IB",8.63*200,IF(O382="IR",16*100,IF(O382="YT",20*100,IF(O382="YT-XT",24*200,IF(O382="TED",80*100))))))</f>
        <v>8000</v>
      </c>
      <c r="AA382" s="52" t="s">
        <v>1251</v>
      </c>
      <c r="AB382" s="52"/>
      <c r="AC382" s="52"/>
      <c r="AD382" s="231">
        <v>-0.04</v>
      </c>
      <c r="AE382" s="49"/>
      <c r="AF382" s="84"/>
      <c r="AG382" s="49"/>
      <c r="AH382" s="49"/>
      <c r="AI382" s="49"/>
      <c r="AJ382" s="226"/>
      <c r="AK382" s="49"/>
      <c r="AL382" s="113">
        <f t="shared" ref="AL382:AL385" si="150">-0.02*Z382</f>
        <v>-160</v>
      </c>
      <c r="AM382" s="113">
        <f t="shared" si="129"/>
        <v>-320</v>
      </c>
      <c r="AN382" s="218"/>
      <c r="AO382" s="49"/>
      <c r="AP382" s="49"/>
      <c r="AQ382" s="84" t="s">
        <v>155</v>
      </c>
      <c r="AR382" s="49"/>
      <c r="AS382" s="55">
        <v>-0.04</v>
      </c>
      <c r="AT382" s="55">
        <f t="shared" si="146"/>
        <v>0</v>
      </c>
      <c r="AU382" s="54">
        <f t="shared" si="147"/>
        <v>0</v>
      </c>
      <c r="AV382" s="56">
        <f t="shared" ref="AV382:AV383" si="151">IF(ISBLANK(AS382),,(AT382*Z382))</f>
        <v>0</v>
      </c>
      <c r="AW382" s="57" t="s">
        <v>155</v>
      </c>
      <c r="AX382" s="153"/>
      <c r="AY382" s="153"/>
      <c r="AZ382" s="153"/>
      <c r="BA382" s="153"/>
      <c r="BB382" s="153"/>
      <c r="BC382" s="153"/>
      <c r="BD382" s="151"/>
      <c r="BE382" s="152"/>
      <c r="BF382" s="151"/>
      <c r="BG382" s="94">
        <f>SUM($AV$4:AV382)</f>
        <v>1664.3086926764543</v>
      </c>
      <c r="BH382" s="95">
        <f>SUM($AU$4:AU382)</f>
        <v>31959.780000000181</v>
      </c>
      <c r="BI382" s="80">
        <f>SUMIFS($AU$3:AU383,$Q$3:Q383,"F")</f>
        <v>22308.400000000001</v>
      </c>
      <c r="BJ382" s="80">
        <f>SUMIFS($AU$3:AU383,$Q$3:Q383,"S")</f>
        <v>7951.9999999999909</v>
      </c>
      <c r="BK382" s="87">
        <f>SUMIFS($AU$3:AU383,$P$3:P383,"W")</f>
        <v>24429.580000000136</v>
      </c>
      <c r="BL382" s="87">
        <f>SUMIFS($AU$3:AU383,$P$3:P383,"R")</f>
        <v>6485.9999999999991</v>
      </c>
      <c r="BM382" s="87">
        <f>SUMIFS($AU$3:AU383,$AQ$3:AQ383,"M")</f>
        <v>5668.1799999997302</v>
      </c>
      <c r="BN382" s="87">
        <f>SUMIFS($AU$3:AU383,$AQ$3:AQ383,"H")</f>
        <v>6523.2000000004446</v>
      </c>
      <c r="BO382" s="87">
        <f>SUMIFS($AU$3:AU383,$AQ$3:AQ383,"D")</f>
        <v>8370</v>
      </c>
      <c r="BP382" s="87">
        <f>SUMIFS($AU$3:AU470,$AQ$3:AQ470,"W")</f>
        <v>12022.400000000001</v>
      </c>
      <c r="BQ382" s="87">
        <f>SUMIFS($AU$3:AU383,$Q$3:Q383,"O")</f>
        <v>1915.3800000001943</v>
      </c>
      <c r="BR382" s="87">
        <f>SUMIFS($AU$3:AU383,$AA$3:AA383,"*")</f>
        <v>24000.600000000068</v>
      </c>
      <c r="BS382" s="87">
        <f>SUMIFS($AU$3:AU383,$AB$3:AB383,"*")</f>
        <v>6615.1799999999312</v>
      </c>
      <c r="BT382" s="87">
        <f>SUMIFS($AU$3:AU383,$AC$3:AC383,"*")</f>
        <v>18868.400000000001</v>
      </c>
      <c r="BU382" s="87">
        <f>SUMIFS($AU$3:AU383,$AA$3:AA383,"*",$AB$3:AB383,"*")</f>
        <v>4079.9999999998217</v>
      </c>
      <c r="BV382" s="87">
        <f>SUMIFS($AU$3:AU383,$AA$3:AA383,"*",$AC$3:AC383,"*")</f>
        <v>13444.4</v>
      </c>
      <c r="BW382" s="87">
        <f>SUMIFS($AU$3:AU383,$AB$3:AB383,"*",$AC$3:AC383,"*")</f>
        <v>3279.9999999999982</v>
      </c>
      <c r="BX382" s="87">
        <f>SUMIFS($AV$3:AV383,$Q$3:Q383,"F")</f>
        <v>396.19230875404793</v>
      </c>
      <c r="BY382" s="87">
        <f>SUMIFS($AV$3:AV383,$Q$3:Q383,"S")</f>
        <v>433.77638392253397</v>
      </c>
      <c r="BZ382" s="87">
        <f>SUMIFS($AV$3:AV383,$Q$3:Q383,"O")</f>
        <v>606.3399999998669</v>
      </c>
    </row>
    <row r="383" spans="1:78" ht="15.75" customHeight="1">
      <c r="A383" s="45" t="s">
        <v>1310</v>
      </c>
      <c r="B383" s="59">
        <v>45390</v>
      </c>
      <c r="C383" s="46" t="s">
        <v>1396</v>
      </c>
      <c r="D383" s="46" t="s">
        <v>176</v>
      </c>
      <c r="E383" s="66"/>
      <c r="F383" s="47"/>
      <c r="G383" s="106" t="s">
        <v>459</v>
      </c>
      <c r="H383" s="49"/>
      <c r="I383" s="49"/>
      <c r="J383" s="49"/>
      <c r="K383" s="50"/>
      <c r="L383" s="49">
        <v>1</v>
      </c>
      <c r="M383" s="49"/>
      <c r="N383" s="49"/>
      <c r="O383" s="50" t="s">
        <v>100</v>
      </c>
      <c r="P383" s="50" t="s">
        <v>101</v>
      </c>
      <c r="Q383" s="50" t="s">
        <v>102</v>
      </c>
      <c r="R383" s="50">
        <v>10</v>
      </c>
      <c r="S383" s="50">
        <v>0</v>
      </c>
      <c r="T383" s="50">
        <v>10</v>
      </c>
      <c r="U383" s="50" t="s">
        <v>102</v>
      </c>
      <c r="V383" s="50"/>
      <c r="W383" s="50"/>
      <c r="X383" s="50"/>
      <c r="Y383" s="51">
        <f t="shared" si="145"/>
        <v>0.01</v>
      </c>
      <c r="Z383" s="52">
        <f>IF(ISBLANK(O383),"",IF(O383="IB",8.63*200,IF(O383="IR",16*100,IF(O383="YT",20*100,IF(O383="YT-XT",24*200,IF(O383="TED",80*100))))))</f>
        <v>1600</v>
      </c>
      <c r="AA383" s="52" t="s">
        <v>1251</v>
      </c>
      <c r="AB383" s="52"/>
      <c r="AC383" s="52"/>
      <c r="AD383" s="231">
        <v>-0.21</v>
      </c>
      <c r="AE383" s="49"/>
      <c r="AF383" s="84"/>
      <c r="AG383" s="49"/>
      <c r="AH383" s="49"/>
      <c r="AI383" s="49"/>
      <c r="AJ383" s="226"/>
      <c r="AK383" s="49"/>
      <c r="AL383" s="113">
        <f t="shared" si="150"/>
        <v>-32</v>
      </c>
      <c r="AM383" s="113">
        <f t="shared" si="129"/>
        <v>-320</v>
      </c>
      <c r="AN383" s="218"/>
      <c r="AO383" s="49"/>
      <c r="AP383" s="49" t="s">
        <v>136</v>
      </c>
      <c r="AQ383" s="84" t="s">
        <v>142</v>
      </c>
      <c r="AR383" s="49" t="s">
        <v>1397</v>
      </c>
      <c r="AS383" s="55">
        <v>-0.21</v>
      </c>
      <c r="AT383" s="55">
        <f t="shared" si="146"/>
        <v>0</v>
      </c>
      <c r="AU383" s="54">
        <f t="shared" si="147"/>
        <v>0</v>
      </c>
      <c r="AV383" s="56">
        <f t="shared" si="151"/>
        <v>0</v>
      </c>
      <c r="AW383" s="57" t="s">
        <v>155</v>
      </c>
      <c r="AX383" s="153"/>
      <c r="AY383" s="153"/>
      <c r="AZ383" s="153"/>
      <c r="BA383" s="153"/>
      <c r="BB383" s="153"/>
      <c r="BC383" s="153"/>
      <c r="BD383" s="151"/>
      <c r="BE383" s="152"/>
      <c r="BF383" s="151"/>
      <c r="BG383" s="94">
        <f>SUM($AV$4:AV383)</f>
        <v>1664.3086926764543</v>
      </c>
      <c r="BH383" s="95">
        <f>SUM($AU$4:AU383)</f>
        <v>31959.780000000181</v>
      </c>
      <c r="BI383" s="80">
        <f>SUMIFS($AU$3:AU384,$Q$3:Q384,"F")</f>
        <v>22308.400000000001</v>
      </c>
      <c r="BJ383" s="80">
        <f>SUMIFS($AU$3:AU384,$Q$3:Q384,"S")</f>
        <v>7951.9999999999909</v>
      </c>
      <c r="BK383" s="87">
        <f>SUMIFS($AU$3:AU384,$P$3:P384,"W")</f>
        <v>24429.580000000136</v>
      </c>
      <c r="BL383" s="87">
        <f>SUMIFS($AU$3:AU384,$P$3:P384,"R")</f>
        <v>6485.9999999999991</v>
      </c>
      <c r="BM383" s="87">
        <f>SUMIFS($AU$3:AU384,$AQ$3:AQ384,"M")</f>
        <v>5668.1799999997302</v>
      </c>
      <c r="BN383" s="87">
        <f>SUMIFS($AU$3:AU384,$AQ$3:AQ384,"H")</f>
        <v>6523.2000000004446</v>
      </c>
      <c r="BO383" s="87">
        <f>SUMIFS($AU$3:AU384,$AQ$3:AQ384,"D")</f>
        <v>8370</v>
      </c>
      <c r="BP383" s="87">
        <f>SUMIFS($AU$3:AU471,$AQ$3:AQ471,"W")</f>
        <v>12022.400000000001</v>
      </c>
      <c r="BQ383" s="87">
        <f>SUMIFS($AU$3:AU384,$Q$3:Q384,"O")</f>
        <v>1915.3800000001943</v>
      </c>
      <c r="BR383" s="87">
        <f>SUMIFS($AU$3:AU384,$AA$3:AA384,"*")</f>
        <v>24000.600000000068</v>
      </c>
      <c r="BS383" s="87">
        <f>SUMIFS($AU$3:AU384,$AB$3:AB384,"*")</f>
        <v>6615.1799999999312</v>
      </c>
      <c r="BT383" s="87">
        <f>SUMIFS($AU$3:AU384,$AC$3:AC384,"*")</f>
        <v>18868.400000000001</v>
      </c>
      <c r="BU383" s="87">
        <f>SUMIFS($AU$3:AU384,$AA$3:AA384,"*",$AB$3:AB384,"*")</f>
        <v>4079.9999999998217</v>
      </c>
      <c r="BV383" s="87">
        <f>SUMIFS($AU$3:AU384,$AA$3:AA384,"*",$AC$3:AC384,"*")</f>
        <v>13444.4</v>
      </c>
      <c r="BW383" s="87">
        <f>SUMIFS($AU$3:AU384,$AB$3:AB384,"*",$AC$3:AC384,"*")</f>
        <v>3279.9999999999982</v>
      </c>
      <c r="BX383" s="87">
        <f>SUMIFS($AV$3:AV384,$Q$3:Q384,"F")</f>
        <v>396.19230875404793</v>
      </c>
      <c r="BY383" s="87">
        <f>SUMIFS($AV$3:AV384,$Q$3:Q384,"S")</f>
        <v>433.77638392253397</v>
      </c>
      <c r="BZ383" s="87">
        <f>SUMIFS($AV$3:AV384,$Q$3:Q384,"O")</f>
        <v>606.3399999998669</v>
      </c>
    </row>
    <row r="384" spans="1:78" ht="15.75" customHeight="1">
      <c r="A384" s="45" t="s">
        <v>1310</v>
      </c>
      <c r="B384" s="59"/>
      <c r="C384" s="46"/>
      <c r="D384" s="46"/>
      <c r="E384" s="66"/>
      <c r="F384" s="47"/>
      <c r="G384" s="48"/>
      <c r="H384" s="49"/>
      <c r="I384" s="49"/>
      <c r="J384" s="49"/>
      <c r="K384" s="50"/>
      <c r="L384" s="49"/>
      <c r="M384" s="49"/>
      <c r="N384" s="49"/>
      <c r="O384" s="50"/>
      <c r="P384" s="50"/>
      <c r="Q384" s="50"/>
      <c r="R384" s="50"/>
      <c r="S384" s="50"/>
      <c r="T384" s="50"/>
      <c r="U384" s="50"/>
      <c r="V384" s="50"/>
      <c r="W384" s="50"/>
      <c r="X384" s="50"/>
      <c r="Y384" s="50"/>
      <c r="Z384" s="50"/>
      <c r="AA384" s="52"/>
      <c r="AB384" s="52"/>
      <c r="AC384" s="52"/>
      <c r="AD384" s="231"/>
      <c r="AE384" s="49"/>
      <c r="AF384" s="84"/>
      <c r="AG384" s="49"/>
      <c r="AH384" s="49"/>
      <c r="AI384" s="49"/>
      <c r="AJ384" s="226"/>
      <c r="AK384" s="49"/>
      <c r="AL384" s="113">
        <f t="shared" si="150"/>
        <v>0</v>
      </c>
      <c r="AM384" s="113">
        <f t="shared" si="129"/>
        <v>0</v>
      </c>
      <c r="AN384" s="218"/>
      <c r="AO384" s="49"/>
      <c r="AP384" s="49"/>
      <c r="AQ384" s="84" t="str">
        <f>UPPER(RIGHT(Journal_Live[[#This Row],[DURATION ]]))</f>
        <v/>
      </c>
      <c r="AR384" s="49"/>
      <c r="AS384" s="55"/>
      <c r="AT384" s="55"/>
      <c r="AU384" s="54"/>
      <c r="AV384" s="56"/>
      <c r="AW384" s="57"/>
      <c r="AX384" s="99" t="s">
        <v>1398</v>
      </c>
      <c r="AY384" s="153" t="s">
        <v>1399</v>
      </c>
      <c r="AZ384" s="153" t="s">
        <v>1400</v>
      </c>
      <c r="BA384" s="153" t="s">
        <v>1401</v>
      </c>
      <c r="BB384" s="153" t="s">
        <v>1402</v>
      </c>
      <c r="BC384" s="153" t="s">
        <v>1403</v>
      </c>
      <c r="BD384" s="153" t="s">
        <v>1404</v>
      </c>
      <c r="BE384" s="164" t="s">
        <v>1405</v>
      </c>
      <c r="BF384" s="153" t="s">
        <v>1406</v>
      </c>
      <c r="BG384" s="94">
        <f>SUM($AV$4:AV384)</f>
        <v>1664.3086926764543</v>
      </c>
      <c r="BH384" s="95">
        <f>SUM($AU$4:AU384)</f>
        <v>31959.780000000181</v>
      </c>
      <c r="BI384" s="80">
        <f>SUMIFS($AU$3:AU385,$Q$3:Q385,"F")</f>
        <v>22308.400000000001</v>
      </c>
      <c r="BJ384" s="80">
        <f>SUMIFS($AU$3:AU385,$Q$3:Q385,"S")</f>
        <v>7951.9999999999909</v>
      </c>
      <c r="BK384" s="87">
        <f>SUMIFS($AU$3:AU385,$P$3:P385,"W")</f>
        <v>24429.580000000136</v>
      </c>
      <c r="BL384" s="87">
        <f>SUMIFS($AU$3:AU385,$P$3:P385,"R")</f>
        <v>6485.9999999999991</v>
      </c>
      <c r="BM384" s="87">
        <f>SUMIFS($AU$3:AU385,$AQ$3:AQ385,"M")</f>
        <v>5668.1799999997302</v>
      </c>
      <c r="BN384" s="87">
        <f>SUMIFS($AU$3:AU385,$AQ$3:AQ385,"H")</f>
        <v>6523.2000000004446</v>
      </c>
      <c r="BO384" s="87">
        <f>SUMIFS($AU$3:AU385,$AQ$3:AQ385,"D")</f>
        <v>8370</v>
      </c>
      <c r="BP384" s="87">
        <f>SUMIFS($AU$3:AU472,$AQ$3:AQ472,"W")</f>
        <v>12022.400000000001</v>
      </c>
      <c r="BQ384" s="87">
        <f>SUMIFS($AU$3:AU385,$Q$3:Q385,"O")</f>
        <v>1915.3800000001943</v>
      </c>
      <c r="BR384" s="87">
        <f>SUMIFS($AU$3:AU385,$AA$3:AA385,"*")</f>
        <v>24000.600000000068</v>
      </c>
      <c r="BS384" s="87">
        <f>SUMIFS($AU$3:AU385,$AB$3:AB385,"*")</f>
        <v>6615.1799999999312</v>
      </c>
      <c r="BT384" s="87">
        <f>SUMIFS($AU$3:AU385,$AC$3:AC385,"*")</f>
        <v>18868.400000000001</v>
      </c>
      <c r="BU384" s="87">
        <f>SUMIFS($AU$3:AU385,$AA$3:AA385,"*",$AB$3:AB385,"*")</f>
        <v>4079.9999999998217</v>
      </c>
      <c r="BV384" s="87">
        <f>SUMIFS($AU$3:AU385,$AA$3:AA385,"*",$AC$3:AC385,"*")</f>
        <v>13444.4</v>
      </c>
      <c r="BW384" s="87">
        <f>SUMIFS($AU$3:AU385,$AB$3:AB385,"*",$AC$3:AC385,"*")</f>
        <v>3279.9999999999982</v>
      </c>
      <c r="BX384" s="87">
        <f>SUMIFS($AV$3:AV385,$Q$3:Q385,"F")</f>
        <v>396.19230875404793</v>
      </c>
      <c r="BY384" s="87">
        <f>SUMIFS($AV$3:AV385,$Q$3:Q385,"S")</f>
        <v>433.77638392253397</v>
      </c>
      <c r="BZ384" s="87">
        <f>SUMIFS($AV$3:AV385,$Q$3:Q385,"O")</f>
        <v>606.3399999998669</v>
      </c>
    </row>
    <row r="385" spans="1:78" ht="15.75" customHeight="1">
      <c r="A385" s="45" t="s">
        <v>1310</v>
      </c>
      <c r="B385" s="59"/>
      <c r="C385" s="46"/>
      <c r="D385" s="46"/>
      <c r="E385" s="66"/>
      <c r="F385" s="47"/>
      <c r="G385" s="48"/>
      <c r="H385" s="49"/>
      <c r="I385" s="49"/>
      <c r="J385" s="49"/>
      <c r="K385" s="50"/>
      <c r="L385" s="49"/>
      <c r="M385" s="49"/>
      <c r="N385" s="49"/>
      <c r="O385" s="50"/>
      <c r="P385" s="50"/>
      <c r="Q385" s="50"/>
      <c r="R385" s="50"/>
      <c r="S385" s="50"/>
      <c r="T385" s="50"/>
      <c r="U385" s="50"/>
      <c r="V385" s="50"/>
      <c r="W385" s="50"/>
      <c r="X385" s="50"/>
      <c r="Y385" s="50"/>
      <c r="Z385" s="50"/>
      <c r="AA385" s="52"/>
      <c r="AB385" s="52"/>
      <c r="AC385" s="52"/>
      <c r="AD385" s="231"/>
      <c r="AE385" s="49"/>
      <c r="AF385" s="84"/>
      <c r="AG385" s="49"/>
      <c r="AH385" s="49"/>
      <c r="AI385" s="49"/>
      <c r="AJ385" s="226"/>
      <c r="AK385" s="49"/>
      <c r="AL385" s="113">
        <f t="shared" si="150"/>
        <v>0</v>
      </c>
      <c r="AM385" s="113">
        <f t="shared" si="129"/>
        <v>0</v>
      </c>
      <c r="AN385" s="218"/>
      <c r="AO385" s="49"/>
      <c r="AP385" s="49"/>
      <c r="AQ385" s="84" t="str">
        <f>UPPER(RIGHT(Journal_Live[[#This Row],[DURATION ]]))</f>
        <v/>
      </c>
      <c r="AR385" s="49"/>
      <c r="AS385" s="55"/>
      <c r="AT385" s="55"/>
      <c r="AU385" s="54"/>
      <c r="AV385" s="56"/>
      <c r="AW385" s="57"/>
      <c r="AX385" s="99" t="s">
        <v>992</v>
      </c>
      <c r="AY385" s="153" t="s">
        <v>1407</v>
      </c>
      <c r="AZ385" s="153" t="s">
        <v>1408</v>
      </c>
      <c r="BA385" s="153" t="s">
        <v>1409</v>
      </c>
      <c r="BB385" s="153" t="s">
        <v>1410</v>
      </c>
      <c r="BC385" s="153" t="s">
        <v>1146</v>
      </c>
      <c r="BD385" s="151"/>
      <c r="BE385" s="152"/>
      <c r="BF385" s="151"/>
      <c r="BG385" s="94">
        <f>SUM($AV$4:AV385)</f>
        <v>1664.3086926764543</v>
      </c>
      <c r="BH385" s="95">
        <f>SUM($AU$4:AU385)</f>
        <v>31959.780000000181</v>
      </c>
      <c r="BI385" s="80">
        <f>SUMIFS($AU$3:AU386,$Q$3:Q386,"F")</f>
        <v>22308.400000000001</v>
      </c>
      <c r="BJ385" s="80">
        <f>SUMIFS($AU$3:AU386,$Q$3:Q386,"S")</f>
        <v>7951.9999999999909</v>
      </c>
      <c r="BK385" s="87">
        <f>SUMIFS($AU$3:AU386,$P$3:P386,"W")</f>
        <v>24429.580000000136</v>
      </c>
      <c r="BL385" s="87">
        <f>SUMIFS($AU$3:AU386,$P$3:P386,"R")</f>
        <v>6485.9999999999991</v>
      </c>
      <c r="BM385" s="87">
        <f>SUMIFS($AU$3:AU386,$AQ$3:AQ386,"M")</f>
        <v>5546.3799999996427</v>
      </c>
      <c r="BN385" s="87">
        <f>SUMIFS($AU$3:AU386,$AQ$3:AQ386,"H")</f>
        <v>6523.2000000004446</v>
      </c>
      <c r="BO385" s="87">
        <f>SUMIFS($AU$3:AU386,$AQ$3:AQ386,"D")</f>
        <v>8370</v>
      </c>
      <c r="BP385" s="87">
        <f>SUMIFS($AU$3:AU473,$AQ$3:AQ473,"W")</f>
        <v>12022.400000000001</v>
      </c>
      <c r="BQ385" s="87">
        <f>SUMIFS($AU$3:AU386,$Q$3:Q386,"O")</f>
        <v>1793.5800000001072</v>
      </c>
      <c r="BR385" s="87">
        <f>SUMIFS($AU$3:AU386,$AA$3:AA386,"*")</f>
        <v>23878.799999999981</v>
      </c>
      <c r="BS385" s="87">
        <f>SUMIFS($AU$3:AU386,$AB$3:AB386,"*")</f>
        <v>6615.1799999999312</v>
      </c>
      <c r="BT385" s="87">
        <f>SUMIFS($AU$3:AU386,$AC$3:AC386,"*")</f>
        <v>18868.400000000001</v>
      </c>
      <c r="BU385" s="87">
        <f>SUMIFS($AU$3:AU386,$AA$3:AA386,"*",$AB$3:AB386,"*")</f>
        <v>4079.9999999998217</v>
      </c>
      <c r="BV385" s="87">
        <f>SUMIFS($AU$3:AU386,$AA$3:AA386,"*",$AC$3:AC386,"*")</f>
        <v>13444.4</v>
      </c>
      <c r="BW385" s="87">
        <f>SUMIFS($AU$3:AU386,$AB$3:AB386,"*",$AC$3:AC386,"*")</f>
        <v>3279.9999999999982</v>
      </c>
      <c r="BX385" s="87">
        <f>SUMIFS($AV$3:AV386,$Q$3:Q386,"F")</f>
        <v>396.19230875404793</v>
      </c>
      <c r="BY385" s="87">
        <f>SUMIFS($AV$3:AV386,$Q$3:Q386,"S")</f>
        <v>433.77638392253397</v>
      </c>
      <c r="BZ385" s="87">
        <f>SUMIFS($AV$3:AV386,$Q$3:Q386,"O")</f>
        <v>586.0399999998524</v>
      </c>
    </row>
    <row r="386" spans="1:78" ht="15.75" customHeight="1">
      <c r="A386" s="45" t="s">
        <v>1310</v>
      </c>
      <c r="B386" s="59">
        <v>45390</v>
      </c>
      <c r="C386" s="46" t="s">
        <v>1411</v>
      </c>
      <c r="D386" s="46" t="s">
        <v>176</v>
      </c>
      <c r="E386" s="66"/>
      <c r="F386" s="47"/>
      <c r="G386" s="106" t="s">
        <v>1169</v>
      </c>
      <c r="H386" s="49"/>
      <c r="I386" s="49"/>
      <c r="J386" s="49"/>
      <c r="K386" s="50"/>
      <c r="L386" s="49">
        <v>1</v>
      </c>
      <c r="M386" s="49"/>
      <c r="N386" s="49"/>
      <c r="O386" s="50" t="s">
        <v>196</v>
      </c>
      <c r="P386" s="50" t="s">
        <v>197</v>
      </c>
      <c r="Q386" s="50" t="s">
        <v>198</v>
      </c>
      <c r="R386" s="50">
        <v>6</v>
      </c>
      <c r="S386" s="50">
        <v>0</v>
      </c>
      <c r="T386" s="50">
        <v>1</v>
      </c>
      <c r="U386" s="50" t="s">
        <v>102</v>
      </c>
      <c r="V386" s="50"/>
      <c r="W386" s="50"/>
      <c r="X386" s="50"/>
      <c r="Y386" s="51">
        <f>IF(ISBLANK(O386),"",(IF(O386=UPPER("IB"),0.005,0.01)))</f>
        <v>0.01</v>
      </c>
      <c r="Z386" s="52">
        <f>IF(ISBLANK(O386),"",IF(O386="IB",8.63*200,IF(O386="IR",16*100,IF(O386="YT",20*100,IF(O386="YT-XT",24*200,IF(O386="TED",80*100,IF(O386="XT",29*200)))))))</f>
        <v>5800</v>
      </c>
      <c r="AA386" s="52" t="s">
        <v>1412</v>
      </c>
      <c r="AB386" s="52"/>
      <c r="AC386" s="52"/>
      <c r="AD386" s="231">
        <v>95.796999999999997</v>
      </c>
      <c r="AE386" s="49"/>
      <c r="AF386" s="84"/>
      <c r="AG386" s="49"/>
      <c r="AH386" s="49"/>
      <c r="AI386" s="49"/>
      <c r="AJ386" s="226"/>
      <c r="AK386" s="49"/>
      <c r="AL386" s="113">
        <f t="shared" si="144"/>
        <v>-116</v>
      </c>
      <c r="AM386" s="113">
        <f t="shared" ref="AM386:AM409" si="152">AL386*(R386-S386)</f>
        <v>-696</v>
      </c>
      <c r="AN386" s="218"/>
      <c r="AO386" s="49"/>
      <c r="AP386" s="49"/>
      <c r="AQ386" s="84" t="s">
        <v>350</v>
      </c>
      <c r="AR386" s="49"/>
      <c r="AS386" s="55">
        <v>95.8005</v>
      </c>
      <c r="AT386" s="55">
        <f>IF(ISBLANK(AS386),,IF(U386="S",AD386-AS386,AS386-AD386))</f>
        <v>-3.5000000000025011E-3</v>
      </c>
      <c r="AU386" s="54">
        <f>AV386*R386</f>
        <v>-121.80000000008704</v>
      </c>
      <c r="AV386" s="56">
        <f t="shared" ref="AV386" si="153">IF(ISBLANK(AS386),,(AT386*Z386))</f>
        <v>-20.300000000014506</v>
      </c>
      <c r="AW386" s="57" t="s">
        <v>121</v>
      </c>
      <c r="AX386" s="153" t="s">
        <v>1413</v>
      </c>
      <c r="AY386" s="153" t="s">
        <v>1414</v>
      </c>
      <c r="AZ386" s="153" t="s">
        <v>1415</v>
      </c>
      <c r="BA386" s="153" t="s">
        <v>1416</v>
      </c>
      <c r="BB386" s="153" t="s">
        <v>1417</v>
      </c>
      <c r="BC386" s="153" t="s">
        <v>1418</v>
      </c>
      <c r="BD386" s="151" t="s">
        <v>1419</v>
      </c>
      <c r="BE386" s="152" t="s">
        <v>1420</v>
      </c>
      <c r="BF386" s="151"/>
      <c r="BG386" s="94">
        <f>SUM($AV$4:AV386)</f>
        <v>1644.0086926764398</v>
      </c>
      <c r="BH386" s="95">
        <f>SUM($AU$4:AU386)</f>
        <v>31837.980000000094</v>
      </c>
      <c r="BI386" s="80">
        <f>SUMIFS($AU$3:AU387,$Q$3:Q387,"F")</f>
        <v>22308.400000000001</v>
      </c>
      <c r="BJ386" s="80">
        <f>SUMIFS($AU$3:AU387,$Q$3:Q387,"S")</f>
        <v>7951.9999999999909</v>
      </c>
      <c r="BK386" s="87">
        <f>SUMIFS($AU$3:AU387,$P$3:P387,"W")</f>
        <v>24429.580000000136</v>
      </c>
      <c r="BL386" s="87">
        <f>SUMIFS($AU$3:AU387,$P$3:P387,"R")</f>
        <v>6485.9999999999991</v>
      </c>
      <c r="BM386" s="87">
        <f>SUMIFS($AU$3:AU387,$AQ$3:AQ387,"M")</f>
        <v>5546.3799999996427</v>
      </c>
      <c r="BN386" s="87">
        <f>SUMIFS($AU$3:AU387,$AQ$3:AQ387,"H")</f>
        <v>6523.2000000004446</v>
      </c>
      <c r="BO386" s="87">
        <f>SUMIFS($AU$3:AU387,$AQ$3:AQ387,"D")</f>
        <v>8370</v>
      </c>
      <c r="BP386" s="87">
        <f>SUMIFS($AU$3:AU474,$AQ$3:AQ474,"W")</f>
        <v>12022.400000000001</v>
      </c>
      <c r="BQ386" s="87">
        <f>SUMIFS($AU$3:AU387,$Q$3:Q387,"O")</f>
        <v>1793.5800000001072</v>
      </c>
      <c r="BR386" s="87">
        <f>SUMIFS($AU$3:AU387,$AA$3:AA387,"*")</f>
        <v>23878.799999999981</v>
      </c>
      <c r="BS386" s="87">
        <f>SUMIFS($AU$3:AU387,$AB$3:AB387,"*")</f>
        <v>6615.1799999999312</v>
      </c>
      <c r="BT386" s="87">
        <f>SUMIFS($AU$3:AU387,$AC$3:AC387,"*")</f>
        <v>18868.400000000001</v>
      </c>
      <c r="BU386" s="87">
        <f>SUMIFS($AU$3:AU387,$AA$3:AA387,"*",$AB$3:AB387,"*")</f>
        <v>4079.9999999998217</v>
      </c>
      <c r="BV386" s="87">
        <f>SUMIFS($AU$3:AU387,$AA$3:AA387,"*",$AC$3:AC387,"*")</f>
        <v>13444.4</v>
      </c>
      <c r="BW386" s="87">
        <f>SUMIFS($AU$3:AU387,$AB$3:AB387,"*",$AC$3:AC387,"*")</f>
        <v>3279.9999999999982</v>
      </c>
      <c r="BX386" s="87">
        <f>SUMIFS($AV$3:AV387,$Q$3:Q387,"F")</f>
        <v>396.19230875404793</v>
      </c>
      <c r="BY386" s="87">
        <f>SUMIFS($AV$3:AV387,$Q$3:Q387,"S")</f>
        <v>433.77638392253397</v>
      </c>
      <c r="BZ386" s="87">
        <f>SUMIFS($AV$3:AV387,$Q$3:Q387,"O")</f>
        <v>586.0399999998524</v>
      </c>
    </row>
    <row r="387" spans="1:78" ht="15.75" customHeight="1">
      <c r="A387" s="45" t="s">
        <v>1310</v>
      </c>
      <c r="B387" s="59">
        <v>45391</v>
      </c>
      <c r="C387" s="46" t="s">
        <v>1421</v>
      </c>
      <c r="D387" s="46" t="s">
        <v>98</v>
      </c>
      <c r="E387" s="66"/>
      <c r="F387" s="47"/>
      <c r="G387" s="163" t="s">
        <v>1422</v>
      </c>
      <c r="H387" s="49"/>
      <c r="I387" s="49"/>
      <c r="J387" s="49"/>
      <c r="K387" s="50"/>
      <c r="L387" s="49"/>
      <c r="M387" s="49">
        <v>1</v>
      </c>
      <c r="N387" s="49"/>
      <c r="O387" s="50" t="s">
        <v>740</v>
      </c>
      <c r="P387" s="50" t="s">
        <v>126</v>
      </c>
      <c r="Q387" s="50"/>
      <c r="R387" s="50">
        <v>1</v>
      </c>
      <c r="S387" s="50">
        <v>0</v>
      </c>
      <c r="T387" s="50">
        <v>1</v>
      </c>
      <c r="U387" s="50" t="s">
        <v>22</v>
      </c>
      <c r="V387" s="50"/>
      <c r="W387" s="50"/>
      <c r="X387" s="50"/>
      <c r="Y387" s="51">
        <f>IF(ISBLANK(O387),"",(IF(O387=UPPER("IB"),0.005,0.01)))</f>
        <v>0.01</v>
      </c>
      <c r="Z387" s="52">
        <f>IF(ISBLANK(O387),"",IF(O387="IB",8.63*200,IF(O387="IR",16*100,IF(O387="YT",20*100,IF(O387="YT-XT",24*200,IF(O387="TED",80*100,IF(O387="IR|YT",300*100)))))))</f>
        <v>30000</v>
      </c>
      <c r="AA387" s="52" t="s">
        <v>1374</v>
      </c>
      <c r="AB387" s="52"/>
      <c r="AC387" s="52"/>
      <c r="AD387" s="231">
        <v>-0.1</v>
      </c>
      <c r="AE387" s="49"/>
      <c r="AF387" s="84"/>
      <c r="AG387" s="49"/>
      <c r="AH387" s="49"/>
      <c r="AI387" s="49"/>
      <c r="AJ387" s="226"/>
      <c r="AK387" s="49"/>
      <c r="AL387" s="113">
        <f t="shared" si="144"/>
        <v>-600</v>
      </c>
      <c r="AM387" s="113">
        <f t="shared" si="152"/>
        <v>-600</v>
      </c>
      <c r="AN387" s="218"/>
      <c r="AO387" s="49"/>
      <c r="AP387" s="49" t="s">
        <v>1423</v>
      </c>
      <c r="AQ387" s="84" t="s">
        <v>142</v>
      </c>
      <c r="AR387" s="49" t="s">
        <v>1086</v>
      </c>
      <c r="AS387" s="55">
        <v>-0.1</v>
      </c>
      <c r="AT387" s="55">
        <f>IF(ISBLANK(AS387),,IF(U387="S",AD387-AS387,AS387-AD387))</f>
        <v>0</v>
      </c>
      <c r="AU387" s="54">
        <f>AV387*R387</f>
        <v>0</v>
      </c>
      <c r="AV387" s="56">
        <f t="shared" ref="AV387:AV389" si="154">IF(ISBLANK(AS387),,(AT387*Z387))</f>
        <v>0</v>
      </c>
      <c r="AW387" s="57" t="s">
        <v>155</v>
      </c>
      <c r="AX387" s="153" t="s">
        <v>1424</v>
      </c>
      <c r="AY387" s="153"/>
      <c r="AZ387" s="153"/>
      <c r="BA387" s="153"/>
      <c r="BB387" s="153"/>
      <c r="BC387" s="153"/>
      <c r="BD387" s="151"/>
      <c r="BE387" s="152"/>
      <c r="BF387" s="151"/>
      <c r="BG387" s="94">
        <f>SUM($AV$4:AV387)</f>
        <v>1644.0086926764398</v>
      </c>
      <c r="BH387" s="95">
        <f>SUM($AU$4:AU387)</f>
        <v>31837.980000000094</v>
      </c>
      <c r="BI387" s="80">
        <f>SUMIFS($AU$3:AU388,$Q$3:Q388,"F")</f>
        <v>22308.400000000001</v>
      </c>
      <c r="BJ387" s="80">
        <f>SUMIFS($AU$3:AU388,$Q$3:Q388,"S")</f>
        <v>7951.9999999999909</v>
      </c>
      <c r="BK387" s="87">
        <f>SUMIFS($AU$3:AU388,$P$3:P388,"W")</f>
        <v>24429.580000000136</v>
      </c>
      <c r="BL387" s="87">
        <f>SUMIFS($AU$3:AU388,$P$3:P388,"R")</f>
        <v>6485.9999999999991</v>
      </c>
      <c r="BM387" s="87">
        <f>SUMIFS($AU$3:AU388,$AQ$3:AQ388,"M")</f>
        <v>5546.3799999996427</v>
      </c>
      <c r="BN387" s="87">
        <f>SUMIFS($AU$3:AU388,$AQ$3:AQ388,"H")</f>
        <v>6523.2000000004446</v>
      </c>
      <c r="BO387" s="87">
        <f>SUMIFS($AU$3:AU388,$AQ$3:AQ388,"D")</f>
        <v>8370</v>
      </c>
      <c r="BP387" s="87">
        <f>SUMIFS($AU$3:AU475,$AQ$3:AQ475,"W")</f>
        <v>12022.400000000001</v>
      </c>
      <c r="BQ387" s="87">
        <f>SUMIFS($AU$3:AU388,$Q$3:Q388,"O")</f>
        <v>1793.5800000001072</v>
      </c>
      <c r="BR387" s="87">
        <f>SUMIFS($AU$3:AU388,$AA$3:AA388,"*")</f>
        <v>23878.799999999981</v>
      </c>
      <c r="BS387" s="87">
        <f>SUMIFS($AU$3:AU388,$AB$3:AB388,"*")</f>
        <v>6615.1799999999312</v>
      </c>
      <c r="BT387" s="87">
        <f>SUMIFS($AU$3:AU388,$AC$3:AC388,"*")</f>
        <v>18868.400000000001</v>
      </c>
      <c r="BU387" s="87">
        <f>SUMIFS($AU$3:AU388,$AA$3:AA388,"*",$AB$3:AB388,"*")</f>
        <v>4079.9999999998217</v>
      </c>
      <c r="BV387" s="87">
        <f>SUMIFS($AU$3:AU388,$AA$3:AA388,"*",$AC$3:AC388,"*")</f>
        <v>13444.4</v>
      </c>
      <c r="BW387" s="87">
        <f>SUMIFS($AU$3:AU388,$AB$3:AB388,"*",$AC$3:AC388,"*")</f>
        <v>3279.9999999999982</v>
      </c>
      <c r="BX387" s="87">
        <f>SUMIFS($AV$3:AV388,$Q$3:Q388,"F")</f>
        <v>396.19230875404793</v>
      </c>
      <c r="BY387" s="87">
        <f>SUMIFS($AV$3:AV388,$Q$3:Q388,"S")</f>
        <v>433.77638392253397</v>
      </c>
      <c r="BZ387" s="87">
        <f>SUMIFS($AV$3:AV388,$Q$3:Q388,"O")</f>
        <v>586.0399999998524</v>
      </c>
    </row>
    <row r="388" spans="1:78" ht="15.75" customHeight="1">
      <c r="A388" s="45" t="s">
        <v>1310</v>
      </c>
      <c r="B388" s="59">
        <v>45391</v>
      </c>
      <c r="C388" s="46" t="s">
        <v>1425</v>
      </c>
      <c r="D388" s="46" t="s">
        <v>98</v>
      </c>
      <c r="E388" s="66"/>
      <c r="F388" s="47"/>
      <c r="G388" s="48" t="s">
        <v>1426</v>
      </c>
      <c r="H388" s="49"/>
      <c r="I388" s="49"/>
      <c r="J388" s="49"/>
      <c r="K388" s="50"/>
      <c r="L388" s="49"/>
      <c r="M388" s="49"/>
      <c r="N388" s="49"/>
      <c r="O388" s="50"/>
      <c r="P388" s="50"/>
      <c r="Q388" s="50"/>
      <c r="R388" s="50"/>
      <c r="S388" s="50"/>
      <c r="T388" s="50"/>
      <c r="U388" s="50"/>
      <c r="V388" s="50"/>
      <c r="W388" s="50"/>
      <c r="X388" s="50"/>
      <c r="Y388" s="51"/>
      <c r="Z388" s="52"/>
      <c r="AA388" s="52"/>
      <c r="AB388" s="52"/>
      <c r="AC388" s="52"/>
      <c r="AD388" s="231"/>
      <c r="AE388" s="49"/>
      <c r="AF388" s="84"/>
      <c r="AG388" s="49"/>
      <c r="AH388" s="49"/>
      <c r="AI388" s="49"/>
      <c r="AJ388" s="226"/>
      <c r="AK388" s="49"/>
      <c r="AL388" s="113">
        <f t="shared" si="144"/>
        <v>0</v>
      </c>
      <c r="AM388" s="113">
        <f t="shared" si="152"/>
        <v>0</v>
      </c>
      <c r="AN388" s="218"/>
      <c r="AO388" s="49"/>
      <c r="AP388" s="49"/>
      <c r="AQ388" s="84" t="str">
        <f>UPPER(RIGHT(Journal_Live[[#This Row],[DURATION ]]))</f>
        <v/>
      </c>
      <c r="AR388" s="49"/>
      <c r="AS388" s="55"/>
      <c r="AT388" s="55"/>
      <c r="AU388" s="54"/>
      <c r="AV388" s="56"/>
      <c r="AW388" s="57"/>
      <c r="AX388" s="151" t="s">
        <v>1427</v>
      </c>
      <c r="AY388" s="153" t="s">
        <v>1428</v>
      </c>
      <c r="AZ388" s="153" t="s">
        <v>1429</v>
      </c>
      <c r="BA388" s="153"/>
      <c r="BB388" s="153"/>
      <c r="BC388" s="153"/>
      <c r="BD388" s="151"/>
      <c r="BE388" s="152"/>
      <c r="BF388" s="151"/>
      <c r="BG388" s="94">
        <f>SUM($AV$4:AV388)</f>
        <v>1644.0086926764398</v>
      </c>
      <c r="BH388" s="95">
        <f>SUM($AU$4:AU388)</f>
        <v>31837.980000000094</v>
      </c>
      <c r="BI388" s="80">
        <f>SUMIFS($AU$3:AU389,$Q$3:Q389,"F")</f>
        <v>22308.400000000001</v>
      </c>
      <c r="BJ388" s="80">
        <f>SUMIFS($AU$3:AU389,$Q$3:Q389,"S")</f>
        <v>7951.9999999999909</v>
      </c>
      <c r="BK388" s="87">
        <f>SUMIFS($AU$3:AU389,$P$3:P389,"W")</f>
        <v>24429.580000000136</v>
      </c>
      <c r="BL388" s="87">
        <f>SUMIFS($AU$3:AU389,$P$3:P389,"R")</f>
        <v>6485.9999999999991</v>
      </c>
      <c r="BM388" s="87">
        <f>SUMIFS($AU$3:AU389,$AQ$3:AQ389,"M")</f>
        <v>5546.3799999996427</v>
      </c>
      <c r="BN388" s="87">
        <f>SUMIFS($AU$3:AU389,$AQ$3:AQ389,"H")</f>
        <v>6523.2000000004446</v>
      </c>
      <c r="BO388" s="87">
        <f>SUMIFS($AU$3:AU389,$AQ$3:AQ389,"D")</f>
        <v>8370</v>
      </c>
      <c r="BP388" s="87">
        <f>SUMIFS($AU$3:AU476,$AQ$3:AQ476,"W")</f>
        <v>12022.400000000001</v>
      </c>
      <c r="BQ388" s="87">
        <f>SUMIFS($AU$3:AU389,$Q$3:Q389,"O")</f>
        <v>1793.5800000001072</v>
      </c>
      <c r="BR388" s="87">
        <f>SUMIFS($AU$3:AU389,$AA$3:AA389,"*")</f>
        <v>23878.799999999981</v>
      </c>
      <c r="BS388" s="87">
        <f>SUMIFS($AU$3:AU389,$AB$3:AB389,"*")</f>
        <v>6615.1799999999312</v>
      </c>
      <c r="BT388" s="87">
        <f>SUMIFS($AU$3:AU389,$AC$3:AC389,"*")</f>
        <v>18868.400000000001</v>
      </c>
      <c r="BU388" s="87">
        <f>SUMIFS($AU$3:AU389,$AA$3:AA389,"*",$AB$3:AB389,"*")</f>
        <v>4079.9999999998217</v>
      </c>
      <c r="BV388" s="87">
        <f>SUMIFS($AU$3:AU389,$AA$3:AA389,"*",$AC$3:AC389,"*")</f>
        <v>13444.4</v>
      </c>
      <c r="BW388" s="87">
        <f>SUMIFS($AU$3:AU389,$AB$3:AB389,"*",$AC$3:AC389,"*")</f>
        <v>3279.9999999999982</v>
      </c>
      <c r="BX388" s="87">
        <f>SUMIFS($AV$3:AV389,$Q$3:Q389,"F")</f>
        <v>396.19230875404793</v>
      </c>
      <c r="BY388" s="87">
        <f>SUMIFS($AV$3:AV389,$Q$3:Q389,"S")</f>
        <v>433.77638392253397</v>
      </c>
      <c r="BZ388" s="87">
        <f>SUMIFS($AV$3:AV389,$Q$3:Q389,"O")</f>
        <v>586.0399999998524</v>
      </c>
    </row>
    <row r="389" spans="1:78" ht="15.75" customHeight="1">
      <c r="A389" s="45" t="s">
        <v>1310</v>
      </c>
      <c r="B389" s="59">
        <v>45391</v>
      </c>
      <c r="C389" s="46" t="s">
        <v>1430</v>
      </c>
      <c r="D389" s="46" t="s">
        <v>98</v>
      </c>
      <c r="E389" s="66"/>
      <c r="F389" s="47"/>
      <c r="G389" s="163" t="s">
        <v>1431</v>
      </c>
      <c r="H389" s="49"/>
      <c r="I389" s="49"/>
      <c r="J389" s="49"/>
      <c r="K389" s="50"/>
      <c r="L389" s="49"/>
      <c r="M389" s="49">
        <v>1</v>
      </c>
      <c r="N389" s="49"/>
      <c r="O389" s="50" t="s">
        <v>363</v>
      </c>
      <c r="P389" s="50" t="s">
        <v>126</v>
      </c>
      <c r="Q389" s="50"/>
      <c r="R389" s="50">
        <v>1</v>
      </c>
      <c r="S389" s="50">
        <v>0</v>
      </c>
      <c r="T389" s="50">
        <v>1</v>
      </c>
      <c r="U389" s="50" t="s">
        <v>22</v>
      </c>
      <c r="V389" s="50"/>
      <c r="W389" s="50"/>
      <c r="X389" s="50"/>
      <c r="Y389" s="51">
        <f>IF(ISBLANK(O389),"",(IF(O389=UPPER("IB"),0.005,0.01)))</f>
        <v>0.01</v>
      </c>
      <c r="Z389" s="52">
        <f>IF(ISBLANK(O389),"",IF(O389="IB",8.63*200,IF(O389="IR",16*100,IF(O389="YT",20*100,IF(O389="YT-XT",24*200,IF(O389="TED",80*100))))))</f>
        <v>8000</v>
      </c>
      <c r="AA389" s="52" t="s">
        <v>1374</v>
      </c>
      <c r="AB389" s="52"/>
      <c r="AC389" s="52"/>
      <c r="AD389" s="231">
        <v>-0.1</v>
      </c>
      <c r="AE389" s="49"/>
      <c r="AF389" s="84"/>
      <c r="AG389" s="49"/>
      <c r="AH389" s="49"/>
      <c r="AI389" s="49"/>
      <c r="AJ389" s="226"/>
      <c r="AK389" s="49"/>
      <c r="AL389" s="113">
        <f t="shared" ref="AL389:AL432" si="155">-0.02*Z389</f>
        <v>-160</v>
      </c>
      <c r="AM389" s="113">
        <f t="shared" si="152"/>
        <v>-160</v>
      </c>
      <c r="AN389" s="218"/>
      <c r="AO389" s="49"/>
      <c r="AP389" s="49" t="s">
        <v>607</v>
      </c>
      <c r="AQ389" s="84" t="s">
        <v>142</v>
      </c>
      <c r="AR389" s="49" t="s">
        <v>1176</v>
      </c>
      <c r="AS389" s="55">
        <v>-0.1</v>
      </c>
      <c r="AT389" s="55">
        <f t="shared" ref="AT389:AT395" si="156">IF(ISBLANK(AS389),,IF(U389="S",AD389-AS389,AS389-AD389))</f>
        <v>0</v>
      </c>
      <c r="AU389" s="54">
        <f t="shared" ref="AU389:AU395" si="157">AV389*R389</f>
        <v>0</v>
      </c>
      <c r="AV389" s="56">
        <f t="shared" si="154"/>
        <v>0</v>
      </c>
      <c r="AW389" s="57" t="s">
        <v>155</v>
      </c>
      <c r="AX389" s="153"/>
      <c r="AY389" s="153"/>
      <c r="AZ389" s="153"/>
      <c r="BA389" s="153"/>
      <c r="BB389" s="153"/>
      <c r="BC389" s="153"/>
      <c r="BD389" s="151"/>
      <c r="BE389" s="152"/>
      <c r="BF389" s="151"/>
      <c r="BG389" s="94">
        <f>SUM($AV$4:AV389)</f>
        <v>1644.0086926764398</v>
      </c>
      <c r="BH389" s="95">
        <f>SUM($AU$4:AU389)</f>
        <v>31837.980000000094</v>
      </c>
      <c r="BI389" s="80">
        <f>SUMIFS($AU$3:AU390,$Q$3:Q390,"F")</f>
        <v>22308.400000000001</v>
      </c>
      <c r="BJ389" s="80">
        <f>SUMIFS($AU$3:AU390,$Q$3:Q390,"S")</f>
        <v>8271.9999999999909</v>
      </c>
      <c r="BK389" s="87">
        <f>SUMIFS($AU$3:AU390,$P$3:P390,"W")</f>
        <v>24749.580000000136</v>
      </c>
      <c r="BL389" s="87">
        <f>SUMIFS($AU$3:AU390,$P$3:P390,"R")</f>
        <v>6485.9999999999991</v>
      </c>
      <c r="BM389" s="87">
        <f>SUMIFS($AU$3:AU390,$AQ$3:AQ390,"M")</f>
        <v>5866.3799999996427</v>
      </c>
      <c r="BN389" s="87">
        <f>SUMIFS($AU$3:AU390,$AQ$3:AQ390,"H")</f>
        <v>6523.2000000004446</v>
      </c>
      <c r="BO389" s="87">
        <f>SUMIFS($AU$3:AU390,$AQ$3:AQ390,"D")</f>
        <v>8370</v>
      </c>
      <c r="BP389" s="87">
        <f>SUMIFS($AU$3:AU477,$AQ$3:AQ477,"W")</f>
        <v>12022.400000000001</v>
      </c>
      <c r="BQ389" s="87">
        <f>SUMIFS($AU$3:AU390,$Q$3:Q390,"O")</f>
        <v>1793.5800000001072</v>
      </c>
      <c r="BR389" s="87">
        <f>SUMIFS($AU$3:AU390,$AA$3:AA390,"*")</f>
        <v>24198.799999999981</v>
      </c>
      <c r="BS389" s="87">
        <f>SUMIFS($AU$3:AU390,$AB$3:AB390,"*")</f>
        <v>6615.1799999999312</v>
      </c>
      <c r="BT389" s="87">
        <f>SUMIFS($AU$3:AU390,$AC$3:AC390,"*")</f>
        <v>18868.400000000001</v>
      </c>
      <c r="BU389" s="87">
        <f>SUMIFS($AU$3:AU390,$AA$3:AA390,"*",$AB$3:AB390,"*")</f>
        <v>4079.9999999998217</v>
      </c>
      <c r="BV389" s="87">
        <f>SUMIFS($AU$3:AU390,$AA$3:AA390,"*",$AC$3:AC390,"*")</f>
        <v>13444.4</v>
      </c>
      <c r="BW389" s="87">
        <f>SUMIFS($AU$3:AU390,$AB$3:AB390,"*",$AC$3:AC390,"*")</f>
        <v>3279.9999999999982</v>
      </c>
      <c r="BX389" s="87">
        <f>SUMIFS($AV$3:AV390,$Q$3:Q390,"F")</f>
        <v>396.19230875404793</v>
      </c>
      <c r="BY389" s="87">
        <f>SUMIFS($AV$3:AV390,$Q$3:Q390,"S")</f>
        <v>449.77638392253397</v>
      </c>
      <c r="BZ389" s="87">
        <f>SUMIFS($AV$3:AV390,$Q$3:Q390,"O")</f>
        <v>586.0399999998524</v>
      </c>
    </row>
    <row r="390" spans="1:78" ht="15.75" customHeight="1">
      <c r="A390" s="45" t="s">
        <v>1310</v>
      </c>
      <c r="B390" s="59">
        <v>45391</v>
      </c>
      <c r="C390" s="46" t="s">
        <v>1432</v>
      </c>
      <c r="D390" s="46" t="s">
        <v>98</v>
      </c>
      <c r="E390" s="66"/>
      <c r="F390" s="47"/>
      <c r="G390" s="106" t="s">
        <v>181</v>
      </c>
      <c r="H390" s="49"/>
      <c r="I390" s="49"/>
      <c r="J390" s="49"/>
      <c r="K390" s="50"/>
      <c r="L390" s="49">
        <v>1</v>
      </c>
      <c r="M390" s="49"/>
      <c r="N390" s="49"/>
      <c r="O390" s="50" t="s">
        <v>100</v>
      </c>
      <c r="P390" s="50" t="s">
        <v>101</v>
      </c>
      <c r="Q390" s="50" t="s">
        <v>102</v>
      </c>
      <c r="R390" s="50">
        <v>20</v>
      </c>
      <c r="S390" s="161">
        <v>0</v>
      </c>
      <c r="T390" s="50">
        <v>20</v>
      </c>
      <c r="U390" s="50" t="s">
        <v>102</v>
      </c>
      <c r="V390" s="50"/>
      <c r="W390" s="50"/>
      <c r="X390" s="50"/>
      <c r="Y390" s="51">
        <f>IF(ISBLANK(O390),"",(IF(O390=UPPER("IB"),0.005,0.01)))</f>
        <v>0.01</v>
      </c>
      <c r="Z390" s="52">
        <f>IF(ISBLANK(O390),"",IF(O390="IB",8.63*200,IF(O390="IR",16*100,IF(O390="YT",20*100,IF(O390="YT-XT",24*200,IF(O390="TED",80*100,IF(O390="XT",29*200)))))))</f>
        <v>1600</v>
      </c>
      <c r="AA390" s="52" t="s">
        <v>1251</v>
      </c>
      <c r="AB390" s="52"/>
      <c r="AC390" s="52"/>
      <c r="AD390" s="231">
        <v>-0.1</v>
      </c>
      <c r="AE390" s="49"/>
      <c r="AF390" s="84"/>
      <c r="AG390" s="49"/>
      <c r="AH390" s="49"/>
      <c r="AI390" s="49"/>
      <c r="AJ390" s="226"/>
      <c r="AK390" s="49"/>
      <c r="AL390" s="113">
        <f t="shared" si="155"/>
        <v>-32</v>
      </c>
      <c r="AM390" s="113">
        <f t="shared" si="152"/>
        <v>-640</v>
      </c>
      <c r="AN390" s="218"/>
      <c r="AO390" s="49"/>
      <c r="AP390" s="49"/>
      <c r="AQ390" s="84" t="s">
        <v>350</v>
      </c>
      <c r="AR390" s="49"/>
      <c r="AS390" s="55">
        <v>-0.11</v>
      </c>
      <c r="AT390" s="55">
        <f t="shared" si="156"/>
        <v>9.999999999999995E-3</v>
      </c>
      <c r="AU390" s="54">
        <f t="shared" si="157"/>
        <v>319.99999999999989</v>
      </c>
      <c r="AV390" s="56">
        <f t="shared" ref="AV390:AV391" si="158">IF(ISBLANK(AS390),,(AT390*Z390))</f>
        <v>15.999999999999993</v>
      </c>
      <c r="AW390" s="57" t="s">
        <v>101</v>
      </c>
      <c r="AX390" s="153" t="s">
        <v>1433</v>
      </c>
      <c r="AY390" s="153"/>
      <c r="AZ390" s="153"/>
      <c r="BA390" s="153"/>
      <c r="BB390" s="153"/>
      <c r="BC390" s="153"/>
      <c r="BD390" s="151"/>
      <c r="BE390" s="152"/>
      <c r="BF390" s="151"/>
      <c r="BG390" s="94">
        <f>SUM($AV$4:AV390)</f>
        <v>1660.0086926764398</v>
      </c>
      <c r="BH390" s="95">
        <f>SUM($AU$4:AU390)</f>
        <v>32157.980000000094</v>
      </c>
      <c r="BI390" s="80">
        <f>SUMIFS($AU$3:AU391,$Q$3:Q391,"F")</f>
        <v>22308.400000000001</v>
      </c>
      <c r="BJ390" s="80">
        <f>SUMIFS($AU$3:AU391,$Q$3:Q391,"S")</f>
        <v>7951.9999999999909</v>
      </c>
      <c r="BK390" s="87">
        <f>SUMIFS($AU$3:AU391,$P$3:P391,"W")</f>
        <v>24429.580000000136</v>
      </c>
      <c r="BL390" s="87">
        <f>SUMIFS($AU$3:AU391,$P$3:P391,"R")</f>
        <v>6485.9999999999991</v>
      </c>
      <c r="BM390" s="87">
        <f>SUMIFS($AU$3:AU391,$AQ$3:AQ391,"M")</f>
        <v>5866.3799999996427</v>
      </c>
      <c r="BN390" s="87">
        <f>SUMIFS($AU$3:AU391,$AQ$3:AQ391,"H")</f>
        <v>6203.2000000004446</v>
      </c>
      <c r="BO390" s="87">
        <f>SUMIFS($AU$3:AU391,$AQ$3:AQ391,"D")</f>
        <v>8370</v>
      </c>
      <c r="BP390" s="87">
        <f>SUMIFS($AU$3:AU478,$AQ$3:AQ478,"W")</f>
        <v>12022.400000000001</v>
      </c>
      <c r="BQ390" s="87">
        <f>SUMIFS($AU$3:AU391,$Q$3:Q391,"O")</f>
        <v>1793.5800000001072</v>
      </c>
      <c r="BR390" s="87">
        <f>SUMIFS($AU$3:AU391,$AA$3:AA391,"*")</f>
        <v>24198.799999999981</v>
      </c>
      <c r="BS390" s="87">
        <f>SUMIFS($AU$3:AU391,$AB$3:AB391,"*")</f>
        <v>6615.1799999999312</v>
      </c>
      <c r="BT390" s="87">
        <f>SUMIFS($AU$3:AU391,$AC$3:AC391,"*")</f>
        <v>18548.400000000001</v>
      </c>
      <c r="BU390" s="87">
        <f>SUMIFS($AU$3:AU391,$AA$3:AA391,"*",$AB$3:AB391,"*")</f>
        <v>4079.9999999998217</v>
      </c>
      <c r="BV390" s="87">
        <f>SUMIFS($AU$3:AU391,$AA$3:AA391,"*",$AC$3:AC391,"*")</f>
        <v>13444.4</v>
      </c>
      <c r="BW390" s="87">
        <f>SUMIFS($AU$3:AU391,$AB$3:AB391,"*",$AC$3:AC391,"*")</f>
        <v>3279.9999999999982</v>
      </c>
      <c r="BX390" s="87">
        <f>SUMIFS($AV$3:AV391,$Q$3:Q391,"F")</f>
        <v>396.19230875404793</v>
      </c>
      <c r="BY390" s="87">
        <f>SUMIFS($AV$3:AV391,$Q$3:Q391,"S")</f>
        <v>433.77638392253397</v>
      </c>
      <c r="BZ390" s="87">
        <f>SUMIFS($AV$3:AV391,$Q$3:Q391,"O")</f>
        <v>586.0399999998524</v>
      </c>
    </row>
    <row r="391" spans="1:78" ht="15.75" customHeight="1">
      <c r="A391" s="45" t="s">
        <v>1310</v>
      </c>
      <c r="B391" s="59">
        <v>45391</v>
      </c>
      <c r="C391" s="46" t="s">
        <v>1434</v>
      </c>
      <c r="D391" s="46" t="s">
        <v>98</v>
      </c>
      <c r="E391" s="66"/>
      <c r="F391" s="47"/>
      <c r="G391" s="106" t="s">
        <v>111</v>
      </c>
      <c r="H391" s="49"/>
      <c r="I391" s="49"/>
      <c r="J391" s="49"/>
      <c r="K391" s="50"/>
      <c r="L391" s="49">
        <v>1</v>
      </c>
      <c r="M391" s="49"/>
      <c r="N391" s="49"/>
      <c r="O391" s="50" t="s">
        <v>100</v>
      </c>
      <c r="P391" s="50" t="s">
        <v>101</v>
      </c>
      <c r="Q391" s="50" t="s">
        <v>102</v>
      </c>
      <c r="R391" s="50">
        <v>20</v>
      </c>
      <c r="S391" s="161">
        <v>0</v>
      </c>
      <c r="T391" s="50">
        <v>20</v>
      </c>
      <c r="U391" s="50" t="s">
        <v>22</v>
      </c>
      <c r="V391" s="50"/>
      <c r="W391" s="50"/>
      <c r="X391" s="50"/>
      <c r="Y391" s="51">
        <f>IF(ISBLANK(O391),"",(IF(O391=UPPER("IB"),0.005,0.01)))</f>
        <v>0.01</v>
      </c>
      <c r="Z391" s="52">
        <f>IF(ISBLANK(O391),"",IF(O391="IB",8.63*200,IF(O391="IR",16*100,IF(O391="YT",20*100,IF(O391="YT-XT",24*200,IF(O391="TED",80*100,IF(O391="XT",29*200)))))))</f>
        <v>1600</v>
      </c>
      <c r="AA391" s="52"/>
      <c r="AB391" s="52"/>
      <c r="AC391" s="52" t="s">
        <v>1435</v>
      </c>
      <c r="AD391" s="231">
        <v>-0.09</v>
      </c>
      <c r="AE391" s="49"/>
      <c r="AF391" s="84"/>
      <c r="AG391" s="49"/>
      <c r="AH391" s="49"/>
      <c r="AI391" s="49"/>
      <c r="AJ391" s="226"/>
      <c r="AK391" s="49"/>
      <c r="AL391" s="113">
        <f t="shared" ref="AL391:AL423" si="159">-0.02*Z391</f>
        <v>-32</v>
      </c>
      <c r="AM391" s="113">
        <f t="shared" si="152"/>
        <v>-640</v>
      </c>
      <c r="AN391" s="218"/>
      <c r="AO391" s="49"/>
      <c r="AP391" s="49" t="s">
        <v>136</v>
      </c>
      <c r="AQ391" s="84" t="s">
        <v>142</v>
      </c>
      <c r="AR391" s="49" t="s">
        <v>1436</v>
      </c>
      <c r="AS391" s="55">
        <v>-0.1</v>
      </c>
      <c r="AT391" s="55">
        <f t="shared" si="156"/>
        <v>-1.0000000000000009E-2</v>
      </c>
      <c r="AU391" s="54">
        <f t="shared" si="157"/>
        <v>-320.00000000000028</v>
      </c>
      <c r="AV391" s="56">
        <f t="shared" si="158"/>
        <v>-16.000000000000014</v>
      </c>
      <c r="AW391" s="57" t="s">
        <v>121</v>
      </c>
      <c r="AX391" s="153" t="s">
        <v>1437</v>
      </c>
      <c r="AY391" s="153" t="s">
        <v>1438</v>
      </c>
      <c r="AZ391" s="153" t="s">
        <v>1439</v>
      </c>
      <c r="BA391" s="153" t="s">
        <v>1440</v>
      </c>
      <c r="BB391" s="153" t="s">
        <v>1441</v>
      </c>
      <c r="BC391" s="153"/>
      <c r="BD391" s="151"/>
      <c r="BE391" s="152"/>
      <c r="BF391" s="151"/>
      <c r="BG391" s="94">
        <f>SUM($AV$4:AV391)</f>
        <v>1644.0086926764398</v>
      </c>
      <c r="BH391" s="95">
        <f>SUM($AU$4:AU391)</f>
        <v>31837.980000000094</v>
      </c>
      <c r="BI391" s="80">
        <f>SUMIFS($AU$3:AU392,$Q$3:Q392,"F")</f>
        <v>22308.400000000001</v>
      </c>
      <c r="BJ391" s="80">
        <f>SUMIFS($AU$3:AU392,$Q$3:Q392,"S")</f>
        <v>7951.9999999999909</v>
      </c>
      <c r="BK391" s="87">
        <f>SUMIFS($AU$3:AU392,$P$3:P392,"W")</f>
        <v>24429.580000000136</v>
      </c>
      <c r="BL391" s="87">
        <f>SUMIFS($AU$3:AU392,$P$3:P392,"R")</f>
        <v>6485.9999999999991</v>
      </c>
      <c r="BM391" s="87">
        <f>SUMIFS($AU$3:AU392,$AQ$3:AQ392,"M")</f>
        <v>5866.3799999996427</v>
      </c>
      <c r="BN391" s="87">
        <f>SUMIFS($AU$3:AU392,$AQ$3:AQ392,"H")</f>
        <v>6203.2000000004446</v>
      </c>
      <c r="BO391" s="87">
        <f>SUMIFS($AU$3:AU392,$AQ$3:AQ392,"D")</f>
        <v>8370</v>
      </c>
      <c r="BP391" s="87">
        <f>SUMIFS($AU$3:AU479,$AQ$3:AQ479,"W")</f>
        <v>12022.400000000001</v>
      </c>
      <c r="BQ391" s="87">
        <f>SUMIFS($AU$3:AU392,$Q$3:Q392,"O")</f>
        <v>1793.5800000001072</v>
      </c>
      <c r="BR391" s="87">
        <f>SUMIFS($AU$3:AU392,$AA$3:AA392,"*")</f>
        <v>24198.799999999981</v>
      </c>
      <c r="BS391" s="87">
        <f>SUMIFS($AU$3:AU392,$AB$3:AB392,"*")</f>
        <v>6615.1799999999312</v>
      </c>
      <c r="BT391" s="87">
        <f>SUMIFS($AU$3:AU392,$AC$3:AC392,"*")</f>
        <v>18548.400000000001</v>
      </c>
      <c r="BU391" s="87">
        <f>SUMIFS($AU$3:AU392,$AA$3:AA392,"*",$AB$3:AB392,"*")</f>
        <v>4079.9999999998217</v>
      </c>
      <c r="BV391" s="87">
        <f>SUMIFS($AU$3:AU392,$AA$3:AA392,"*",$AC$3:AC392,"*")</f>
        <v>13444.4</v>
      </c>
      <c r="BW391" s="87">
        <f>SUMIFS($AU$3:AU392,$AB$3:AB392,"*",$AC$3:AC392,"*")</f>
        <v>3279.9999999999982</v>
      </c>
      <c r="BX391" s="87">
        <f>SUMIFS($AV$3:AV392,$Q$3:Q392,"F")</f>
        <v>396.19230875404793</v>
      </c>
      <c r="BY391" s="87">
        <f>SUMIFS($AV$3:AV392,$Q$3:Q392,"S")</f>
        <v>433.77638392253397</v>
      </c>
      <c r="BZ391" s="87">
        <f>SUMIFS($AV$3:AV392,$Q$3:Q392,"O")</f>
        <v>586.0399999998524</v>
      </c>
    </row>
    <row r="392" spans="1:78" ht="15.75" customHeight="1">
      <c r="A392" s="45" t="s">
        <v>1310</v>
      </c>
      <c r="B392" s="59"/>
      <c r="C392" s="46"/>
      <c r="D392" s="46"/>
      <c r="E392" s="66"/>
      <c r="F392" s="47"/>
      <c r="G392" s="48"/>
      <c r="H392" s="49"/>
      <c r="I392" s="49"/>
      <c r="J392" s="49"/>
      <c r="K392" s="50"/>
      <c r="L392" s="49"/>
      <c r="M392" s="49"/>
      <c r="N392" s="49"/>
      <c r="O392" s="50"/>
      <c r="P392" s="50"/>
      <c r="Q392" s="50"/>
      <c r="R392" s="50"/>
      <c r="S392" s="50"/>
      <c r="T392" s="50"/>
      <c r="U392" s="50"/>
      <c r="V392" s="50"/>
      <c r="W392" s="50"/>
      <c r="X392" s="50"/>
      <c r="Y392" s="50"/>
      <c r="Z392" s="50"/>
      <c r="AA392" s="52"/>
      <c r="AB392" s="52"/>
      <c r="AC392" s="52"/>
      <c r="AD392" s="231"/>
      <c r="AE392" s="49"/>
      <c r="AF392" s="84"/>
      <c r="AG392" s="49"/>
      <c r="AH392" s="49"/>
      <c r="AI392" s="49"/>
      <c r="AJ392" s="226"/>
      <c r="AK392" s="49"/>
      <c r="AL392" s="113">
        <f t="shared" si="159"/>
        <v>0</v>
      </c>
      <c r="AM392" s="113">
        <f t="shared" si="152"/>
        <v>0</v>
      </c>
      <c r="AN392" s="218"/>
      <c r="AO392" s="49"/>
      <c r="AP392" s="49"/>
      <c r="AQ392" s="84" t="str">
        <f>UPPER(RIGHT(Journal_Live[[#This Row],[DURATION ]]))</f>
        <v/>
      </c>
      <c r="AR392" s="49"/>
      <c r="AS392" s="55"/>
      <c r="AT392" s="55">
        <f t="shared" si="156"/>
        <v>0</v>
      </c>
      <c r="AU392" s="54">
        <f t="shared" si="157"/>
        <v>0</v>
      </c>
      <c r="AV392" s="56">
        <f t="shared" ref="AV392:AV395" si="160">IF(ISBLANK(AS392),,(AT392*Z392))</f>
        <v>0</v>
      </c>
      <c r="AW392" s="57"/>
      <c r="AX392" s="99" t="s">
        <v>992</v>
      </c>
      <c r="AY392" s="153" t="s">
        <v>1442</v>
      </c>
      <c r="AZ392" s="153" t="s">
        <v>1443</v>
      </c>
      <c r="BA392" s="153"/>
      <c r="BB392" s="153"/>
      <c r="BC392" s="153"/>
      <c r="BD392" s="151"/>
      <c r="BE392" s="152"/>
      <c r="BF392" s="151"/>
      <c r="BG392" s="94">
        <f>SUM($AV$4:AV392)</f>
        <v>1644.0086926764398</v>
      </c>
      <c r="BH392" s="95">
        <f>SUM($AU$4:AU392)</f>
        <v>31837.980000000094</v>
      </c>
      <c r="BI392" s="80">
        <f>SUMIFS($AU$3:AU393,$Q$3:Q393,"F")</f>
        <v>22308.400000000001</v>
      </c>
      <c r="BJ392" s="80">
        <f>SUMIFS($AU$3:AU393,$Q$3:Q393,"S")</f>
        <v>7951.9999999999909</v>
      </c>
      <c r="BK392" s="87">
        <f>SUMIFS($AU$3:AU393,$P$3:P393,"W")</f>
        <v>24429.580000000136</v>
      </c>
      <c r="BL392" s="87">
        <f>SUMIFS($AU$3:AU393,$P$3:P393,"R")</f>
        <v>6325.9999999999991</v>
      </c>
      <c r="BM392" s="87">
        <f>SUMIFS($AU$3:AU393,$AQ$3:AQ393,"M")</f>
        <v>5866.3799999996427</v>
      </c>
      <c r="BN392" s="87">
        <f>SUMIFS($AU$3:AU393,$AQ$3:AQ393,"H")</f>
        <v>6203.2000000004446</v>
      </c>
      <c r="BO392" s="87">
        <f>SUMIFS($AU$3:AU393,$AQ$3:AQ393,"D")</f>
        <v>8210</v>
      </c>
      <c r="BP392" s="87">
        <f>SUMIFS($AU$3:AU480,$AQ$3:AQ480,"W")</f>
        <v>12022.400000000001</v>
      </c>
      <c r="BQ392" s="87">
        <f>SUMIFS($AU$3:AU393,$Q$3:Q393,"O")</f>
        <v>1793.5800000001072</v>
      </c>
      <c r="BR392" s="87">
        <f>SUMIFS($AU$3:AU393,$AA$3:AA393,"*")</f>
        <v>24038.799999999981</v>
      </c>
      <c r="BS392" s="87">
        <f>SUMIFS($AU$3:AU393,$AB$3:AB393,"*")</f>
        <v>6615.1799999999312</v>
      </c>
      <c r="BT392" s="87">
        <f>SUMIFS($AU$3:AU393,$AC$3:AC393,"*")</f>
        <v>18548.400000000001</v>
      </c>
      <c r="BU392" s="87">
        <f>SUMIFS($AU$3:AU393,$AA$3:AA393,"*",$AB$3:AB393,"*")</f>
        <v>4079.9999999998217</v>
      </c>
      <c r="BV392" s="87">
        <f>SUMIFS($AU$3:AU393,$AA$3:AA393,"*",$AC$3:AC393,"*")</f>
        <v>13444.4</v>
      </c>
      <c r="BW392" s="87">
        <f>SUMIFS($AU$3:AU393,$AB$3:AB393,"*",$AC$3:AC393,"*")</f>
        <v>3279.9999999999982</v>
      </c>
      <c r="BX392" s="87">
        <f>SUMIFS($AV$3:AV393,$Q$3:Q393,"F")</f>
        <v>396.19230875404793</v>
      </c>
      <c r="BY392" s="87">
        <f>SUMIFS($AV$3:AV393,$Q$3:Q393,"S")</f>
        <v>433.77638392253397</v>
      </c>
      <c r="BZ392" s="87">
        <f>SUMIFS($AV$3:AV393,$Q$3:Q393,"O")</f>
        <v>586.0399999998524</v>
      </c>
    </row>
    <row r="393" spans="1:78" ht="15.75" customHeight="1">
      <c r="A393" s="45" t="s">
        <v>1310</v>
      </c>
      <c r="B393" s="59">
        <v>45392</v>
      </c>
      <c r="C393" s="46" t="s">
        <v>1444</v>
      </c>
      <c r="D393" s="46" t="s">
        <v>186</v>
      </c>
      <c r="E393" s="66"/>
      <c r="F393" s="47"/>
      <c r="G393" s="163" t="s">
        <v>1445</v>
      </c>
      <c r="H393" s="49"/>
      <c r="I393" s="49"/>
      <c r="J393" s="49"/>
      <c r="K393" s="50"/>
      <c r="L393" s="49">
        <v>1</v>
      </c>
      <c r="M393" s="49"/>
      <c r="N393" s="49"/>
      <c r="O393" s="50" t="s">
        <v>363</v>
      </c>
      <c r="P393" s="50" t="s">
        <v>126</v>
      </c>
      <c r="Q393" s="50"/>
      <c r="R393" s="50">
        <v>2</v>
      </c>
      <c r="S393" s="50">
        <v>0</v>
      </c>
      <c r="T393" s="50">
        <v>1</v>
      </c>
      <c r="U393" s="50" t="s">
        <v>22</v>
      </c>
      <c r="V393" s="50"/>
      <c r="W393" s="50"/>
      <c r="X393" s="50"/>
      <c r="Y393" s="51">
        <f>IF(ISBLANK(O393),"",(IF(O393=UPPER("IB"),0.005,0.01)))</f>
        <v>0.01</v>
      </c>
      <c r="Z393" s="52">
        <f>IF(ISBLANK(O393),"",IF(O393="IB",8.63*200,IF(O393="IR",16*100,IF(O393="YT",20*100,IF(O393="YT-XT",24*200,IF(O393="TED",80*100))))))</f>
        <v>8000</v>
      </c>
      <c r="AA393" s="52" t="s">
        <v>1251</v>
      </c>
      <c r="AB393" s="52"/>
      <c r="AC393" s="52"/>
      <c r="AD393" s="231">
        <v>-0.1</v>
      </c>
      <c r="AE393" s="49"/>
      <c r="AF393" s="84"/>
      <c r="AG393" s="49"/>
      <c r="AH393" s="49"/>
      <c r="AI393" s="49"/>
      <c r="AJ393" s="226"/>
      <c r="AK393" s="49"/>
      <c r="AL393" s="113">
        <f t="shared" si="159"/>
        <v>-160</v>
      </c>
      <c r="AM393" s="113">
        <f t="shared" si="152"/>
        <v>-320</v>
      </c>
      <c r="AN393" s="218"/>
      <c r="AO393" s="49"/>
      <c r="AP393" s="49" t="s">
        <v>279</v>
      </c>
      <c r="AQ393" s="84" t="s">
        <v>155</v>
      </c>
      <c r="AR393" s="49" t="s">
        <v>1446</v>
      </c>
      <c r="AS393" s="55">
        <v>-0.11</v>
      </c>
      <c r="AT393" s="55">
        <f t="shared" si="156"/>
        <v>-9.999999999999995E-3</v>
      </c>
      <c r="AU393" s="54">
        <f t="shared" si="157"/>
        <v>-159.99999999999991</v>
      </c>
      <c r="AV393" s="56">
        <f t="shared" si="160"/>
        <v>-79.999999999999957</v>
      </c>
      <c r="AW393" s="57" t="s">
        <v>121</v>
      </c>
      <c r="AX393" s="153"/>
      <c r="AY393" s="153"/>
      <c r="AZ393" s="153"/>
      <c r="BA393" s="153"/>
      <c r="BB393" s="153"/>
      <c r="BC393" s="153"/>
      <c r="BD393" s="151"/>
      <c r="BE393" s="152"/>
      <c r="BF393" s="151"/>
      <c r="BG393" s="94">
        <f>SUM($AV$4:AV393)</f>
        <v>1564.0086926764398</v>
      </c>
      <c r="BH393" s="95">
        <f>SUM($AU$4:AU393)</f>
        <v>31677.980000000094</v>
      </c>
      <c r="BI393" s="80">
        <f>SUMIFS($AU$3:AU394,$Q$3:Q394,"F")</f>
        <v>22308.400000000001</v>
      </c>
      <c r="BJ393" s="80">
        <f>SUMIFS($AU$3:AU394,$Q$3:Q394,"S")</f>
        <v>7951.9999999999909</v>
      </c>
      <c r="BK393" s="87">
        <f>SUMIFS($AU$3:AU394,$P$3:P394,"W")</f>
        <v>24429.580000000136</v>
      </c>
      <c r="BL393" s="87">
        <f>SUMIFS($AU$3:AU394,$P$3:P394,"R")</f>
        <v>6325.9999999999991</v>
      </c>
      <c r="BM393" s="87">
        <f>SUMIFS($AU$3:AU394,$AQ$3:AQ394,"M")</f>
        <v>5866.3799999996427</v>
      </c>
      <c r="BN393" s="87">
        <f>SUMIFS($AU$3:AU394,$AQ$3:AQ394,"H")</f>
        <v>6203.2000000004446</v>
      </c>
      <c r="BO393" s="87">
        <f>SUMIFS($AU$3:AU394,$AQ$3:AQ394,"D")</f>
        <v>8210</v>
      </c>
      <c r="BP393" s="87">
        <f>SUMIFS($AU$3:AU481,$AQ$3:AQ481,"W")</f>
        <v>12022.400000000001</v>
      </c>
      <c r="BQ393" s="87">
        <f>SUMIFS($AU$3:AU394,$Q$3:Q394,"O")</f>
        <v>1793.5800000001072</v>
      </c>
      <c r="BR393" s="87">
        <f>SUMIFS($AU$3:AU394,$AA$3:AA394,"*")</f>
        <v>24038.799999999981</v>
      </c>
      <c r="BS393" s="87">
        <f>SUMIFS($AU$3:AU394,$AB$3:AB394,"*")</f>
        <v>6615.1799999999312</v>
      </c>
      <c r="BT393" s="87">
        <f>SUMIFS($AU$3:AU394,$AC$3:AC394,"*")</f>
        <v>18548.400000000001</v>
      </c>
      <c r="BU393" s="87">
        <f>SUMIFS($AU$3:AU394,$AA$3:AA394,"*",$AB$3:AB394,"*")</f>
        <v>4079.9999999998217</v>
      </c>
      <c r="BV393" s="87">
        <f>SUMIFS($AU$3:AU394,$AA$3:AA394,"*",$AC$3:AC394,"*")</f>
        <v>13444.4</v>
      </c>
      <c r="BW393" s="87">
        <f>SUMIFS($AU$3:AU394,$AB$3:AB394,"*",$AC$3:AC394,"*")</f>
        <v>3279.9999999999982</v>
      </c>
      <c r="BX393" s="87">
        <f>SUMIFS($AV$3:AV394,$Q$3:Q394,"F")</f>
        <v>396.19230875404793</v>
      </c>
      <c r="BY393" s="87">
        <f>SUMIFS($AV$3:AV394,$Q$3:Q394,"S")</f>
        <v>433.77638392253397</v>
      </c>
      <c r="BZ393" s="87">
        <f>SUMIFS($AV$3:AV394,$Q$3:Q394,"O")</f>
        <v>586.0399999998524</v>
      </c>
    </row>
    <row r="394" spans="1:78" ht="15.75" customHeight="1">
      <c r="A394" s="45" t="s">
        <v>1310</v>
      </c>
      <c r="B394" s="59">
        <v>45392</v>
      </c>
      <c r="C394" s="46" t="s">
        <v>1447</v>
      </c>
      <c r="D394" s="46" t="s">
        <v>186</v>
      </c>
      <c r="E394" s="66"/>
      <c r="F394" s="47"/>
      <c r="G394" s="106" t="s">
        <v>527</v>
      </c>
      <c r="H394" s="49"/>
      <c r="I394" s="49"/>
      <c r="J394" s="49"/>
      <c r="K394" s="50"/>
      <c r="L394" s="49">
        <v>1</v>
      </c>
      <c r="M394" s="49"/>
      <c r="N394" s="49"/>
      <c r="O394" s="50" t="s">
        <v>100</v>
      </c>
      <c r="P394" s="50" t="s">
        <v>101</v>
      </c>
      <c r="Q394" s="50" t="s">
        <v>127</v>
      </c>
      <c r="R394" s="50">
        <v>15</v>
      </c>
      <c r="S394" s="161">
        <v>0</v>
      </c>
      <c r="T394" s="50">
        <v>15</v>
      </c>
      <c r="U394" s="50" t="s">
        <v>22</v>
      </c>
      <c r="V394" s="50"/>
      <c r="W394" s="50"/>
      <c r="X394" s="50"/>
      <c r="Y394" s="51">
        <f>IF(ISBLANK(O394),"",(IF(O394=UPPER("IB"),0.005,0.01)))</f>
        <v>0.01</v>
      </c>
      <c r="Z394" s="52">
        <f>IF(ISBLANK(O394),"",IF(O394="IB",8.63*200,IF(O394="IR",16*100,IF(O394="YT",20*100,IF(O394="YT-XT",24*200,IF(O394="TED",80*100,IF(O394="XT",29*200)))))))</f>
        <v>1600</v>
      </c>
      <c r="AA394" s="52" t="s">
        <v>177</v>
      </c>
      <c r="AB394" s="52"/>
      <c r="AC394" s="52" t="s">
        <v>1448</v>
      </c>
      <c r="AD394" s="231">
        <v>-0.02</v>
      </c>
      <c r="AE394" s="49"/>
      <c r="AF394" s="84"/>
      <c r="AG394" s="49"/>
      <c r="AH394" s="49"/>
      <c r="AI394" s="49"/>
      <c r="AJ394" s="226"/>
      <c r="AK394" s="49"/>
      <c r="AL394" s="113">
        <f t="shared" si="159"/>
        <v>-32</v>
      </c>
      <c r="AM394" s="113">
        <f t="shared" si="152"/>
        <v>-480</v>
      </c>
      <c r="AN394" s="218"/>
      <c r="AO394" s="49"/>
      <c r="AP394" s="49" t="s">
        <v>178</v>
      </c>
      <c r="AQ394" s="84" t="s">
        <v>142</v>
      </c>
      <c r="AR394" s="49" t="s">
        <v>1449</v>
      </c>
      <c r="AS394" s="55">
        <v>-0.02</v>
      </c>
      <c r="AT394" s="55">
        <f t="shared" si="156"/>
        <v>0</v>
      </c>
      <c r="AU394" s="54">
        <f t="shared" si="157"/>
        <v>0</v>
      </c>
      <c r="AV394" s="56">
        <f t="shared" si="160"/>
        <v>0</v>
      </c>
      <c r="AW394" s="57" t="s">
        <v>155</v>
      </c>
      <c r="AX394" s="153" t="s">
        <v>1450</v>
      </c>
      <c r="AY394" s="153" t="s">
        <v>839</v>
      </c>
      <c r="AZ394" s="153"/>
      <c r="BA394" s="153"/>
      <c r="BB394" s="153"/>
      <c r="BC394" s="153"/>
      <c r="BD394" s="151"/>
      <c r="BE394" s="152"/>
      <c r="BF394" s="151"/>
      <c r="BG394" s="94">
        <f>SUM($AV$4:AV394)</f>
        <v>1564.0086926764398</v>
      </c>
      <c r="BH394" s="95">
        <f>SUM($AU$4:AU394)</f>
        <v>31677.980000000094</v>
      </c>
      <c r="BI394" s="80">
        <f>SUMIFS($AU$3:AU395,$Q$3:Q395,"F")</f>
        <v>22308.400000000001</v>
      </c>
      <c r="BJ394" s="80">
        <f>SUMIFS($AU$3:AU395,$Q$3:Q395,"S")</f>
        <v>7951.9999999999909</v>
      </c>
      <c r="BK394" s="87">
        <f>SUMIFS($AU$3:AU395,$P$3:P395,"W")</f>
        <v>24429.580000000136</v>
      </c>
      <c r="BL394" s="87">
        <f>SUMIFS($AU$3:AU395,$P$3:P395,"R")</f>
        <v>6005.9999999998354</v>
      </c>
      <c r="BM394" s="87">
        <f>SUMIFS($AU$3:AU395,$AQ$3:AQ395,"M")</f>
        <v>5866.3799999996427</v>
      </c>
      <c r="BN394" s="87">
        <f>SUMIFS($AU$3:AU395,$AQ$3:AQ395,"H")</f>
        <v>5883.2000000002809</v>
      </c>
      <c r="BO394" s="87">
        <f>SUMIFS($AU$3:AU395,$AQ$3:AQ395,"D")</f>
        <v>8210</v>
      </c>
      <c r="BP394" s="87">
        <f>SUMIFS($AU$3:AU482,$AQ$3:AQ482,"W")</f>
        <v>12022.400000000001</v>
      </c>
      <c r="BQ394" s="87">
        <f>SUMIFS($AU$3:AU395,$Q$3:Q395,"O")</f>
        <v>1473.5799999999435</v>
      </c>
      <c r="BR394" s="87">
        <f>SUMIFS($AU$3:AU395,$AA$3:AA395,"*")</f>
        <v>23718.799999999817</v>
      </c>
      <c r="BS394" s="87">
        <f>SUMIFS($AU$3:AU395,$AB$3:AB395,"*")</f>
        <v>6615.1799999999312</v>
      </c>
      <c r="BT394" s="87">
        <f>SUMIFS($AU$3:AU395,$AC$3:AC395,"*")</f>
        <v>18548.400000000001</v>
      </c>
      <c r="BU394" s="87">
        <f>SUMIFS($AU$3:AU395,$AA$3:AA395,"*",$AB$3:AB395,"*")</f>
        <v>4079.9999999998217</v>
      </c>
      <c r="BV394" s="87">
        <f>SUMIFS($AU$3:AU395,$AA$3:AA395,"*",$AC$3:AC395,"*")</f>
        <v>13444.4</v>
      </c>
      <c r="BW394" s="87">
        <f>SUMIFS($AU$3:AU395,$AB$3:AB395,"*",$AC$3:AC395,"*")</f>
        <v>3279.9999999999982</v>
      </c>
      <c r="BX394" s="87">
        <f>SUMIFS($AV$3:AV395,$Q$3:Q395,"F")</f>
        <v>396.19230875404793</v>
      </c>
      <c r="BY394" s="87">
        <f>SUMIFS($AV$3:AV395,$Q$3:Q395,"S")</f>
        <v>433.77638392253397</v>
      </c>
      <c r="BZ394" s="87">
        <f>SUMIFS($AV$3:AV395,$Q$3:Q395,"O")</f>
        <v>554.03999999983603</v>
      </c>
    </row>
    <row r="395" spans="1:78" ht="15.75" customHeight="1">
      <c r="A395" s="45" t="s">
        <v>1310</v>
      </c>
      <c r="B395" s="59">
        <v>45392</v>
      </c>
      <c r="C395" s="46" t="s">
        <v>1397</v>
      </c>
      <c r="D395" s="46" t="s">
        <v>186</v>
      </c>
      <c r="E395" s="66"/>
      <c r="F395" s="47"/>
      <c r="G395" s="48" t="s">
        <v>1451</v>
      </c>
      <c r="H395" s="49"/>
      <c r="I395" s="49"/>
      <c r="J395" s="49"/>
      <c r="K395" s="50"/>
      <c r="L395" s="49">
        <v>1</v>
      </c>
      <c r="M395" s="49"/>
      <c r="N395" s="49"/>
      <c r="O395" s="50" t="s">
        <v>100</v>
      </c>
      <c r="P395" s="50" t="s">
        <v>126</v>
      </c>
      <c r="Q395" s="50" t="s">
        <v>198</v>
      </c>
      <c r="R395" s="50">
        <v>10</v>
      </c>
      <c r="S395" s="161">
        <v>0</v>
      </c>
      <c r="T395" s="50">
        <v>10</v>
      </c>
      <c r="U395" s="50" t="s">
        <v>102</v>
      </c>
      <c r="V395" s="50"/>
      <c r="W395" s="50"/>
      <c r="X395" s="50"/>
      <c r="Y395" s="51">
        <f>IF(ISBLANK(O395),"",(IF(O395=UPPER("IB"),0.005,0.01)))</f>
        <v>0.01</v>
      </c>
      <c r="Z395" s="52">
        <f>IF(ISBLANK(O395),"",IF(O395="IB",8.63*200,IF(O395="IR",16*100,IF(O395="YT",20*100,IF(O395="YT-XT",24*200,IF(O395="TED",80*100,IF(O395="XT",29*200)))))))</f>
        <v>1600</v>
      </c>
      <c r="AA395" s="52" t="s">
        <v>1452</v>
      </c>
      <c r="AB395" s="52"/>
      <c r="AC395" s="52"/>
      <c r="AD395" s="231">
        <v>96.27</v>
      </c>
      <c r="AE395" s="49"/>
      <c r="AF395" s="84"/>
      <c r="AG395" s="49"/>
      <c r="AH395" s="49"/>
      <c r="AI395" s="49"/>
      <c r="AJ395" s="226"/>
      <c r="AK395" s="49"/>
      <c r="AL395" s="113">
        <f t="shared" ref="AL395:AL397" si="161">-0.02*Z395</f>
        <v>-32</v>
      </c>
      <c r="AM395" s="113">
        <f t="shared" si="152"/>
        <v>-320</v>
      </c>
      <c r="AN395" s="218"/>
      <c r="AO395" s="49"/>
      <c r="AP395" s="49" t="s">
        <v>1175</v>
      </c>
      <c r="AQ395" s="84" t="s">
        <v>142</v>
      </c>
      <c r="AR395" s="49" t="s">
        <v>1453</v>
      </c>
      <c r="AS395" s="55">
        <v>96.29</v>
      </c>
      <c r="AT395" s="55">
        <f t="shared" si="156"/>
        <v>-2.0000000000010232E-2</v>
      </c>
      <c r="AU395" s="54">
        <f t="shared" si="157"/>
        <v>-320.00000000016371</v>
      </c>
      <c r="AV395" s="56">
        <f t="shared" si="160"/>
        <v>-32.000000000016371</v>
      </c>
      <c r="AW395" s="57" t="s">
        <v>121</v>
      </c>
      <c r="AX395" s="153" t="s">
        <v>1454</v>
      </c>
      <c r="AY395" s="153" t="s">
        <v>1455</v>
      </c>
      <c r="AZ395" s="153"/>
      <c r="BA395" s="153"/>
      <c r="BB395" s="153"/>
      <c r="BC395" s="153"/>
      <c r="BD395" s="151"/>
      <c r="BE395" s="152"/>
      <c r="BF395" s="151"/>
      <c r="BG395" s="94">
        <f>SUM($AV$4:AV395)</f>
        <v>1532.0086926764234</v>
      </c>
      <c r="BH395" s="95">
        <f>SUM($AU$4:AU395)</f>
        <v>31357.97999999993</v>
      </c>
      <c r="BI395" s="80">
        <f>SUMIFS($AU$3:AU396,$Q$3:Q396,"F")</f>
        <v>22308.400000000001</v>
      </c>
      <c r="BJ395" s="80">
        <f>SUMIFS($AU$3:AU396,$Q$3:Q396,"S")</f>
        <v>7951.9999999999909</v>
      </c>
      <c r="BK395" s="87">
        <f>SUMIFS($AU$3:AU396,$P$3:P396,"W")</f>
        <v>24429.580000000136</v>
      </c>
      <c r="BL395" s="87">
        <f>SUMIFS($AU$3:AU396,$P$3:P396,"R")</f>
        <v>6005.9999999998354</v>
      </c>
      <c r="BM395" s="87">
        <f>SUMIFS($AU$3:AU396,$AQ$3:AQ396,"M")</f>
        <v>5866.3799999996427</v>
      </c>
      <c r="BN395" s="87">
        <f>SUMIFS($AU$3:AU396,$AQ$3:AQ396,"H")</f>
        <v>5883.2000000002809</v>
      </c>
      <c r="BO395" s="87">
        <f>SUMIFS($AU$3:AU396,$AQ$3:AQ396,"D")</f>
        <v>8210</v>
      </c>
      <c r="BP395" s="87">
        <f>SUMIFS($AU$3:AU483,$AQ$3:AQ483,"W")</f>
        <v>12022.400000000001</v>
      </c>
      <c r="BQ395" s="87">
        <f>SUMIFS($AU$3:AU396,$Q$3:Q396,"O")</f>
        <v>1473.5799999999435</v>
      </c>
      <c r="BR395" s="87">
        <f>SUMIFS($AU$3:AU396,$AA$3:AA396,"*")</f>
        <v>23718.799999999817</v>
      </c>
      <c r="BS395" s="87">
        <f>SUMIFS($AU$3:AU396,$AB$3:AB396,"*")</f>
        <v>6615.1799999999312</v>
      </c>
      <c r="BT395" s="87">
        <f>SUMIFS($AU$3:AU396,$AC$3:AC396,"*")</f>
        <v>18548.400000000001</v>
      </c>
      <c r="BU395" s="87">
        <f>SUMIFS($AU$3:AU396,$AA$3:AA396,"*",$AB$3:AB396,"*")</f>
        <v>4079.9999999998217</v>
      </c>
      <c r="BV395" s="87">
        <f>SUMIFS($AU$3:AU396,$AA$3:AA396,"*",$AC$3:AC396,"*")</f>
        <v>13444.4</v>
      </c>
      <c r="BW395" s="87">
        <f>SUMIFS($AU$3:AU396,$AB$3:AB396,"*",$AC$3:AC396,"*")</f>
        <v>3279.9999999999982</v>
      </c>
      <c r="BX395" s="87">
        <f>SUMIFS($AV$3:AV396,$Q$3:Q396,"F")</f>
        <v>396.19230875404793</v>
      </c>
      <c r="BY395" s="87">
        <f>SUMIFS($AV$3:AV396,$Q$3:Q396,"S")</f>
        <v>433.77638392253397</v>
      </c>
      <c r="BZ395" s="87">
        <f>SUMIFS($AV$3:AV396,$Q$3:Q396,"O")</f>
        <v>554.03999999983603</v>
      </c>
    </row>
    <row r="396" spans="1:78" ht="15.75" customHeight="1">
      <c r="A396" s="45" t="s">
        <v>1310</v>
      </c>
      <c r="B396" s="59">
        <v>45392</v>
      </c>
      <c r="C396" s="46" t="s">
        <v>871</v>
      </c>
      <c r="D396" s="46" t="s">
        <v>186</v>
      </c>
      <c r="E396" s="66" t="s">
        <v>1456</v>
      </c>
      <c r="F396" s="47"/>
      <c r="G396" s="48"/>
      <c r="H396" s="49"/>
      <c r="I396" s="49"/>
      <c r="J396" s="49"/>
      <c r="K396" s="50"/>
      <c r="L396" s="49"/>
      <c r="M396" s="49"/>
      <c r="N396" s="49"/>
      <c r="O396" s="50"/>
      <c r="P396" s="50"/>
      <c r="Q396" s="50"/>
      <c r="R396" s="50"/>
      <c r="S396" s="50"/>
      <c r="T396" s="50"/>
      <c r="U396" s="50"/>
      <c r="V396" s="50"/>
      <c r="W396" s="50"/>
      <c r="X396" s="50"/>
      <c r="Y396" s="50"/>
      <c r="Z396" s="50"/>
      <c r="AA396" s="52"/>
      <c r="AB396" s="52"/>
      <c r="AC396" s="52"/>
      <c r="AD396" s="231"/>
      <c r="AE396" s="49"/>
      <c r="AF396" s="84"/>
      <c r="AG396" s="49"/>
      <c r="AH396" s="49"/>
      <c r="AI396" s="49"/>
      <c r="AJ396" s="226"/>
      <c r="AK396" s="49"/>
      <c r="AL396" s="113">
        <f t="shared" si="161"/>
        <v>0</v>
      </c>
      <c r="AM396" s="113">
        <f t="shared" si="152"/>
        <v>0</v>
      </c>
      <c r="AN396" s="218"/>
      <c r="AO396" s="49"/>
      <c r="AP396" s="49"/>
      <c r="AQ396" s="84" t="str">
        <f>UPPER(RIGHT(Journal_Live[[#This Row],[DURATION ]]))</f>
        <v/>
      </c>
      <c r="AR396" s="49"/>
      <c r="AS396" s="55"/>
      <c r="AT396" s="55"/>
      <c r="AU396" s="54"/>
      <c r="AV396" s="56"/>
      <c r="AW396" s="57"/>
      <c r="AX396" s="153"/>
      <c r="AY396" s="153"/>
      <c r="AZ396" s="153"/>
      <c r="BA396" s="153"/>
      <c r="BB396" s="153"/>
      <c r="BC396" s="153"/>
      <c r="BD396" s="151"/>
      <c r="BE396" s="152"/>
      <c r="BF396" s="151"/>
      <c r="BG396" s="94">
        <f>SUM($AV$4:AV396)</f>
        <v>1532.0086926764234</v>
      </c>
      <c r="BH396" s="95">
        <f>SUM($AU$4:AU396)</f>
        <v>31357.97999999993</v>
      </c>
      <c r="BI396" s="80">
        <f>SUMIFS($AU$3:AU397,$Q$3:Q397,"F")</f>
        <v>22308.400000000001</v>
      </c>
      <c r="BJ396" s="80">
        <f>SUMIFS($AU$3:AU397,$Q$3:Q397,"S")</f>
        <v>7951.9999999999909</v>
      </c>
      <c r="BK396" s="87">
        <f>SUMIFS($AU$3:AU397,$P$3:P397,"W")</f>
        <v>24429.580000000136</v>
      </c>
      <c r="BL396" s="87">
        <f>SUMIFS($AU$3:AU397,$P$3:P397,"R")</f>
        <v>6005.9999999998354</v>
      </c>
      <c r="BM396" s="87">
        <f>SUMIFS($AU$3:AU397,$AQ$3:AQ397,"M")</f>
        <v>5866.3799999996427</v>
      </c>
      <c r="BN396" s="87">
        <f>SUMIFS($AU$3:AU397,$AQ$3:AQ397,"H")</f>
        <v>5883.2000000002809</v>
      </c>
      <c r="BO396" s="87">
        <f>SUMIFS($AU$3:AU397,$AQ$3:AQ397,"D")</f>
        <v>8210</v>
      </c>
      <c r="BP396" s="87">
        <f>SUMIFS($AU$3:AU484,$AQ$3:AQ484,"W")</f>
        <v>12022.400000000001</v>
      </c>
      <c r="BQ396" s="87">
        <f>SUMIFS($AU$3:AU397,$Q$3:Q397,"O")</f>
        <v>1473.5799999999435</v>
      </c>
      <c r="BR396" s="87">
        <f>SUMIFS($AU$3:AU397,$AA$3:AA397,"*")</f>
        <v>23718.799999999817</v>
      </c>
      <c r="BS396" s="87">
        <f>SUMIFS($AU$3:AU397,$AB$3:AB397,"*")</f>
        <v>6615.1799999999312</v>
      </c>
      <c r="BT396" s="87">
        <f>SUMIFS($AU$3:AU397,$AC$3:AC397,"*")</f>
        <v>18548.400000000001</v>
      </c>
      <c r="BU396" s="87">
        <f>SUMIFS($AU$3:AU397,$AA$3:AA397,"*",$AB$3:AB397,"*")</f>
        <v>4079.9999999998217</v>
      </c>
      <c r="BV396" s="87">
        <f>SUMIFS($AU$3:AU397,$AA$3:AA397,"*",$AC$3:AC397,"*")</f>
        <v>13444.4</v>
      </c>
      <c r="BW396" s="87">
        <f>SUMIFS($AU$3:AU397,$AB$3:AB397,"*",$AC$3:AC397,"*")</f>
        <v>3279.9999999999982</v>
      </c>
      <c r="BX396" s="87">
        <f>SUMIFS($AV$3:AV397,$Q$3:Q397,"F")</f>
        <v>396.19230875404793</v>
      </c>
      <c r="BY396" s="87">
        <f>SUMIFS($AV$3:AV397,$Q$3:Q397,"S")</f>
        <v>433.77638392253397</v>
      </c>
      <c r="BZ396" s="87">
        <f>SUMIFS($AV$3:AV397,$Q$3:Q397,"O")</f>
        <v>554.03999999983603</v>
      </c>
    </row>
    <row r="397" spans="1:78" ht="15.75" customHeight="1">
      <c r="A397" s="45" t="s">
        <v>1310</v>
      </c>
      <c r="B397" s="59"/>
      <c r="C397" s="46"/>
      <c r="D397" s="46"/>
      <c r="E397" s="66" t="s">
        <v>1457</v>
      </c>
      <c r="F397" s="47"/>
      <c r="G397" s="48"/>
      <c r="H397" s="49"/>
      <c r="I397" s="49"/>
      <c r="J397" s="49"/>
      <c r="K397" s="50"/>
      <c r="L397" s="49"/>
      <c r="M397" s="49"/>
      <c r="N397" s="49"/>
      <c r="O397" s="50"/>
      <c r="P397" s="50"/>
      <c r="Q397" s="50"/>
      <c r="R397" s="50"/>
      <c r="S397" s="50"/>
      <c r="T397" s="50"/>
      <c r="U397" s="50"/>
      <c r="V397" s="50"/>
      <c r="W397" s="50"/>
      <c r="X397" s="50"/>
      <c r="Y397" s="50"/>
      <c r="Z397" s="50"/>
      <c r="AA397" s="52"/>
      <c r="AB397" s="52"/>
      <c r="AC397" s="52"/>
      <c r="AD397" s="231"/>
      <c r="AE397" s="49"/>
      <c r="AF397" s="84"/>
      <c r="AG397" s="49"/>
      <c r="AH397" s="49"/>
      <c r="AI397" s="49"/>
      <c r="AJ397" s="226"/>
      <c r="AK397" s="49"/>
      <c r="AL397" s="113">
        <f t="shared" si="161"/>
        <v>0</v>
      </c>
      <c r="AM397" s="113">
        <f t="shared" si="152"/>
        <v>0</v>
      </c>
      <c r="AN397" s="218"/>
      <c r="AO397" s="49"/>
      <c r="AP397" s="49"/>
      <c r="AQ397" s="84" t="str">
        <f>UPPER(RIGHT(Journal_Live[[#This Row],[DURATION ]]))</f>
        <v/>
      </c>
      <c r="AR397" s="49"/>
      <c r="AS397" s="55"/>
      <c r="AT397" s="55"/>
      <c r="AU397" s="54"/>
      <c r="AV397" s="56"/>
      <c r="AW397" s="57"/>
      <c r="AX397" s="153"/>
      <c r="AY397" s="153"/>
      <c r="AZ397" s="153"/>
      <c r="BA397" s="153"/>
      <c r="BB397" s="153"/>
      <c r="BC397" s="153"/>
      <c r="BD397" s="151"/>
      <c r="BE397" s="152"/>
      <c r="BF397" s="151"/>
      <c r="BG397" s="94">
        <f>SUM($AV$4:AV397)</f>
        <v>1532.0086926764234</v>
      </c>
      <c r="BH397" s="95">
        <f>SUM($AU$4:AU397)</f>
        <v>31357.97999999993</v>
      </c>
      <c r="BI397" s="80">
        <f>SUMIFS($AU$3:AU398,$Q$3:Q398,"F")</f>
        <v>22308.400000000001</v>
      </c>
      <c r="BJ397" s="80">
        <f>SUMIFS($AU$3:AU398,$Q$3:Q398,"S")</f>
        <v>7951.9999999999909</v>
      </c>
      <c r="BK397" s="87">
        <f>SUMIFS($AU$3:AU398,$P$3:P398,"W")</f>
        <v>24429.580000000136</v>
      </c>
      <c r="BL397" s="87">
        <f>SUMIFS($AU$3:AU398,$P$3:P398,"R")</f>
        <v>6005.9999999998354</v>
      </c>
      <c r="BM397" s="87">
        <f>SUMIFS($AU$3:AU398,$AQ$3:AQ398,"M")</f>
        <v>5866.3799999996427</v>
      </c>
      <c r="BN397" s="87">
        <f>SUMIFS($AU$3:AU398,$AQ$3:AQ398,"H")</f>
        <v>5883.2000000002809</v>
      </c>
      <c r="BO397" s="87">
        <f>SUMIFS($AU$3:AU398,$AQ$3:AQ398,"D")</f>
        <v>8210</v>
      </c>
      <c r="BP397" s="87">
        <f>SUMIFS($AU$3:AU485,$AQ$3:AQ485,"W")</f>
        <v>12022.400000000001</v>
      </c>
      <c r="BQ397" s="87">
        <f>SUMIFS($AU$3:AU398,$Q$3:Q398,"O")</f>
        <v>1473.5799999999435</v>
      </c>
      <c r="BR397" s="87">
        <f>SUMIFS($AU$3:AU398,$AA$3:AA398,"*")</f>
        <v>23718.799999999817</v>
      </c>
      <c r="BS397" s="87">
        <f>SUMIFS($AU$3:AU398,$AB$3:AB398,"*")</f>
        <v>6615.1799999999312</v>
      </c>
      <c r="BT397" s="87">
        <f>SUMIFS($AU$3:AU398,$AC$3:AC398,"*")</f>
        <v>18548.400000000001</v>
      </c>
      <c r="BU397" s="87">
        <f>SUMIFS($AU$3:AU398,$AA$3:AA398,"*",$AB$3:AB398,"*")</f>
        <v>4079.9999999998217</v>
      </c>
      <c r="BV397" s="87">
        <f>SUMIFS($AU$3:AU398,$AA$3:AA398,"*",$AC$3:AC398,"*")</f>
        <v>13444.4</v>
      </c>
      <c r="BW397" s="87">
        <f>SUMIFS($AU$3:AU398,$AB$3:AB398,"*",$AC$3:AC398,"*")</f>
        <v>3279.9999999999982</v>
      </c>
      <c r="BX397" s="87">
        <f>SUMIFS($AV$3:AV398,$Q$3:Q398,"F")</f>
        <v>396.19230875404793</v>
      </c>
      <c r="BY397" s="87">
        <f>SUMIFS($AV$3:AV398,$Q$3:Q398,"S")</f>
        <v>433.77638392253397</v>
      </c>
      <c r="BZ397" s="87">
        <f>SUMIFS($AV$3:AV398,$Q$3:Q398,"O")</f>
        <v>554.03999999983603</v>
      </c>
    </row>
    <row r="398" spans="1:78" ht="15.75" customHeight="1">
      <c r="A398" s="45" t="s">
        <v>1310</v>
      </c>
      <c r="B398" s="59"/>
      <c r="C398" s="46"/>
      <c r="D398" s="46"/>
      <c r="E398" s="66" t="s">
        <v>1458</v>
      </c>
      <c r="F398" s="47"/>
      <c r="G398" s="48"/>
      <c r="H398" s="49"/>
      <c r="I398" s="49"/>
      <c r="J398" s="49"/>
      <c r="K398" s="50"/>
      <c r="L398" s="49"/>
      <c r="M398" s="49"/>
      <c r="N398" s="49"/>
      <c r="O398" s="50"/>
      <c r="P398" s="50"/>
      <c r="Q398" s="50"/>
      <c r="R398" s="50"/>
      <c r="S398" s="50"/>
      <c r="T398" s="50"/>
      <c r="U398" s="50"/>
      <c r="V398" s="50"/>
      <c r="W398" s="50"/>
      <c r="X398" s="50"/>
      <c r="Y398" s="50"/>
      <c r="Z398" s="50"/>
      <c r="AA398" s="52"/>
      <c r="AB398" s="52"/>
      <c r="AC398" s="52"/>
      <c r="AD398" s="231"/>
      <c r="AE398" s="49"/>
      <c r="AF398" s="84"/>
      <c r="AG398" s="49"/>
      <c r="AH398" s="49"/>
      <c r="AI398" s="49"/>
      <c r="AJ398" s="226"/>
      <c r="AK398" s="49"/>
      <c r="AL398" s="113">
        <f t="shared" si="159"/>
        <v>0</v>
      </c>
      <c r="AM398" s="113">
        <f t="shared" si="152"/>
        <v>0</v>
      </c>
      <c r="AN398" s="218"/>
      <c r="AO398" s="49"/>
      <c r="AP398" s="49"/>
      <c r="AQ398" s="84" t="str">
        <f>UPPER(RIGHT(Journal_Live[[#This Row],[DURATION ]]))</f>
        <v/>
      </c>
      <c r="AR398" s="49"/>
      <c r="AS398" s="55"/>
      <c r="AT398" s="55"/>
      <c r="AU398" s="54"/>
      <c r="AV398" s="56"/>
      <c r="AW398" s="57"/>
      <c r="AX398" s="153"/>
      <c r="AY398" s="153"/>
      <c r="AZ398" s="153"/>
      <c r="BA398" s="153"/>
      <c r="BB398" s="153"/>
      <c r="BC398" s="153"/>
      <c r="BD398" s="151"/>
      <c r="BE398" s="152"/>
      <c r="BF398" s="151"/>
      <c r="BG398" s="94">
        <f>SUM($AV$4:AV398)</f>
        <v>1532.0086926764234</v>
      </c>
      <c r="BH398" s="95">
        <f>SUM($AU$4:AU398)</f>
        <v>31357.97999999993</v>
      </c>
      <c r="BI398" s="80">
        <f>SUMIFS($AU$3:AU399,$Q$3:Q399,"F")</f>
        <v>22308.400000000001</v>
      </c>
      <c r="BJ398" s="80">
        <f>SUMIFS($AU$3:AU399,$Q$3:Q399,"S")</f>
        <v>7951.9999999999909</v>
      </c>
      <c r="BK398" s="87">
        <f>SUMIFS($AU$3:AU399,$P$3:P399,"W")</f>
        <v>24429.580000000136</v>
      </c>
      <c r="BL398" s="87">
        <f>SUMIFS($AU$3:AU399,$P$3:P399,"R")</f>
        <v>6305.9999999998354</v>
      </c>
      <c r="BM398" s="87">
        <f>SUMIFS($AU$3:AU399,$AQ$3:AQ399,"M")</f>
        <v>6166.3799999996427</v>
      </c>
      <c r="BN398" s="87">
        <f>SUMIFS($AU$3:AU399,$AQ$3:AQ399,"H")</f>
        <v>5883.2000000002809</v>
      </c>
      <c r="BO398" s="87">
        <f>SUMIFS($AU$3:AU399,$AQ$3:AQ399,"D")</f>
        <v>8210</v>
      </c>
      <c r="BP398" s="87">
        <f>SUMIFS($AU$3:AU486,$AQ$3:AQ486,"W")</f>
        <v>12022.400000000001</v>
      </c>
      <c r="BQ398" s="87">
        <f>SUMIFS($AU$3:AU399,$Q$3:Q399,"O")</f>
        <v>1473.5799999999435</v>
      </c>
      <c r="BR398" s="87">
        <f>SUMIFS($AU$3:AU399,$AA$3:AA399,"*")</f>
        <v>24018.799999999817</v>
      </c>
      <c r="BS398" s="87">
        <f>SUMIFS($AU$3:AU399,$AB$3:AB399,"*")</f>
        <v>6615.1799999999312</v>
      </c>
      <c r="BT398" s="87">
        <f>SUMIFS($AU$3:AU399,$AC$3:AC399,"*")</f>
        <v>18548.400000000001</v>
      </c>
      <c r="BU398" s="87">
        <f>SUMIFS($AU$3:AU399,$AA$3:AA399,"*",$AB$3:AB399,"*")</f>
        <v>4079.9999999998217</v>
      </c>
      <c r="BV398" s="87">
        <f>SUMIFS($AU$3:AU399,$AA$3:AA399,"*",$AC$3:AC399,"*")</f>
        <v>13444.4</v>
      </c>
      <c r="BW398" s="87">
        <f>SUMIFS($AU$3:AU399,$AB$3:AB399,"*",$AC$3:AC399,"*")</f>
        <v>3279.9999999999982</v>
      </c>
      <c r="BX398" s="87">
        <f>SUMIFS($AV$3:AV399,$Q$3:Q399,"F")</f>
        <v>396.19230875404793</v>
      </c>
      <c r="BY398" s="87">
        <f>SUMIFS($AV$3:AV399,$Q$3:Q399,"S")</f>
        <v>433.77638392253397</v>
      </c>
      <c r="BZ398" s="87">
        <f>SUMIFS($AV$3:AV399,$Q$3:Q399,"O")</f>
        <v>554.03999999983603</v>
      </c>
    </row>
    <row r="399" spans="1:78" ht="15.75" customHeight="1">
      <c r="A399" s="45" t="s">
        <v>1310</v>
      </c>
      <c r="B399" s="59">
        <v>45392</v>
      </c>
      <c r="C399" s="46" t="s">
        <v>147</v>
      </c>
      <c r="D399" s="46" t="s">
        <v>186</v>
      </c>
      <c r="E399" s="66"/>
      <c r="F399" s="47"/>
      <c r="G399" s="163" t="s">
        <v>1422</v>
      </c>
      <c r="H399" s="49"/>
      <c r="I399" s="49"/>
      <c r="J399" s="49"/>
      <c r="K399" s="50"/>
      <c r="L399" s="49"/>
      <c r="M399" s="49">
        <v>1</v>
      </c>
      <c r="N399" s="49"/>
      <c r="O399" s="50" t="s">
        <v>740</v>
      </c>
      <c r="P399" s="50" t="s">
        <v>126</v>
      </c>
      <c r="Q399" s="50"/>
      <c r="R399" s="50">
        <v>1</v>
      </c>
      <c r="S399" s="50">
        <v>0</v>
      </c>
      <c r="T399" s="50">
        <v>1</v>
      </c>
      <c r="U399" s="50" t="s">
        <v>22</v>
      </c>
      <c r="V399" s="50"/>
      <c r="W399" s="50"/>
      <c r="X399" s="50"/>
      <c r="Y399" s="51">
        <f t="shared" ref="Y399:Y406" si="162">IF(ISBLANK(O399),"",(IF(O399=UPPER("IB"),0.005,0.01)))</f>
        <v>0.01</v>
      </c>
      <c r="Z399" s="52">
        <f>IF(ISBLANK(O399),"",IF(O399="IB",8.63*200,IF(O399="IR",16*100,IF(O399="YT",20*100,IF(O399="YT-XT",24*200,IF(O399="TED",80*100,IF(O399="IR|YT",300*100)))))))</f>
        <v>30000</v>
      </c>
      <c r="AA399" s="52" t="s">
        <v>1374</v>
      </c>
      <c r="AB399" s="52"/>
      <c r="AC399" s="52"/>
      <c r="AD399" s="231">
        <v>-0.11</v>
      </c>
      <c r="AE399" s="49"/>
      <c r="AF399" s="84"/>
      <c r="AG399" s="49"/>
      <c r="AH399" s="49"/>
      <c r="AI399" s="49"/>
      <c r="AJ399" s="226"/>
      <c r="AK399" s="49"/>
      <c r="AL399" s="113">
        <f t="shared" si="159"/>
        <v>-600</v>
      </c>
      <c r="AM399" s="113">
        <f t="shared" si="152"/>
        <v>-600</v>
      </c>
      <c r="AN399" s="218"/>
      <c r="AO399" s="49"/>
      <c r="AP399" s="49" t="s">
        <v>1459</v>
      </c>
      <c r="AQ399" s="84" t="s">
        <v>350</v>
      </c>
      <c r="AR399" s="49"/>
      <c r="AS399" s="55">
        <v>-0.1</v>
      </c>
      <c r="AT399" s="55">
        <f t="shared" ref="AT399:AT406" si="163">IF(ISBLANK(AS399),,IF(U399="S",AD399-AS399,AS399-AD399))</f>
        <v>9.999999999999995E-3</v>
      </c>
      <c r="AU399" s="54">
        <f t="shared" ref="AU399:AU406" si="164">AV399*R399</f>
        <v>299.99999999999983</v>
      </c>
      <c r="AV399" s="56">
        <f t="shared" ref="AV399" si="165">IF(ISBLANK(AS399),,(AT399*Z399))</f>
        <v>299.99999999999983</v>
      </c>
      <c r="AW399" s="57" t="s">
        <v>101</v>
      </c>
      <c r="AX399" s="153" t="s">
        <v>1460</v>
      </c>
      <c r="AY399" s="153"/>
      <c r="AZ399" s="153"/>
      <c r="BA399" s="153"/>
      <c r="BB399" s="153"/>
      <c r="BC399" s="153"/>
      <c r="BD399" s="151"/>
      <c r="BE399" s="152"/>
      <c r="BF399" s="151"/>
      <c r="BG399" s="94">
        <f>SUM($AV$4:AV399)</f>
        <v>1832.0086926764232</v>
      </c>
      <c r="BH399" s="95">
        <f>SUM($AU$4:AU399)</f>
        <v>31657.97999999993</v>
      </c>
      <c r="BI399" s="80">
        <f>SUMIFS($AU$3:AU400,$Q$3:Q400,"F")</f>
        <v>22308.400000000001</v>
      </c>
      <c r="BJ399" s="80">
        <f>SUMIFS($AU$3:AU400,$Q$3:Q400,"S")</f>
        <v>7951.9999999999909</v>
      </c>
      <c r="BK399" s="87">
        <f>SUMIFS($AU$3:AU400,$P$3:P400,"W")</f>
        <v>24429.580000000136</v>
      </c>
      <c r="BL399" s="87">
        <f>SUMIFS($AU$3:AU400,$P$3:P400,"R")</f>
        <v>6605.9999999998354</v>
      </c>
      <c r="BM399" s="87">
        <f>SUMIFS($AU$3:AU400,$AQ$3:AQ400,"M")</f>
        <v>6466.3799999996427</v>
      </c>
      <c r="BN399" s="87">
        <f>SUMIFS($AU$3:AU400,$AQ$3:AQ400,"H")</f>
        <v>5883.2000000002809</v>
      </c>
      <c r="BO399" s="87">
        <f>SUMIFS($AU$3:AU400,$AQ$3:AQ400,"D")</f>
        <v>8210</v>
      </c>
      <c r="BP399" s="87">
        <f>SUMIFS($AU$3:AU487,$AQ$3:AQ487,"W")</f>
        <v>12022.400000000001</v>
      </c>
      <c r="BQ399" s="87">
        <f>SUMIFS($AU$3:AU400,$Q$3:Q400,"O")</f>
        <v>1473.5799999999435</v>
      </c>
      <c r="BR399" s="87">
        <f>SUMIFS($AU$3:AU400,$AA$3:AA400,"*")</f>
        <v>24318.799999999817</v>
      </c>
      <c r="BS399" s="87">
        <f>SUMIFS($AU$3:AU400,$AB$3:AB400,"*")</f>
        <v>6615.1799999999312</v>
      </c>
      <c r="BT399" s="87">
        <f>SUMIFS($AU$3:AU400,$AC$3:AC400,"*")</f>
        <v>18548.400000000001</v>
      </c>
      <c r="BU399" s="87">
        <f>SUMIFS($AU$3:AU400,$AA$3:AA400,"*",$AB$3:AB400,"*")</f>
        <v>4079.9999999998217</v>
      </c>
      <c r="BV399" s="87">
        <f>SUMIFS($AU$3:AU400,$AA$3:AA400,"*",$AC$3:AC400,"*")</f>
        <v>13444.4</v>
      </c>
      <c r="BW399" s="87">
        <f>SUMIFS($AU$3:AU400,$AB$3:AB400,"*",$AC$3:AC400,"*")</f>
        <v>3279.9999999999982</v>
      </c>
      <c r="BX399" s="87">
        <f>SUMIFS($AV$3:AV400,$Q$3:Q400,"F")</f>
        <v>396.19230875404793</v>
      </c>
      <c r="BY399" s="87">
        <f>SUMIFS($AV$3:AV400,$Q$3:Q400,"S")</f>
        <v>433.77638392253397</v>
      </c>
      <c r="BZ399" s="87">
        <f>SUMIFS($AV$3:AV400,$Q$3:Q400,"O")</f>
        <v>554.03999999983603</v>
      </c>
    </row>
    <row r="400" spans="1:78" ht="15.75" customHeight="1">
      <c r="A400" s="45" t="s">
        <v>1310</v>
      </c>
      <c r="B400" s="59">
        <v>45392</v>
      </c>
      <c r="C400" s="46" t="s">
        <v>147</v>
      </c>
      <c r="D400" s="46" t="s">
        <v>186</v>
      </c>
      <c r="E400" s="66"/>
      <c r="F400" s="47"/>
      <c r="G400" s="163" t="s">
        <v>1461</v>
      </c>
      <c r="H400" s="49"/>
      <c r="I400" s="49"/>
      <c r="J400" s="49"/>
      <c r="K400" s="50"/>
      <c r="L400" s="49"/>
      <c r="M400" s="49">
        <v>1</v>
      </c>
      <c r="N400" s="49"/>
      <c r="O400" s="50" t="s">
        <v>740</v>
      </c>
      <c r="P400" s="50" t="s">
        <v>126</v>
      </c>
      <c r="Q400" s="50"/>
      <c r="R400" s="50">
        <v>1</v>
      </c>
      <c r="S400" s="50">
        <v>0</v>
      </c>
      <c r="T400" s="50">
        <v>1</v>
      </c>
      <c r="U400" s="50" t="s">
        <v>22</v>
      </c>
      <c r="V400" s="50"/>
      <c r="W400" s="50"/>
      <c r="X400" s="50"/>
      <c r="Y400" s="51">
        <f t="shared" si="162"/>
        <v>0.01</v>
      </c>
      <c r="Z400" s="52">
        <f>IF(ISBLANK(O400),"",IF(O400="IB",8.63*200,IF(O400="IR",16*100,IF(O400="YT",20*100,IF(O400="YT-XT",24*200,IF(O400="TED",80*100,IF(O400="IR|YT",300*100)))))))</f>
        <v>30000</v>
      </c>
      <c r="AA400" s="52" t="s">
        <v>1462</v>
      </c>
      <c r="AB400" s="52"/>
      <c r="AC400" s="52"/>
      <c r="AD400" s="231">
        <v>-0.03</v>
      </c>
      <c r="AE400" s="49"/>
      <c r="AF400" s="84"/>
      <c r="AG400" s="49"/>
      <c r="AH400" s="49"/>
      <c r="AI400" s="49"/>
      <c r="AJ400" s="226"/>
      <c r="AK400" s="49"/>
      <c r="AL400" s="113">
        <f t="shared" ref="AL400" si="166">-0.02*Z400</f>
        <v>-600</v>
      </c>
      <c r="AM400" s="113">
        <f t="shared" si="152"/>
        <v>-600</v>
      </c>
      <c r="AN400" s="218"/>
      <c r="AO400" s="49"/>
      <c r="AP400" s="49" t="s">
        <v>1459</v>
      </c>
      <c r="AQ400" s="84" t="s">
        <v>350</v>
      </c>
      <c r="AR400" s="49"/>
      <c r="AS400" s="55">
        <v>-0.02</v>
      </c>
      <c r="AT400" s="55">
        <f t="shared" si="163"/>
        <v>9.9999999999999985E-3</v>
      </c>
      <c r="AU400" s="54">
        <f t="shared" si="164"/>
        <v>299.99999999999994</v>
      </c>
      <c r="AV400" s="56">
        <f t="shared" ref="AV400" si="167">IF(ISBLANK(AS400),,(AT400*Z400))</f>
        <v>299.99999999999994</v>
      </c>
      <c r="AW400" s="57" t="s">
        <v>101</v>
      </c>
      <c r="AX400" s="153" t="s">
        <v>1460</v>
      </c>
      <c r="AY400" s="153"/>
      <c r="AZ400" s="153"/>
      <c r="BA400" s="153"/>
      <c r="BB400" s="153"/>
      <c r="BC400" s="153"/>
      <c r="BD400" s="151"/>
      <c r="BE400" s="152"/>
      <c r="BF400" s="151"/>
      <c r="BG400" s="94">
        <f>SUM($AV$4:AV400)</f>
        <v>2132.0086926764229</v>
      </c>
      <c r="BH400" s="95">
        <f>SUM($AU$4:AU400)</f>
        <v>31957.97999999993</v>
      </c>
      <c r="BI400" s="80">
        <f>SUMIFS($AU$3:AU401,$Q$3:Q401,"F")</f>
        <v>22308.400000000001</v>
      </c>
      <c r="BJ400" s="80">
        <f>SUMIFS($AU$3:AU401,$Q$3:Q401,"S")</f>
        <v>7951.9999999999909</v>
      </c>
      <c r="BK400" s="87">
        <f>SUMIFS($AU$3:AU401,$P$3:P401,"W")</f>
        <v>24429.580000000136</v>
      </c>
      <c r="BL400" s="87">
        <f>SUMIFS($AU$3:AU401,$P$3:P401,"R")</f>
        <v>6605.9999999998354</v>
      </c>
      <c r="BM400" s="87">
        <f>SUMIFS($AU$3:AU401,$AQ$3:AQ401,"M")</f>
        <v>7208.7799999998906</v>
      </c>
      <c r="BN400" s="87">
        <f>SUMIFS($AU$3:AU401,$AQ$3:AQ401,"H")</f>
        <v>5883.2000000002809</v>
      </c>
      <c r="BO400" s="87">
        <f>SUMIFS($AU$3:AU401,$AQ$3:AQ401,"D")</f>
        <v>8210</v>
      </c>
      <c r="BP400" s="87">
        <f>SUMIFS($AU$3:AU488,$AQ$3:AQ488,"W")</f>
        <v>12022.400000000001</v>
      </c>
      <c r="BQ400" s="87">
        <f>SUMIFS($AU$3:AU401,$Q$3:Q401,"O")</f>
        <v>2215.9800000001915</v>
      </c>
      <c r="BR400" s="87">
        <f>SUMIFS($AU$3:AU401,$AA$3:AA401,"*")</f>
        <v>25061.200000000066</v>
      </c>
      <c r="BS400" s="87">
        <f>SUMIFS($AU$3:AU401,$AB$3:AB401,"*")</f>
        <v>6615.1799999999312</v>
      </c>
      <c r="BT400" s="87">
        <f>SUMIFS($AU$3:AU401,$AC$3:AC401,"*")</f>
        <v>18548.400000000001</v>
      </c>
      <c r="BU400" s="87">
        <f>SUMIFS($AU$3:AU401,$AA$3:AA401,"*",$AB$3:AB401,"*")</f>
        <v>4079.9999999998217</v>
      </c>
      <c r="BV400" s="87">
        <f>SUMIFS($AU$3:AU401,$AA$3:AA401,"*",$AC$3:AC401,"*")</f>
        <v>13444.4</v>
      </c>
      <c r="BW400" s="87">
        <f>SUMIFS($AU$3:AU401,$AB$3:AB401,"*",$AC$3:AC401,"*")</f>
        <v>3279.9999999999982</v>
      </c>
      <c r="BX400" s="87">
        <f>SUMIFS($AV$3:AV401,$Q$3:Q401,"F")</f>
        <v>396.19230875404793</v>
      </c>
      <c r="BY400" s="87">
        <f>SUMIFS($AV$3:AV401,$Q$3:Q401,"S")</f>
        <v>433.77638392253397</v>
      </c>
      <c r="BZ400" s="87">
        <f>SUMIFS($AV$3:AV401,$Q$3:Q401,"O")</f>
        <v>739.63999999989801</v>
      </c>
    </row>
    <row r="401" spans="1:78" ht="15.75" customHeight="1">
      <c r="A401" s="45" t="s">
        <v>1310</v>
      </c>
      <c r="B401" s="59">
        <v>45392</v>
      </c>
      <c r="C401" s="46" t="s">
        <v>147</v>
      </c>
      <c r="D401" s="46" t="s">
        <v>186</v>
      </c>
      <c r="E401" s="66"/>
      <c r="F401" s="47"/>
      <c r="G401" s="48" t="s">
        <v>1169</v>
      </c>
      <c r="H401" s="49"/>
      <c r="I401" s="49"/>
      <c r="J401" s="49">
        <v>1</v>
      </c>
      <c r="K401" s="50"/>
      <c r="L401" s="49">
        <v>3</v>
      </c>
      <c r="M401" s="49"/>
      <c r="N401" s="49"/>
      <c r="O401" s="50" t="s">
        <v>196</v>
      </c>
      <c r="P401" s="50" t="s">
        <v>197</v>
      </c>
      <c r="Q401" s="50" t="s">
        <v>198</v>
      </c>
      <c r="R401" s="50">
        <v>4</v>
      </c>
      <c r="S401" s="50">
        <v>0</v>
      </c>
      <c r="T401" s="50">
        <v>2</v>
      </c>
      <c r="U401" s="50" t="s">
        <v>102</v>
      </c>
      <c r="V401" s="50"/>
      <c r="W401" s="50"/>
      <c r="X401" s="50"/>
      <c r="Y401" s="51">
        <f t="shared" si="162"/>
        <v>0.01</v>
      </c>
      <c r="Z401" s="52">
        <f t="shared" ref="Z401:Z406" si="168">IF(ISBLANK(O401),"",IF(O401="IB",8.63*200,IF(O401="IR",16*100,IF(O401="YT",20*100,IF(O401="YT-XT",24*200,IF(O401="TED",80*100,IF(O401="XT",29*200)))))))</f>
        <v>5800</v>
      </c>
      <c r="AA401" s="52" t="s">
        <v>908</v>
      </c>
      <c r="AB401" s="52"/>
      <c r="AC401" s="52"/>
      <c r="AD401" s="231">
        <v>95.849000000000004</v>
      </c>
      <c r="AE401" s="49"/>
      <c r="AF401" s="84"/>
      <c r="AG401" s="49"/>
      <c r="AH401" s="49"/>
      <c r="AI401" s="49"/>
      <c r="AJ401" s="226"/>
      <c r="AK401" s="49"/>
      <c r="AL401" s="113">
        <f t="shared" si="159"/>
        <v>-116</v>
      </c>
      <c r="AM401" s="113">
        <f t="shared" si="152"/>
        <v>-464</v>
      </c>
      <c r="AN401" s="218"/>
      <c r="AO401" s="49"/>
      <c r="AP401" s="49" t="s">
        <v>1463</v>
      </c>
      <c r="AQ401" s="84" t="s">
        <v>350</v>
      </c>
      <c r="AR401" s="49"/>
      <c r="AS401" s="55">
        <v>95.816999999999993</v>
      </c>
      <c r="AT401" s="55">
        <f t="shared" si="163"/>
        <v>3.2000000000010687E-2</v>
      </c>
      <c r="AU401" s="54">
        <f t="shared" si="164"/>
        <v>742.40000000024793</v>
      </c>
      <c r="AV401" s="56">
        <f t="shared" ref="AV401" si="169">IF(ISBLANK(AS401),,(AT401*Z401))</f>
        <v>185.60000000006198</v>
      </c>
      <c r="AW401" s="57" t="s">
        <v>101</v>
      </c>
      <c r="AX401" s="153" t="s">
        <v>1040</v>
      </c>
      <c r="AY401" s="153"/>
      <c r="AZ401" s="153"/>
      <c r="BA401" s="153"/>
      <c r="BB401" s="153"/>
      <c r="BC401" s="153"/>
      <c r="BD401" s="151"/>
      <c r="BE401" s="152"/>
      <c r="BF401" s="151"/>
      <c r="BG401" s="94">
        <f>SUM($AV$4:AV401)</f>
        <v>2317.6086926764847</v>
      </c>
      <c r="BH401" s="95">
        <f>SUM($AU$4:AU401)</f>
        <v>32700.380000000179</v>
      </c>
      <c r="BI401" s="80">
        <f>SUMIFS($AU$3:AU402,$Q$3:Q402,"F")</f>
        <v>22308.400000000001</v>
      </c>
      <c r="BJ401" s="80">
        <f>SUMIFS($AU$3:AU402,$Q$3:Q402,"S")</f>
        <v>7951.9999999999909</v>
      </c>
      <c r="BK401" s="87">
        <f>SUMIFS($AU$3:AU402,$P$3:P402,"W")</f>
        <v>24429.580000000136</v>
      </c>
      <c r="BL401" s="87">
        <f>SUMIFS($AU$3:AU402,$P$3:P402,"R")</f>
        <v>6477.9999999998608</v>
      </c>
      <c r="BM401" s="87">
        <f>SUMIFS($AU$3:AU402,$AQ$3:AQ402,"M")</f>
        <v>7080.7799999999161</v>
      </c>
      <c r="BN401" s="87">
        <f>SUMIFS($AU$3:AU402,$AQ$3:AQ402,"H")</f>
        <v>5883.2000000002809</v>
      </c>
      <c r="BO401" s="87">
        <f>SUMIFS($AU$3:AU402,$AQ$3:AQ402,"D")</f>
        <v>8210</v>
      </c>
      <c r="BP401" s="87">
        <f>SUMIFS($AU$3:AU489,$AQ$3:AQ489,"W")</f>
        <v>12022.400000000001</v>
      </c>
      <c r="BQ401" s="87">
        <f>SUMIFS($AU$3:AU402,$Q$3:Q402,"O")</f>
        <v>2087.9800000002169</v>
      </c>
      <c r="BR401" s="87">
        <f>SUMIFS($AU$3:AU402,$AA$3:AA402,"*")</f>
        <v>24933.200000000092</v>
      </c>
      <c r="BS401" s="87">
        <f>SUMIFS($AU$3:AU402,$AB$3:AB402,"*")</f>
        <v>6615.1799999999312</v>
      </c>
      <c r="BT401" s="87">
        <f>SUMIFS($AU$3:AU402,$AC$3:AC402,"*")</f>
        <v>18548.400000000001</v>
      </c>
      <c r="BU401" s="87">
        <f>SUMIFS($AU$3:AU402,$AA$3:AA402,"*",$AB$3:AB402,"*")</f>
        <v>4079.9999999998217</v>
      </c>
      <c r="BV401" s="87">
        <f>SUMIFS($AU$3:AU402,$AA$3:AA402,"*",$AC$3:AC402,"*")</f>
        <v>13444.4</v>
      </c>
      <c r="BW401" s="87">
        <f>SUMIFS($AU$3:AU402,$AB$3:AB402,"*",$AC$3:AC402,"*")</f>
        <v>3279.9999999999982</v>
      </c>
      <c r="BX401" s="87">
        <f>SUMIFS($AV$3:AV402,$Q$3:Q402,"F")</f>
        <v>396.19230875404793</v>
      </c>
      <c r="BY401" s="87">
        <f>SUMIFS($AV$3:AV402,$Q$3:Q402,"S")</f>
        <v>433.77638392253397</v>
      </c>
      <c r="BZ401" s="87">
        <f>SUMIFS($AV$3:AV402,$Q$3:Q402,"O")</f>
        <v>707.63999999990438</v>
      </c>
    </row>
    <row r="402" spans="1:78" ht="15.75" customHeight="1">
      <c r="A402" s="45" t="s">
        <v>1310</v>
      </c>
      <c r="B402" s="59">
        <v>45392</v>
      </c>
      <c r="C402" s="46" t="s">
        <v>147</v>
      </c>
      <c r="D402" s="46" t="s">
        <v>186</v>
      </c>
      <c r="E402" s="66"/>
      <c r="F402" s="47"/>
      <c r="G402" s="48" t="s">
        <v>1464</v>
      </c>
      <c r="H402" s="49"/>
      <c r="I402" s="49"/>
      <c r="J402" s="49"/>
      <c r="K402" s="50"/>
      <c r="L402" s="49">
        <v>1</v>
      </c>
      <c r="M402" s="49"/>
      <c r="N402" s="49"/>
      <c r="O402" s="50" t="s">
        <v>100</v>
      </c>
      <c r="P402" s="50" t="s">
        <v>126</v>
      </c>
      <c r="Q402" s="50" t="s">
        <v>198</v>
      </c>
      <c r="R402" s="50">
        <v>4</v>
      </c>
      <c r="S402" s="161">
        <v>0</v>
      </c>
      <c r="T402" s="50">
        <v>4</v>
      </c>
      <c r="U402" s="50" t="s">
        <v>22</v>
      </c>
      <c r="V402" s="50"/>
      <c r="W402" s="50"/>
      <c r="X402" s="50"/>
      <c r="Y402" s="51">
        <f t="shared" si="162"/>
        <v>0.01</v>
      </c>
      <c r="Z402" s="52">
        <f t="shared" si="168"/>
        <v>1600</v>
      </c>
      <c r="AA402" s="52" t="s">
        <v>1465</v>
      </c>
      <c r="AB402" s="52"/>
      <c r="AC402" s="52"/>
      <c r="AD402" s="231">
        <v>96.22</v>
      </c>
      <c r="AE402" s="49"/>
      <c r="AF402" s="84"/>
      <c r="AG402" s="49"/>
      <c r="AH402" s="49"/>
      <c r="AI402" s="49"/>
      <c r="AJ402" s="226"/>
      <c r="AK402" s="49"/>
      <c r="AL402" s="113">
        <f t="shared" si="159"/>
        <v>-32</v>
      </c>
      <c r="AM402" s="113">
        <f t="shared" si="152"/>
        <v>-128</v>
      </c>
      <c r="AN402" s="218"/>
      <c r="AO402" s="49"/>
      <c r="AP402" s="49" t="s">
        <v>271</v>
      </c>
      <c r="AQ402" s="84" t="s">
        <v>350</v>
      </c>
      <c r="AR402" s="49"/>
      <c r="AS402" s="55">
        <v>96.2</v>
      </c>
      <c r="AT402" s="55">
        <f t="shared" si="163"/>
        <v>-1.9999999999996021E-2</v>
      </c>
      <c r="AU402" s="54">
        <f t="shared" si="164"/>
        <v>-127.99999999997453</v>
      </c>
      <c r="AV402" s="56">
        <f t="shared" ref="AV402" si="170">IF(ISBLANK(AS402),,(AT402*Z402))</f>
        <v>-31.999999999993634</v>
      </c>
      <c r="AW402" s="57" t="s">
        <v>121</v>
      </c>
      <c r="AX402" s="153" t="s">
        <v>1466</v>
      </c>
      <c r="AY402" s="153"/>
      <c r="AZ402" s="153"/>
      <c r="BA402" s="153"/>
      <c r="BB402" s="153"/>
      <c r="BC402" s="153"/>
      <c r="BD402" s="151"/>
      <c r="BE402" s="152"/>
      <c r="BF402" s="151"/>
      <c r="BG402" s="94">
        <f>SUM($AV$4:AV402)</f>
        <v>2285.608692676491</v>
      </c>
      <c r="BH402" s="95">
        <f>SUM($AU$4:AU402)</f>
        <v>32572.380000000205</v>
      </c>
      <c r="BI402" s="80">
        <f>SUMIFS($AU$3:AU403,$Q$3:Q403,"F")</f>
        <v>22308.400000000001</v>
      </c>
      <c r="BJ402" s="80">
        <f>SUMIFS($AU$3:AU403,$Q$3:Q403,"S")</f>
        <v>7503.9999999999909</v>
      </c>
      <c r="BK402" s="87">
        <f>SUMIFS($AU$3:AU403,$P$3:P403,"W")</f>
        <v>23981.580000000136</v>
      </c>
      <c r="BL402" s="87">
        <f>SUMIFS($AU$3:AU403,$P$3:P403,"R")</f>
        <v>6477.9999999998608</v>
      </c>
      <c r="BM402" s="87">
        <f>SUMIFS($AU$3:AU403,$AQ$3:AQ403,"M")</f>
        <v>6632.7799999999161</v>
      </c>
      <c r="BN402" s="87">
        <f>SUMIFS($AU$3:AU403,$AQ$3:AQ403,"H")</f>
        <v>5883.2000000002809</v>
      </c>
      <c r="BO402" s="87">
        <f>SUMIFS($AU$3:AU403,$AQ$3:AQ403,"D")</f>
        <v>8210</v>
      </c>
      <c r="BP402" s="87">
        <f>SUMIFS($AU$3:AU490,$AQ$3:AQ490,"W")</f>
        <v>12022.400000000001</v>
      </c>
      <c r="BQ402" s="87">
        <f>SUMIFS($AU$3:AU403,$Q$3:Q403,"O")</f>
        <v>2087.9800000002169</v>
      </c>
      <c r="BR402" s="87">
        <f>SUMIFS($AU$3:AU403,$AA$3:AA403,"*")</f>
        <v>24485.200000000092</v>
      </c>
      <c r="BS402" s="87">
        <f>SUMIFS($AU$3:AU403,$AB$3:AB403,"*")</f>
        <v>6615.1799999999312</v>
      </c>
      <c r="BT402" s="87">
        <f>SUMIFS($AU$3:AU403,$AC$3:AC403,"*")</f>
        <v>18548.400000000001</v>
      </c>
      <c r="BU402" s="87">
        <f>SUMIFS($AU$3:AU403,$AA$3:AA403,"*",$AB$3:AB403,"*")</f>
        <v>4079.9999999998217</v>
      </c>
      <c r="BV402" s="87">
        <f>SUMIFS($AU$3:AU403,$AA$3:AA403,"*",$AC$3:AC403,"*")</f>
        <v>13444.4</v>
      </c>
      <c r="BW402" s="87">
        <f>SUMIFS($AU$3:AU403,$AB$3:AB403,"*",$AC$3:AC403,"*")</f>
        <v>3279.9999999999982</v>
      </c>
      <c r="BX402" s="87">
        <f>SUMIFS($AV$3:AV403,$Q$3:Q403,"F")</f>
        <v>396.19230875404793</v>
      </c>
      <c r="BY402" s="87">
        <f>SUMIFS($AV$3:AV403,$Q$3:Q403,"S")</f>
        <v>417.77638392253397</v>
      </c>
      <c r="BZ402" s="87">
        <f>SUMIFS($AV$3:AV403,$Q$3:Q403,"O")</f>
        <v>707.63999999990438</v>
      </c>
    </row>
    <row r="403" spans="1:78" ht="15.75" customHeight="1">
      <c r="A403" s="45" t="s">
        <v>1310</v>
      </c>
      <c r="B403" s="59">
        <v>45392</v>
      </c>
      <c r="C403" s="46" t="s">
        <v>147</v>
      </c>
      <c r="D403" s="46" t="s">
        <v>186</v>
      </c>
      <c r="E403" s="66"/>
      <c r="F403" s="47"/>
      <c r="G403" s="106" t="s">
        <v>459</v>
      </c>
      <c r="H403" s="49"/>
      <c r="I403" s="49"/>
      <c r="J403" s="49"/>
      <c r="K403" s="50"/>
      <c r="L403" s="49">
        <v>1</v>
      </c>
      <c r="M403" s="49"/>
      <c r="N403" s="49"/>
      <c r="O403" s="50" t="s">
        <v>100</v>
      </c>
      <c r="P403" s="50" t="s">
        <v>101</v>
      </c>
      <c r="Q403" s="50" t="s">
        <v>102</v>
      </c>
      <c r="R403" s="50">
        <v>28</v>
      </c>
      <c r="S403" s="161">
        <v>0</v>
      </c>
      <c r="T403" s="50">
        <v>28</v>
      </c>
      <c r="U403" s="50" t="s">
        <v>102</v>
      </c>
      <c r="V403" s="50"/>
      <c r="W403" s="50"/>
      <c r="X403" s="50"/>
      <c r="Y403" s="51">
        <f t="shared" si="162"/>
        <v>0.01</v>
      </c>
      <c r="Z403" s="52">
        <f t="shared" si="168"/>
        <v>1600</v>
      </c>
      <c r="AA403" s="52" t="s">
        <v>1467</v>
      </c>
      <c r="AB403" s="52"/>
      <c r="AC403" s="52"/>
      <c r="AD403" s="231">
        <v>-0.2</v>
      </c>
      <c r="AE403" s="49"/>
      <c r="AF403" s="84"/>
      <c r="AG403" s="49"/>
      <c r="AH403" s="49"/>
      <c r="AI403" s="49"/>
      <c r="AJ403" s="226"/>
      <c r="AK403" s="49"/>
      <c r="AL403" s="113">
        <f t="shared" si="159"/>
        <v>-32</v>
      </c>
      <c r="AM403" s="113">
        <f t="shared" si="152"/>
        <v>-896</v>
      </c>
      <c r="AN403" s="218"/>
      <c r="AO403" s="49"/>
      <c r="AP403" s="49" t="s">
        <v>1468</v>
      </c>
      <c r="AQ403" s="84" t="s">
        <v>350</v>
      </c>
      <c r="AR403" s="49"/>
      <c r="AS403" s="55">
        <v>-0.19</v>
      </c>
      <c r="AT403" s="55">
        <f t="shared" si="163"/>
        <v>-1.0000000000000009E-2</v>
      </c>
      <c r="AU403" s="54">
        <f t="shared" si="164"/>
        <v>-448.0000000000004</v>
      </c>
      <c r="AV403" s="56">
        <f t="shared" ref="AV403" si="171">IF(ISBLANK(AS403),,(AT403*Z403))</f>
        <v>-16.000000000000014</v>
      </c>
      <c r="AW403" s="57" t="s">
        <v>121</v>
      </c>
      <c r="AX403" s="153" t="s">
        <v>1469</v>
      </c>
      <c r="AY403" s="153" t="s">
        <v>1470</v>
      </c>
      <c r="AZ403" s="153" t="s">
        <v>1471</v>
      </c>
      <c r="BA403" s="153"/>
      <c r="BB403" s="153"/>
      <c r="BC403" s="153"/>
      <c r="BD403" s="151"/>
      <c r="BE403" s="152"/>
      <c r="BF403" s="151"/>
      <c r="BG403" s="94">
        <f>SUM($AV$4:AV403)</f>
        <v>2269.608692676491</v>
      </c>
      <c r="BH403" s="95">
        <f>SUM($AU$4:AU403)</f>
        <v>32124.380000000205</v>
      </c>
      <c r="BI403" s="80">
        <f>SUMIFS($AU$3:AU404,$Q$3:Q404,"F")</f>
        <v>22308.400000000001</v>
      </c>
      <c r="BJ403" s="80">
        <f>SUMIFS($AU$3:AU404,$Q$3:Q404,"S")</f>
        <v>7951.9999999999909</v>
      </c>
      <c r="BK403" s="87">
        <f>SUMIFS($AU$3:AU404,$P$3:P404,"W")</f>
        <v>24429.580000000136</v>
      </c>
      <c r="BL403" s="87">
        <f>SUMIFS($AU$3:AU404,$P$3:P404,"R")</f>
        <v>6477.9999999998608</v>
      </c>
      <c r="BM403" s="87">
        <f>SUMIFS($AU$3:AU404,$AQ$3:AQ404,"M")</f>
        <v>7080.7799999999161</v>
      </c>
      <c r="BN403" s="87">
        <f>SUMIFS($AU$3:AU404,$AQ$3:AQ404,"H")</f>
        <v>5883.2000000002809</v>
      </c>
      <c r="BO403" s="87">
        <f>SUMIFS($AU$3:AU404,$AQ$3:AQ404,"D")</f>
        <v>8210</v>
      </c>
      <c r="BP403" s="87">
        <f>SUMIFS($AU$3:AU491,$AQ$3:AQ491,"W")</f>
        <v>12022.400000000001</v>
      </c>
      <c r="BQ403" s="87">
        <f>SUMIFS($AU$3:AU404,$Q$3:Q404,"O")</f>
        <v>2087.9800000002169</v>
      </c>
      <c r="BR403" s="87">
        <f>SUMIFS($AU$3:AU404,$AA$3:AA404,"*")</f>
        <v>24933.200000000092</v>
      </c>
      <c r="BS403" s="87">
        <f>SUMIFS($AU$3:AU404,$AB$3:AB404,"*")</f>
        <v>6615.1799999999312</v>
      </c>
      <c r="BT403" s="87">
        <f>SUMIFS($AU$3:AU404,$AC$3:AC404,"*")</f>
        <v>18548.400000000001</v>
      </c>
      <c r="BU403" s="87">
        <f>SUMIFS($AU$3:AU404,$AA$3:AA404,"*",$AB$3:AB404,"*")</f>
        <v>4079.9999999998217</v>
      </c>
      <c r="BV403" s="87">
        <f>SUMIFS($AU$3:AU404,$AA$3:AA404,"*",$AC$3:AC404,"*")</f>
        <v>13444.4</v>
      </c>
      <c r="BW403" s="87">
        <f>SUMIFS($AU$3:AU404,$AB$3:AB404,"*",$AC$3:AC404,"*")</f>
        <v>3279.9999999999982</v>
      </c>
      <c r="BX403" s="87">
        <f>SUMIFS($AV$3:AV404,$Q$3:Q404,"F")</f>
        <v>396.19230875404793</v>
      </c>
      <c r="BY403" s="87">
        <f>SUMIFS($AV$3:AV404,$Q$3:Q404,"S")</f>
        <v>425.77638392253397</v>
      </c>
      <c r="BZ403" s="87">
        <f>SUMIFS($AV$3:AV404,$Q$3:Q404,"O")</f>
        <v>707.63999999990438</v>
      </c>
    </row>
    <row r="404" spans="1:78" ht="15.75" customHeight="1">
      <c r="A404" s="45" t="s">
        <v>1310</v>
      </c>
      <c r="B404" s="59">
        <v>45392</v>
      </c>
      <c r="C404" s="46" t="s">
        <v>147</v>
      </c>
      <c r="D404" s="46" t="s">
        <v>186</v>
      </c>
      <c r="E404" s="66"/>
      <c r="F404" s="47"/>
      <c r="G404" s="106" t="s">
        <v>466</v>
      </c>
      <c r="H404" s="49"/>
      <c r="I404" s="49"/>
      <c r="J404" s="49"/>
      <c r="K404" s="50"/>
      <c r="L404" s="49">
        <v>1</v>
      </c>
      <c r="M404" s="49"/>
      <c r="N404" s="49"/>
      <c r="O404" s="50" t="s">
        <v>100</v>
      </c>
      <c r="P404" s="50" t="s">
        <v>101</v>
      </c>
      <c r="Q404" s="50" t="s">
        <v>102</v>
      </c>
      <c r="R404" s="50">
        <v>56</v>
      </c>
      <c r="S404" s="161">
        <v>0</v>
      </c>
      <c r="T404" s="50">
        <v>28</v>
      </c>
      <c r="U404" s="50" t="s">
        <v>102</v>
      </c>
      <c r="V404" s="50"/>
      <c r="W404" s="50"/>
      <c r="X404" s="50"/>
      <c r="Y404" s="51">
        <f t="shared" si="162"/>
        <v>0.01</v>
      </c>
      <c r="Z404" s="52">
        <f t="shared" si="168"/>
        <v>1600</v>
      </c>
      <c r="AA404" s="52" t="s">
        <v>1472</v>
      </c>
      <c r="AB404" s="52"/>
      <c r="AC404" s="52"/>
      <c r="AD404" s="231">
        <v>-0.215</v>
      </c>
      <c r="AE404" s="49"/>
      <c r="AF404" s="84"/>
      <c r="AG404" s="49"/>
      <c r="AH404" s="49"/>
      <c r="AI404" s="49"/>
      <c r="AJ404" s="226"/>
      <c r="AK404" s="49"/>
      <c r="AL404" s="113">
        <f t="shared" si="159"/>
        <v>-32</v>
      </c>
      <c r="AM404" s="113">
        <f t="shared" si="152"/>
        <v>-1792</v>
      </c>
      <c r="AN404" s="218"/>
      <c r="AO404" s="49"/>
      <c r="AP404" s="49" t="s">
        <v>746</v>
      </c>
      <c r="AQ404" s="84" t="s">
        <v>350</v>
      </c>
      <c r="AR404" s="49"/>
      <c r="AS404" s="55">
        <v>-0.22</v>
      </c>
      <c r="AT404" s="55">
        <f t="shared" si="163"/>
        <v>5.0000000000000044E-3</v>
      </c>
      <c r="AU404" s="54">
        <f t="shared" si="164"/>
        <v>448.0000000000004</v>
      </c>
      <c r="AV404" s="56">
        <f t="shared" ref="AV404" si="172">IF(ISBLANK(AS404),,(AT404*Z404))</f>
        <v>8.0000000000000071</v>
      </c>
      <c r="AW404" s="57" t="s">
        <v>101</v>
      </c>
      <c r="AX404" s="153"/>
      <c r="AY404" s="153"/>
      <c r="AZ404" s="153"/>
      <c r="BA404" s="153"/>
      <c r="BB404" s="153"/>
      <c r="BC404" s="153"/>
      <c r="BD404" s="151"/>
      <c r="BE404" s="152"/>
      <c r="BF404" s="151"/>
      <c r="BG404" s="94">
        <f>SUM($AV$4:AV404)</f>
        <v>2277.608692676491</v>
      </c>
      <c r="BH404" s="95">
        <f>SUM($AU$4:AU404)</f>
        <v>32572.380000000205</v>
      </c>
      <c r="BI404" s="80">
        <f>SUMIFS($AU$3:AU405,$Q$3:Q405,"F")</f>
        <v>22308.400000000001</v>
      </c>
      <c r="BJ404" s="80">
        <f>SUMIFS($AU$3:AU405,$Q$3:Q405,"S")</f>
        <v>7951.9999999999909</v>
      </c>
      <c r="BK404" s="87">
        <f>SUMIFS($AU$3:AU405,$P$3:P405,"W")</f>
        <v>24429.580000000136</v>
      </c>
      <c r="BL404" s="87">
        <f>SUMIFS($AU$3:AU405,$P$3:P405,"R")</f>
        <v>6477.9999999998608</v>
      </c>
      <c r="BM404" s="87">
        <f>SUMIFS($AU$3:AU405,$AQ$3:AQ405,"M")</f>
        <v>7080.7799999999161</v>
      </c>
      <c r="BN404" s="87">
        <f>SUMIFS($AU$3:AU405,$AQ$3:AQ405,"H")</f>
        <v>5883.2000000002809</v>
      </c>
      <c r="BO404" s="87">
        <f>SUMIFS($AU$3:AU405,$AQ$3:AQ405,"D")</f>
        <v>8210</v>
      </c>
      <c r="BP404" s="87">
        <f>SUMIFS($AU$3:AU492,$AQ$3:AQ492,"W")</f>
        <v>12022.400000000001</v>
      </c>
      <c r="BQ404" s="87">
        <f>SUMIFS($AU$3:AU405,$Q$3:Q405,"O")</f>
        <v>2087.9800000002169</v>
      </c>
      <c r="BR404" s="87">
        <f>SUMIFS($AU$3:AU405,$AA$3:AA405,"*")</f>
        <v>24933.200000000092</v>
      </c>
      <c r="BS404" s="87">
        <f>SUMIFS($AU$3:AU405,$AB$3:AB405,"*")</f>
        <v>6615.1799999999312</v>
      </c>
      <c r="BT404" s="87">
        <f>SUMIFS($AU$3:AU405,$AC$3:AC405,"*")</f>
        <v>18548.400000000001</v>
      </c>
      <c r="BU404" s="87">
        <f>SUMIFS($AU$3:AU405,$AA$3:AA405,"*",$AB$3:AB405,"*")</f>
        <v>4079.9999999998217</v>
      </c>
      <c r="BV404" s="87">
        <f>SUMIFS($AU$3:AU405,$AA$3:AA405,"*",$AC$3:AC405,"*")</f>
        <v>13444.4</v>
      </c>
      <c r="BW404" s="87">
        <f>SUMIFS($AU$3:AU405,$AB$3:AB405,"*",$AC$3:AC405,"*")</f>
        <v>3279.9999999999982</v>
      </c>
      <c r="BX404" s="87">
        <f>SUMIFS($AV$3:AV405,$Q$3:Q405,"F")</f>
        <v>396.19230875404793</v>
      </c>
      <c r="BY404" s="87">
        <f>SUMIFS($AV$3:AV405,$Q$3:Q405,"S")</f>
        <v>425.77638392253397</v>
      </c>
      <c r="BZ404" s="87">
        <f>SUMIFS($AV$3:AV405,$Q$3:Q405,"O")</f>
        <v>707.63999999990438</v>
      </c>
    </row>
    <row r="405" spans="1:78" ht="15.75" customHeight="1">
      <c r="A405" s="45" t="s">
        <v>1310</v>
      </c>
      <c r="B405" s="59">
        <v>45392</v>
      </c>
      <c r="C405" s="46" t="s">
        <v>147</v>
      </c>
      <c r="D405" s="46" t="s">
        <v>186</v>
      </c>
      <c r="E405" s="66"/>
      <c r="F405" s="47"/>
      <c r="G405" s="48" t="s">
        <v>1473</v>
      </c>
      <c r="H405" s="49"/>
      <c r="I405" s="49"/>
      <c r="J405" s="49"/>
      <c r="K405" s="50"/>
      <c r="L405" s="49">
        <v>1</v>
      </c>
      <c r="M405" s="49"/>
      <c r="N405" s="49"/>
      <c r="O405" s="50" t="s">
        <v>100</v>
      </c>
      <c r="P405" s="50" t="s">
        <v>101</v>
      </c>
      <c r="Q405" s="50" t="s">
        <v>102</v>
      </c>
      <c r="R405" s="50">
        <v>30</v>
      </c>
      <c r="S405" s="161">
        <v>0</v>
      </c>
      <c r="T405" s="50">
        <v>30</v>
      </c>
      <c r="U405" s="50" t="s">
        <v>102</v>
      </c>
      <c r="V405" s="50"/>
      <c r="W405" s="50"/>
      <c r="X405" s="50"/>
      <c r="Y405" s="51">
        <f t="shared" si="162"/>
        <v>0.01</v>
      </c>
      <c r="Z405" s="52">
        <f t="shared" si="168"/>
        <v>1600</v>
      </c>
      <c r="AA405" s="52" t="s">
        <v>925</v>
      </c>
      <c r="AB405" s="52"/>
      <c r="AC405" s="52"/>
      <c r="AD405" s="231">
        <v>-0.3</v>
      </c>
      <c r="AE405" s="49"/>
      <c r="AF405" s="84"/>
      <c r="AG405" s="49"/>
      <c r="AH405" s="49"/>
      <c r="AI405" s="49"/>
      <c r="AJ405" s="226"/>
      <c r="AK405" s="49"/>
      <c r="AL405" s="113">
        <f t="shared" si="159"/>
        <v>-32</v>
      </c>
      <c r="AM405" s="113">
        <f t="shared" si="152"/>
        <v>-960</v>
      </c>
      <c r="AN405" s="218"/>
      <c r="AO405" s="49"/>
      <c r="AP405" s="49" t="s">
        <v>369</v>
      </c>
      <c r="AQ405" s="84" t="s">
        <v>350</v>
      </c>
      <c r="AR405" s="49"/>
      <c r="AS405" s="55">
        <v>-0.3</v>
      </c>
      <c r="AT405" s="55">
        <f t="shared" si="163"/>
        <v>0</v>
      </c>
      <c r="AU405" s="54">
        <f t="shared" si="164"/>
        <v>0</v>
      </c>
      <c r="AV405" s="56">
        <f t="shared" ref="AV405" si="173">IF(ISBLANK(AS405),,(AT405*Z405))</f>
        <v>0</v>
      </c>
      <c r="AW405" s="57" t="s">
        <v>155</v>
      </c>
      <c r="AX405" s="153" t="s">
        <v>1474</v>
      </c>
      <c r="AY405" s="153"/>
      <c r="AZ405" s="153"/>
      <c r="BA405" s="153"/>
      <c r="BB405" s="153"/>
      <c r="BC405" s="153"/>
      <c r="BD405" s="151"/>
      <c r="BE405" s="152"/>
      <c r="BF405" s="151"/>
      <c r="BG405" s="94">
        <f>SUM($AV$4:AV405)</f>
        <v>2277.608692676491</v>
      </c>
      <c r="BH405" s="95">
        <f>SUM($AU$4:AU405)</f>
        <v>32572.380000000205</v>
      </c>
      <c r="BI405" s="80">
        <f>SUMIFS($AU$3:AU406,$Q$3:Q406,"F")</f>
        <v>22308.400000000001</v>
      </c>
      <c r="BJ405" s="80">
        <f>SUMIFS($AU$3:AU406,$Q$3:Q406,"S")</f>
        <v>7311.9999999999909</v>
      </c>
      <c r="BK405" s="87">
        <f>SUMIFS($AU$3:AU406,$P$3:P406,"W")</f>
        <v>23789.580000000136</v>
      </c>
      <c r="BL405" s="87">
        <f>SUMIFS($AU$3:AU406,$P$3:P406,"R")</f>
        <v>6477.9999999998608</v>
      </c>
      <c r="BM405" s="87">
        <f>SUMIFS($AU$3:AU406,$AQ$3:AQ406,"M")</f>
        <v>7080.7799999999161</v>
      </c>
      <c r="BN405" s="87">
        <f>SUMIFS($AU$3:AU406,$AQ$3:AQ406,"H")</f>
        <v>5243.2000000002809</v>
      </c>
      <c r="BO405" s="87">
        <f>SUMIFS($AU$3:AU406,$AQ$3:AQ406,"D")</f>
        <v>8210</v>
      </c>
      <c r="BP405" s="87">
        <f>SUMIFS($AU$3:AU493,$AQ$3:AQ493,"W")</f>
        <v>12022.400000000001</v>
      </c>
      <c r="BQ405" s="87">
        <f>SUMIFS($AU$3:AU406,$Q$3:Q406,"O")</f>
        <v>2087.9800000002169</v>
      </c>
      <c r="BR405" s="87">
        <f>SUMIFS($AU$3:AU406,$AA$3:AA406,"*")</f>
        <v>24933.200000000092</v>
      </c>
      <c r="BS405" s="87">
        <f>SUMIFS($AU$3:AU406,$AB$3:AB406,"*")</f>
        <v>6615.1799999999312</v>
      </c>
      <c r="BT405" s="87">
        <f>SUMIFS($AU$3:AU406,$AC$3:AC406,"*")</f>
        <v>17908.400000000001</v>
      </c>
      <c r="BU405" s="87">
        <f>SUMIFS($AU$3:AU406,$AA$3:AA406,"*",$AB$3:AB406,"*")</f>
        <v>4079.9999999998217</v>
      </c>
      <c r="BV405" s="87">
        <f>SUMIFS($AU$3:AU406,$AA$3:AA406,"*",$AC$3:AC406,"*")</f>
        <v>13444.4</v>
      </c>
      <c r="BW405" s="87">
        <f>SUMIFS($AU$3:AU406,$AB$3:AB406,"*",$AC$3:AC406,"*")</f>
        <v>3279.9999999999982</v>
      </c>
      <c r="BX405" s="87">
        <f>SUMIFS($AV$3:AV406,$Q$3:Q406,"F")</f>
        <v>396.19230875404793</v>
      </c>
      <c r="BY405" s="87">
        <f>SUMIFS($AV$3:AV406,$Q$3:Q406,"S")</f>
        <v>393.77638392253397</v>
      </c>
      <c r="BZ405" s="87">
        <f>SUMIFS($AV$3:AV406,$Q$3:Q406,"O")</f>
        <v>707.63999999990438</v>
      </c>
    </row>
    <row r="406" spans="1:78" ht="15.75" customHeight="1">
      <c r="A406" s="45" t="s">
        <v>1310</v>
      </c>
      <c r="B406" s="59">
        <v>45392</v>
      </c>
      <c r="C406" s="46" t="s">
        <v>147</v>
      </c>
      <c r="D406" s="46" t="s">
        <v>186</v>
      </c>
      <c r="E406" s="66"/>
      <c r="F406" s="47"/>
      <c r="G406" s="106" t="s">
        <v>227</v>
      </c>
      <c r="H406" s="49"/>
      <c r="I406" s="49"/>
      <c r="J406" s="49"/>
      <c r="K406" s="50"/>
      <c r="L406" s="49">
        <v>1</v>
      </c>
      <c r="M406" s="49"/>
      <c r="N406" s="49"/>
      <c r="O406" s="50" t="s">
        <v>100</v>
      </c>
      <c r="P406" s="50" t="s">
        <v>101</v>
      </c>
      <c r="Q406" s="50" t="s">
        <v>102</v>
      </c>
      <c r="R406" s="50">
        <v>20</v>
      </c>
      <c r="S406" s="161">
        <v>10</v>
      </c>
      <c r="T406" s="50">
        <v>20</v>
      </c>
      <c r="U406" s="50" t="s">
        <v>102</v>
      </c>
      <c r="V406" s="50"/>
      <c r="W406" s="50"/>
      <c r="X406" s="50"/>
      <c r="Y406" s="51">
        <f t="shared" si="162"/>
        <v>0.01</v>
      </c>
      <c r="Z406" s="52">
        <f t="shared" si="168"/>
        <v>1600</v>
      </c>
      <c r="AA406" s="52"/>
      <c r="AB406" s="52"/>
      <c r="AC406" s="52" t="s">
        <v>1475</v>
      </c>
      <c r="AD406" s="231">
        <v>-0.12</v>
      </c>
      <c r="AE406" s="49"/>
      <c r="AF406" s="84"/>
      <c r="AG406" s="49"/>
      <c r="AH406" s="49"/>
      <c r="AI406" s="49"/>
      <c r="AJ406" s="226"/>
      <c r="AK406" s="49"/>
      <c r="AL406" s="113">
        <f t="shared" si="159"/>
        <v>-32</v>
      </c>
      <c r="AM406" s="113">
        <f t="shared" si="152"/>
        <v>-320</v>
      </c>
      <c r="AN406" s="218"/>
      <c r="AO406" s="49"/>
      <c r="AP406" s="49" t="s">
        <v>1476</v>
      </c>
      <c r="AQ406" s="84" t="s">
        <v>142</v>
      </c>
      <c r="AR406" s="49" t="s">
        <v>1477</v>
      </c>
      <c r="AS406" s="55">
        <v>-0.1</v>
      </c>
      <c r="AT406" s="55">
        <f t="shared" si="163"/>
        <v>-1.999999999999999E-2</v>
      </c>
      <c r="AU406" s="54">
        <f t="shared" si="164"/>
        <v>-639.99999999999977</v>
      </c>
      <c r="AV406" s="56">
        <f t="shared" ref="AV406:AV409" si="174">IF(ISBLANK(AS406),,(AT406*Z406))</f>
        <v>-31.999999999999986</v>
      </c>
      <c r="AW406" s="57" t="s">
        <v>121</v>
      </c>
      <c r="AX406" s="153"/>
      <c r="AY406" s="153"/>
      <c r="AZ406" s="153"/>
      <c r="BA406" s="153"/>
      <c r="BB406" s="153"/>
      <c r="BC406" s="153"/>
      <c r="BD406" s="151"/>
      <c r="BE406" s="152"/>
      <c r="BF406" s="151"/>
      <c r="BG406" s="94">
        <f>SUM($AV$4:AV406)</f>
        <v>2245.608692676491</v>
      </c>
      <c r="BH406" s="95">
        <f>SUM($AU$4:AU406)</f>
        <v>31932.380000000205</v>
      </c>
      <c r="BI406" s="80">
        <f>SUMIFS($AU$3:AU407,$Q$3:Q407,"F")</f>
        <v>22308.400000000001</v>
      </c>
      <c r="BJ406" s="80">
        <f>SUMIFS($AU$3:AU407,$Q$3:Q407,"S")</f>
        <v>7311.9999999999909</v>
      </c>
      <c r="BK406" s="87">
        <f>SUMIFS($AU$3:AU407,$P$3:P407,"W")</f>
        <v>23789.580000000136</v>
      </c>
      <c r="BL406" s="87">
        <f>SUMIFS($AU$3:AU407,$P$3:P407,"R")</f>
        <v>6477.9999999998608</v>
      </c>
      <c r="BM406" s="87">
        <f>SUMIFS($AU$3:AU407,$AQ$3:AQ407,"M")</f>
        <v>7080.7799999999161</v>
      </c>
      <c r="BN406" s="87">
        <f>SUMIFS($AU$3:AU407,$AQ$3:AQ407,"H")</f>
        <v>5243.2000000002809</v>
      </c>
      <c r="BO406" s="87">
        <f>SUMIFS($AU$3:AU407,$AQ$3:AQ407,"D")</f>
        <v>8210</v>
      </c>
      <c r="BP406" s="87">
        <f>SUMIFS($AU$3:AU494,$AQ$3:AQ494,"W")</f>
        <v>12022.400000000001</v>
      </c>
      <c r="BQ406" s="87">
        <f>SUMIFS($AU$3:AU407,$Q$3:Q407,"O")</f>
        <v>2087.9800000002169</v>
      </c>
      <c r="BR406" s="87">
        <f>SUMIFS($AU$3:AU407,$AA$3:AA407,"*")</f>
        <v>24933.200000000092</v>
      </c>
      <c r="BS406" s="87">
        <f>SUMIFS($AU$3:AU407,$AB$3:AB407,"*")</f>
        <v>6615.1799999999312</v>
      </c>
      <c r="BT406" s="87">
        <f>SUMIFS($AU$3:AU407,$AC$3:AC407,"*")</f>
        <v>17908.400000000001</v>
      </c>
      <c r="BU406" s="87">
        <f>SUMIFS($AU$3:AU407,$AA$3:AA407,"*",$AB$3:AB407,"*")</f>
        <v>4079.9999999998217</v>
      </c>
      <c r="BV406" s="87">
        <f>SUMIFS($AU$3:AU407,$AA$3:AA407,"*",$AC$3:AC407,"*")</f>
        <v>13444.4</v>
      </c>
      <c r="BW406" s="87">
        <f>SUMIFS($AU$3:AU407,$AB$3:AB407,"*",$AC$3:AC407,"*")</f>
        <v>3279.9999999999982</v>
      </c>
      <c r="BX406" s="87">
        <f>SUMIFS($AV$3:AV407,$Q$3:Q407,"F")</f>
        <v>396.19230875404793</v>
      </c>
      <c r="BY406" s="87">
        <f>SUMIFS($AV$3:AV407,$Q$3:Q407,"S")</f>
        <v>393.77638392253397</v>
      </c>
      <c r="BZ406" s="87">
        <f>SUMIFS($AV$3:AV407,$Q$3:Q407,"O")</f>
        <v>707.63999999990438</v>
      </c>
    </row>
    <row r="407" spans="1:78" ht="15.75" customHeight="1">
      <c r="A407" s="45" t="s">
        <v>1310</v>
      </c>
      <c r="B407" s="59">
        <v>45392</v>
      </c>
      <c r="C407" s="46" t="s">
        <v>147</v>
      </c>
      <c r="D407" s="46" t="s">
        <v>186</v>
      </c>
      <c r="E407" s="66"/>
      <c r="F407" s="47"/>
      <c r="G407" s="48" t="s">
        <v>227</v>
      </c>
      <c r="H407" s="49"/>
      <c r="I407" s="49"/>
      <c r="J407" s="49"/>
      <c r="K407" s="50"/>
      <c r="L407" s="49">
        <v>1</v>
      </c>
      <c r="M407" s="49"/>
      <c r="N407" s="49"/>
      <c r="O407" s="50" t="s">
        <v>100</v>
      </c>
      <c r="P407" s="50" t="s">
        <v>101</v>
      </c>
      <c r="Q407" s="50" t="s">
        <v>102</v>
      </c>
      <c r="R407" s="50"/>
      <c r="S407" s="161"/>
      <c r="T407" s="50"/>
      <c r="U407" s="50"/>
      <c r="V407" s="50"/>
      <c r="W407" s="50"/>
      <c r="X407" s="50"/>
      <c r="Y407" s="51"/>
      <c r="Z407" s="52"/>
      <c r="AA407" s="52"/>
      <c r="AB407" s="52"/>
      <c r="AC407" s="52"/>
      <c r="AD407" s="231"/>
      <c r="AE407" s="49"/>
      <c r="AF407" s="84"/>
      <c r="AG407" s="49"/>
      <c r="AH407" s="49"/>
      <c r="AI407" s="49"/>
      <c r="AJ407" s="226"/>
      <c r="AK407" s="49"/>
      <c r="AL407" s="113">
        <f t="shared" si="159"/>
        <v>0</v>
      </c>
      <c r="AM407" s="113">
        <f t="shared" si="152"/>
        <v>0</v>
      </c>
      <c r="AN407" s="218"/>
      <c r="AO407" s="49"/>
      <c r="AP407" s="49"/>
      <c r="AQ407" s="84" t="str">
        <f>UPPER(RIGHT(Journal_Live[[#This Row],[DURATION ]]))</f>
        <v/>
      </c>
      <c r="AR407" s="49"/>
      <c r="AS407" s="55"/>
      <c r="AT407" s="55"/>
      <c r="AU407" s="54"/>
      <c r="AV407" s="56"/>
      <c r="AW407" s="57"/>
      <c r="AX407" s="153"/>
      <c r="AY407" s="153"/>
      <c r="AZ407" s="153"/>
      <c r="BA407" s="153"/>
      <c r="BB407" s="153"/>
      <c r="BC407" s="153"/>
      <c r="BD407" s="151"/>
      <c r="BE407" s="152"/>
      <c r="BF407" s="151"/>
      <c r="BG407" s="94">
        <f>SUM($AV$4:AV407)</f>
        <v>2245.608692676491</v>
      </c>
      <c r="BH407" s="95">
        <f>SUM($AU$4:AU407)</f>
        <v>31932.380000000205</v>
      </c>
      <c r="BI407" s="80">
        <f>SUMIFS($AU$3:AU408,$Q$3:Q408,"F")</f>
        <v>22308.400000000001</v>
      </c>
      <c r="BJ407" s="80">
        <f>SUMIFS($AU$3:AU408,$Q$3:Q408,"S")</f>
        <v>5967.9999999999918</v>
      </c>
      <c r="BK407" s="87">
        <f>SUMIFS($AU$3:AU408,$P$3:P408,"W")</f>
        <v>22445.580000000136</v>
      </c>
      <c r="BL407" s="87">
        <f>SUMIFS($AU$3:AU408,$P$3:P408,"R")</f>
        <v>6477.9999999998608</v>
      </c>
      <c r="BM407" s="87">
        <f>SUMIFS($AU$3:AU408,$AQ$3:AQ408,"M")</f>
        <v>7080.7799999999161</v>
      </c>
      <c r="BN407" s="87">
        <f>SUMIFS($AU$3:AU408,$AQ$3:AQ408,"H")</f>
        <v>3899.2000000002818</v>
      </c>
      <c r="BO407" s="87">
        <f>SUMIFS($AU$3:AU408,$AQ$3:AQ408,"D")</f>
        <v>8210</v>
      </c>
      <c r="BP407" s="87">
        <f>SUMIFS($AU$3:AU495,$AQ$3:AQ495,"W")</f>
        <v>12022.400000000001</v>
      </c>
      <c r="BQ407" s="87">
        <f>SUMIFS($AU$3:AU408,$Q$3:Q408,"O")</f>
        <v>2087.9800000002169</v>
      </c>
      <c r="BR407" s="87">
        <f>SUMIFS($AU$3:AU408,$AA$3:AA408,"*")</f>
        <v>23589.200000000092</v>
      </c>
      <c r="BS407" s="87">
        <f>SUMIFS($AU$3:AU408,$AB$3:AB408,"*")</f>
        <v>6615.1799999999312</v>
      </c>
      <c r="BT407" s="87">
        <f>SUMIFS($AU$3:AU408,$AC$3:AC408,"*")</f>
        <v>17908.400000000001</v>
      </c>
      <c r="BU407" s="87">
        <f>SUMIFS($AU$3:AU408,$AA$3:AA408,"*",$AB$3:AB408,"*")</f>
        <v>4079.9999999998217</v>
      </c>
      <c r="BV407" s="87">
        <f>SUMIFS($AU$3:AU408,$AA$3:AA408,"*",$AC$3:AC408,"*")</f>
        <v>13444.4</v>
      </c>
      <c r="BW407" s="87">
        <f>SUMIFS($AU$3:AU408,$AB$3:AB408,"*",$AC$3:AC408,"*")</f>
        <v>3279.9999999999982</v>
      </c>
      <c r="BX407" s="87">
        <f>SUMIFS($AV$3:AV408,$Q$3:Q408,"F")</f>
        <v>396.19230875404793</v>
      </c>
      <c r="BY407" s="87">
        <f>SUMIFS($AV$3:AV408,$Q$3:Q408,"S")</f>
        <v>361.77638392253397</v>
      </c>
      <c r="BZ407" s="87">
        <f>SUMIFS($AV$3:AV408,$Q$3:Q408,"O")</f>
        <v>707.63999999990438</v>
      </c>
    </row>
    <row r="408" spans="1:78" ht="15.75" customHeight="1">
      <c r="A408" s="45" t="s">
        <v>1310</v>
      </c>
      <c r="B408" s="59">
        <v>45392</v>
      </c>
      <c r="C408" s="46" t="s">
        <v>147</v>
      </c>
      <c r="D408" s="46" t="s">
        <v>186</v>
      </c>
      <c r="E408" s="66"/>
      <c r="F408" s="47"/>
      <c r="G408" s="106" t="s">
        <v>459</v>
      </c>
      <c r="H408" s="49"/>
      <c r="I408" s="49"/>
      <c r="J408" s="49"/>
      <c r="K408" s="50"/>
      <c r="L408" s="49">
        <v>1</v>
      </c>
      <c r="M408" s="49"/>
      <c r="N408" s="49"/>
      <c r="O408" s="50" t="s">
        <v>100</v>
      </c>
      <c r="P408" s="50" t="s">
        <v>101</v>
      </c>
      <c r="Q408" s="50" t="s">
        <v>102</v>
      </c>
      <c r="R408" s="50">
        <v>42</v>
      </c>
      <c r="S408" s="161">
        <v>0</v>
      </c>
      <c r="T408" s="50">
        <v>42</v>
      </c>
      <c r="U408" s="50" t="s">
        <v>102</v>
      </c>
      <c r="V408" s="50"/>
      <c r="W408" s="50"/>
      <c r="X408" s="50"/>
      <c r="Y408" s="51">
        <f>IF(ISBLANK(O408),"",(IF(O408=UPPER("IB"),0.005,0.01)))</f>
        <v>0.01</v>
      </c>
      <c r="Z408" s="52">
        <f>IF(ISBLANK(O408),"",IF(O408="IB",8.63*200,IF(O408="IR",16*100,IF(O408="YT",20*100,IF(O408="YT-XT",24*200,IF(O408="TED",80*100,IF(O408="XT",29*200)))))))</f>
        <v>1600</v>
      </c>
      <c r="AA408" s="52" t="s">
        <v>1478</v>
      </c>
      <c r="AB408" s="52"/>
      <c r="AC408" s="52"/>
      <c r="AD408" s="231">
        <v>-0.19</v>
      </c>
      <c r="AE408" s="49"/>
      <c r="AF408" s="84"/>
      <c r="AG408" s="49"/>
      <c r="AH408" s="49"/>
      <c r="AI408" s="49"/>
      <c r="AJ408" s="226"/>
      <c r="AK408" s="49"/>
      <c r="AL408" s="113">
        <f t="shared" si="159"/>
        <v>-32</v>
      </c>
      <c r="AM408" s="113">
        <f t="shared" si="152"/>
        <v>-1344</v>
      </c>
      <c r="AN408" s="218"/>
      <c r="AO408" s="49"/>
      <c r="AP408" s="49" t="s">
        <v>422</v>
      </c>
      <c r="AQ408" s="84" t="s">
        <v>142</v>
      </c>
      <c r="AR408" s="49" t="s">
        <v>1479</v>
      </c>
      <c r="AS408" s="55">
        <v>-0.17</v>
      </c>
      <c r="AT408" s="55">
        <f>IF(ISBLANK(AS408),,IF(U408="S",AD408-AS408,AS408-AD408))</f>
        <v>-1.999999999999999E-2</v>
      </c>
      <c r="AU408" s="54">
        <f>AV408*R408</f>
        <v>-1343.9999999999993</v>
      </c>
      <c r="AV408" s="56">
        <f t="shared" si="174"/>
        <v>-31.999999999999986</v>
      </c>
      <c r="AW408" s="57" t="s">
        <v>121</v>
      </c>
      <c r="AX408" s="153" t="s">
        <v>1480</v>
      </c>
      <c r="AY408" s="153" t="s">
        <v>1481</v>
      </c>
      <c r="AZ408" s="153" t="s">
        <v>1482</v>
      </c>
      <c r="BA408" s="153" t="s">
        <v>1483</v>
      </c>
      <c r="BB408" s="153"/>
      <c r="BC408" s="153"/>
      <c r="BD408" s="151"/>
      <c r="BE408" s="152"/>
      <c r="BF408" s="151"/>
      <c r="BG408" s="94">
        <f>SUM($AV$4:AV408)</f>
        <v>2213.608692676491</v>
      </c>
      <c r="BH408" s="95">
        <f>SUM($AU$4:AU408)</f>
        <v>30588.380000000205</v>
      </c>
      <c r="BI408" s="80">
        <f>SUMIFS($AU$3:AU409,$Q$3:Q409,"F")</f>
        <v>22308.400000000001</v>
      </c>
      <c r="BJ408" s="80">
        <f>SUMIFS($AU$3:AU409,$Q$3:Q409,"S")</f>
        <v>5295.9999999999936</v>
      </c>
      <c r="BK408" s="87">
        <f>SUMIFS($AU$3:AU409,$P$3:P409,"W")</f>
        <v>21773.58000000014</v>
      </c>
      <c r="BL408" s="87">
        <f>SUMIFS($AU$3:AU409,$P$3:P409,"R")</f>
        <v>6477.9999999998608</v>
      </c>
      <c r="BM408" s="87">
        <f>SUMIFS($AU$3:AU409,$AQ$3:AQ409,"M")</f>
        <v>6408.7799999999179</v>
      </c>
      <c r="BN408" s="87">
        <f>SUMIFS($AU$3:AU409,$AQ$3:AQ409,"H")</f>
        <v>3899.2000000002818</v>
      </c>
      <c r="BO408" s="87">
        <f>SUMIFS($AU$3:AU409,$AQ$3:AQ409,"D")</f>
        <v>8210</v>
      </c>
      <c r="BP408" s="87">
        <f>SUMIFS($AU$3:AU496,$AQ$3:AQ496,"W")</f>
        <v>12022.400000000001</v>
      </c>
      <c r="BQ408" s="87">
        <f>SUMIFS($AU$3:AU409,$Q$3:Q409,"O")</f>
        <v>2087.9800000002169</v>
      </c>
      <c r="BR408" s="87">
        <f>SUMIFS($AU$3:AU409,$AA$3:AA409,"*")</f>
        <v>22917.200000000095</v>
      </c>
      <c r="BS408" s="87">
        <f>SUMIFS($AU$3:AU409,$AB$3:AB409,"*")</f>
        <v>6615.1799999999312</v>
      </c>
      <c r="BT408" s="87">
        <f>SUMIFS($AU$3:AU409,$AC$3:AC409,"*")</f>
        <v>17908.400000000001</v>
      </c>
      <c r="BU408" s="87">
        <f>SUMIFS($AU$3:AU409,$AA$3:AA409,"*",$AB$3:AB409,"*")</f>
        <v>4079.9999999998217</v>
      </c>
      <c r="BV408" s="87">
        <f>SUMIFS($AU$3:AU409,$AA$3:AA409,"*",$AC$3:AC409,"*")</f>
        <v>13444.4</v>
      </c>
      <c r="BW408" s="87">
        <f>SUMIFS($AU$3:AU409,$AB$3:AB409,"*",$AC$3:AC409,"*")</f>
        <v>3279.9999999999982</v>
      </c>
      <c r="BX408" s="87">
        <f>SUMIFS($AV$3:AV409,$Q$3:Q409,"F")</f>
        <v>396.19230875404793</v>
      </c>
      <c r="BY408" s="87">
        <f>SUMIFS($AV$3:AV409,$Q$3:Q409,"S")</f>
        <v>337.77638392253402</v>
      </c>
      <c r="BZ408" s="87">
        <f>SUMIFS($AV$3:AV409,$Q$3:Q409,"O")</f>
        <v>707.63999999990438</v>
      </c>
    </row>
    <row r="409" spans="1:78" ht="15.75" customHeight="1">
      <c r="A409" s="45" t="s">
        <v>1310</v>
      </c>
      <c r="B409" s="59">
        <v>45392</v>
      </c>
      <c r="C409" s="46" t="s">
        <v>147</v>
      </c>
      <c r="D409" s="46" t="s">
        <v>186</v>
      </c>
      <c r="E409" s="66"/>
      <c r="F409" s="47"/>
      <c r="G409" s="106" t="s">
        <v>1484</v>
      </c>
      <c r="H409" s="49"/>
      <c r="I409" s="49"/>
      <c r="J409" s="49"/>
      <c r="K409" s="50"/>
      <c r="L409" s="49">
        <v>1</v>
      </c>
      <c r="M409" s="49"/>
      <c r="N409" s="49"/>
      <c r="O409" s="50" t="s">
        <v>100</v>
      </c>
      <c r="P409" s="50" t="s">
        <v>101</v>
      </c>
      <c r="Q409" s="50" t="s">
        <v>102</v>
      </c>
      <c r="R409" s="50">
        <v>28</v>
      </c>
      <c r="S409" s="161">
        <v>14</v>
      </c>
      <c r="T409" s="50">
        <v>28</v>
      </c>
      <c r="U409" s="50" t="s">
        <v>102</v>
      </c>
      <c r="V409" s="50"/>
      <c r="W409" s="50"/>
      <c r="X409" s="50"/>
      <c r="Y409" s="51">
        <f>IF(ISBLANK(O409),"",(IF(O409=UPPER("IB"),0.005,0.01)))</f>
        <v>0.01</v>
      </c>
      <c r="Z409" s="52">
        <f>IF(ISBLANK(O409),"",IF(O409="IB",8.63*200,IF(O409="IR",16*100,IF(O409="YT",20*100,IF(O409="YT-XT",24*200,IF(O409="TED",80*100,IF(O409="XT",29*200)))))))</f>
        <v>1600</v>
      </c>
      <c r="AA409" s="52" t="s">
        <v>515</v>
      </c>
      <c r="AB409" s="52"/>
      <c r="AC409" s="52"/>
      <c r="AD409" s="231">
        <v>-0.28999999999999998</v>
      </c>
      <c r="AE409" s="49"/>
      <c r="AF409" s="84"/>
      <c r="AG409" s="49"/>
      <c r="AH409" s="49"/>
      <c r="AI409" s="49"/>
      <c r="AJ409" s="226"/>
      <c r="AK409" s="49"/>
      <c r="AL409" s="113">
        <f t="shared" si="159"/>
        <v>-32</v>
      </c>
      <c r="AM409" s="113">
        <f t="shared" si="152"/>
        <v>-448</v>
      </c>
      <c r="AN409" s="218"/>
      <c r="AO409" s="49"/>
      <c r="AP409" s="49"/>
      <c r="AQ409" s="84" t="s">
        <v>350</v>
      </c>
      <c r="AR409" s="49" t="s">
        <v>1485</v>
      </c>
      <c r="AS409" s="55">
        <f>((-0.3*14)+(-0.25*14))/28</f>
        <v>-0.27500000000000002</v>
      </c>
      <c r="AT409" s="55">
        <f>IF(ISBLANK(AS409),,IF(U409="S",AD409-AS409,AS409-AD409))</f>
        <v>-1.4999999999999958E-2</v>
      </c>
      <c r="AU409" s="54">
        <f>AV409*R409</f>
        <v>-671.99999999999807</v>
      </c>
      <c r="AV409" s="56">
        <f t="shared" si="174"/>
        <v>-23.999999999999932</v>
      </c>
      <c r="AW409" s="57" t="s">
        <v>121</v>
      </c>
      <c r="AX409" s="153" t="s">
        <v>1486</v>
      </c>
      <c r="AY409" s="153" t="s">
        <v>1487</v>
      </c>
      <c r="AZ409" s="153" t="s">
        <v>1488</v>
      </c>
      <c r="BA409" s="153" t="s">
        <v>1489</v>
      </c>
      <c r="BB409" s="153" t="s">
        <v>1490</v>
      </c>
      <c r="BC409" s="153" t="s">
        <v>1491</v>
      </c>
      <c r="BD409" s="151" t="s">
        <v>1492</v>
      </c>
      <c r="BE409" s="152"/>
      <c r="BF409" s="151"/>
      <c r="BG409" s="94">
        <f>SUM($AV$4:AV409)</f>
        <v>2189.608692676491</v>
      </c>
      <c r="BH409" s="95">
        <f>SUM($AU$4:AU409)</f>
        <v>29916.380000000208</v>
      </c>
      <c r="BI409" s="80">
        <f>SUMIFS($AU$3:AU410,$Q$3:Q410,"F")</f>
        <v>22308.400000000001</v>
      </c>
      <c r="BJ409" s="80">
        <f>SUMIFS($AU$3:AU410,$Q$3:Q410,"S")</f>
        <v>5295.9999999999936</v>
      </c>
      <c r="BK409" s="87">
        <f>SUMIFS($AU$3:AU410,$P$3:P410,"W")</f>
        <v>21773.58000000014</v>
      </c>
      <c r="BL409" s="87">
        <f>SUMIFS($AU$3:AU410,$P$3:P410,"R")</f>
        <v>6477.9999999998608</v>
      </c>
      <c r="BM409" s="87">
        <f>SUMIFS($AU$3:AU410,$AQ$3:AQ410,"M")</f>
        <v>6408.7799999999179</v>
      </c>
      <c r="BN409" s="87">
        <f>SUMIFS($AU$3:AU410,$AQ$3:AQ410,"H")</f>
        <v>3899.2000000002818</v>
      </c>
      <c r="BO409" s="87">
        <f>SUMIFS($AU$3:AU410,$AQ$3:AQ410,"D")</f>
        <v>8210</v>
      </c>
      <c r="BP409" s="87">
        <f>SUMIFS($AU$3:AU497,$AQ$3:AQ497,"W")</f>
        <v>12022.400000000001</v>
      </c>
      <c r="BQ409" s="87">
        <f>SUMIFS($AU$3:AU410,$Q$3:Q410,"O")</f>
        <v>2087.9800000002169</v>
      </c>
      <c r="BR409" s="87">
        <f>SUMIFS($AU$3:AU410,$AA$3:AA410,"*")</f>
        <v>22917.200000000095</v>
      </c>
      <c r="BS409" s="87">
        <f>SUMIFS($AU$3:AU410,$AB$3:AB410,"*")</f>
        <v>6615.1799999999312</v>
      </c>
      <c r="BT409" s="87">
        <f>SUMIFS($AU$3:AU410,$AC$3:AC410,"*")</f>
        <v>17908.400000000001</v>
      </c>
      <c r="BU409" s="87">
        <f>SUMIFS($AU$3:AU410,$AA$3:AA410,"*",$AB$3:AB410,"*")</f>
        <v>4079.9999999998217</v>
      </c>
      <c r="BV409" s="87">
        <f>SUMIFS($AU$3:AU410,$AA$3:AA410,"*",$AC$3:AC410,"*")</f>
        <v>13444.4</v>
      </c>
      <c r="BW409" s="87">
        <f>SUMIFS($AU$3:AU410,$AB$3:AB410,"*",$AC$3:AC410,"*")</f>
        <v>3279.9999999999982</v>
      </c>
      <c r="BX409" s="87">
        <f>SUMIFS($AV$3:AV410,$Q$3:Q410,"F")</f>
        <v>396.19230875404793</v>
      </c>
      <c r="BY409" s="87">
        <f>SUMIFS($AV$3:AV410,$Q$3:Q410,"S")</f>
        <v>337.77638392253402</v>
      </c>
      <c r="BZ409" s="87">
        <f>SUMIFS($AV$3:AV410,$Q$3:Q410,"O")</f>
        <v>707.63999999990438</v>
      </c>
    </row>
    <row r="410" spans="1:78" ht="15.75" customHeight="1">
      <c r="A410" s="45" t="s">
        <v>1310</v>
      </c>
      <c r="B410" s="59">
        <v>45392</v>
      </c>
      <c r="C410" s="46" t="s">
        <v>147</v>
      </c>
      <c r="D410" s="46" t="s">
        <v>186</v>
      </c>
      <c r="E410" s="66"/>
      <c r="F410" s="47"/>
      <c r="G410" s="48" t="s">
        <v>181</v>
      </c>
      <c r="H410" s="49"/>
      <c r="I410" s="49"/>
      <c r="J410" s="49"/>
      <c r="K410" s="50"/>
      <c r="L410" s="49"/>
      <c r="M410" s="49"/>
      <c r="N410" s="49"/>
      <c r="O410" s="50"/>
      <c r="P410" s="50"/>
      <c r="Q410" s="50"/>
      <c r="R410" s="50"/>
      <c r="S410" s="161"/>
      <c r="T410" s="50"/>
      <c r="U410" s="50"/>
      <c r="V410" s="50"/>
      <c r="W410" s="50"/>
      <c r="X410" s="50"/>
      <c r="Y410" s="51"/>
      <c r="Z410" s="52"/>
      <c r="AA410" s="52"/>
      <c r="AB410" s="52"/>
      <c r="AC410" s="52"/>
      <c r="AD410" s="231"/>
      <c r="AE410" s="49"/>
      <c r="AF410" s="84"/>
      <c r="AG410" s="49"/>
      <c r="AH410" s="49"/>
      <c r="AI410" s="49"/>
      <c r="AJ410" s="226"/>
      <c r="AK410" s="49"/>
      <c r="AL410" s="113"/>
      <c r="AM410" s="113"/>
      <c r="AN410" s="218"/>
      <c r="AO410" s="49"/>
      <c r="AP410" s="49"/>
      <c r="AQ410" s="84"/>
      <c r="AR410" s="49"/>
      <c r="AS410" s="55"/>
      <c r="AT410" s="55"/>
      <c r="AU410" s="54"/>
      <c r="AV410" s="56"/>
      <c r="AW410" s="57"/>
      <c r="AX410" s="153"/>
      <c r="AY410" s="153"/>
      <c r="AZ410" s="153"/>
      <c r="BA410" s="153"/>
      <c r="BB410" s="153"/>
      <c r="BC410" s="153"/>
      <c r="BD410" s="151"/>
      <c r="BE410" s="152"/>
      <c r="BF410" s="151"/>
      <c r="BG410" s="94">
        <f>SUM($AV$4:AV410)</f>
        <v>2189.608692676491</v>
      </c>
      <c r="BH410" s="95">
        <f>SUM($AU$4:AU410)</f>
        <v>29916.380000000208</v>
      </c>
      <c r="BI410" s="80">
        <f>SUMIFS($AU$3:AU411,$Q$3:Q411,"F")</f>
        <v>22308.400000000001</v>
      </c>
      <c r="BJ410" s="80">
        <f>SUMIFS($AU$3:AU411,$Q$3:Q411,"S")</f>
        <v>5295.9999999999936</v>
      </c>
      <c r="BK410" s="87">
        <f>SUMIFS($AU$3:AU411,$P$3:P411,"W")</f>
        <v>21773.58000000014</v>
      </c>
      <c r="BL410" s="87">
        <f>SUMIFS($AU$3:AU411,$P$3:P411,"R")</f>
        <v>6477.9999999998608</v>
      </c>
      <c r="BM410" s="87">
        <f>SUMIFS($AU$3:AU411,$AQ$3:AQ411,"M")</f>
        <v>6408.7799999999179</v>
      </c>
      <c r="BN410" s="87">
        <f>SUMIFS($AU$3:AU411,$AQ$3:AQ411,"H")</f>
        <v>3899.2000000002818</v>
      </c>
      <c r="BO410" s="87">
        <f>SUMIFS($AU$3:AU411,$AQ$3:AQ411,"D")</f>
        <v>8210</v>
      </c>
      <c r="BP410" s="87">
        <f>SUMIFS($AU$3:AU498,$AQ$3:AQ498,"W")</f>
        <v>12022.400000000001</v>
      </c>
      <c r="BQ410" s="87">
        <f>SUMIFS($AU$3:AU411,$Q$3:Q411,"O")</f>
        <v>2087.9800000002169</v>
      </c>
      <c r="BR410" s="87">
        <f>SUMIFS($AU$3:AU411,$AA$3:AA411,"*")</f>
        <v>22917.200000000095</v>
      </c>
      <c r="BS410" s="87">
        <f>SUMIFS($AU$3:AU411,$AB$3:AB411,"*")</f>
        <v>6615.1799999999312</v>
      </c>
      <c r="BT410" s="87">
        <f>SUMIFS($AU$3:AU411,$AC$3:AC411,"*")</f>
        <v>17908.400000000001</v>
      </c>
      <c r="BU410" s="87">
        <f>SUMIFS($AU$3:AU411,$AA$3:AA411,"*",$AB$3:AB411,"*")</f>
        <v>4079.9999999998217</v>
      </c>
      <c r="BV410" s="87">
        <f>SUMIFS($AU$3:AU411,$AA$3:AA411,"*",$AC$3:AC411,"*")</f>
        <v>13444.4</v>
      </c>
      <c r="BW410" s="87">
        <f>SUMIFS($AU$3:AU411,$AB$3:AB411,"*",$AC$3:AC411,"*")</f>
        <v>3279.9999999999982</v>
      </c>
      <c r="BX410" s="87">
        <f>SUMIFS($AV$3:AV411,$Q$3:Q411,"F")</f>
        <v>396.19230875404793</v>
      </c>
      <c r="BY410" s="87">
        <f>SUMIFS($AV$3:AV411,$Q$3:Q411,"S")</f>
        <v>337.77638392253402</v>
      </c>
      <c r="BZ410" s="87">
        <f>SUMIFS($AV$3:AV411,$Q$3:Q411,"O")</f>
        <v>707.63999999990438</v>
      </c>
    </row>
    <row r="411" spans="1:78" ht="15.75" customHeight="1">
      <c r="A411" s="45" t="s">
        <v>1310</v>
      </c>
      <c r="B411" s="59">
        <v>45392</v>
      </c>
      <c r="C411" s="46" t="s">
        <v>147</v>
      </c>
      <c r="D411" s="46" t="s">
        <v>186</v>
      </c>
      <c r="E411" s="66"/>
      <c r="F411" s="47"/>
      <c r="G411" s="106" t="s">
        <v>276</v>
      </c>
      <c r="H411" s="49"/>
      <c r="I411" s="49"/>
      <c r="J411" s="49"/>
      <c r="K411" s="50"/>
      <c r="L411" s="49">
        <v>1</v>
      </c>
      <c r="M411" s="49"/>
      <c r="N411" s="49"/>
      <c r="O411" s="50" t="s">
        <v>100</v>
      </c>
      <c r="P411" s="50" t="s">
        <v>101</v>
      </c>
      <c r="Q411" s="50" t="s">
        <v>102</v>
      </c>
      <c r="R411" s="50">
        <v>50</v>
      </c>
      <c r="S411" s="161">
        <v>0</v>
      </c>
      <c r="T411" s="50">
        <v>50</v>
      </c>
      <c r="U411" s="50" t="s">
        <v>102</v>
      </c>
      <c r="V411" s="50"/>
      <c r="W411" s="50"/>
      <c r="X411" s="50"/>
      <c r="Y411" s="51">
        <f>IF(ISBLANK(O411),"",(IF(O411=UPPER("IB"),0.005,0.01)))</f>
        <v>0.01</v>
      </c>
      <c r="Z411" s="52">
        <f>IF(ISBLANK(O411),"",IF(O411="IB",8.63*200,IF(O411="IR",16*100,IF(O411="YT",20*100,IF(O411="YT-XT",24*200,IF(O411="TED",80*100,IF(O411="XT",29*200)))))))</f>
        <v>1600</v>
      </c>
      <c r="AA411" s="52" t="s">
        <v>925</v>
      </c>
      <c r="AB411" s="52" t="s">
        <v>1493</v>
      </c>
      <c r="AC411" s="52"/>
      <c r="AD411" s="231">
        <v>-0.09</v>
      </c>
      <c r="AE411" s="49"/>
      <c r="AF411" s="84"/>
      <c r="AG411" s="49"/>
      <c r="AH411" s="49"/>
      <c r="AI411" s="49"/>
      <c r="AJ411" s="226" t="s">
        <v>1494</v>
      </c>
      <c r="AK411" s="49"/>
      <c r="AL411" s="113">
        <f t="shared" ref="AL411:AL416" si="175">-0.02*Z411</f>
        <v>-32</v>
      </c>
      <c r="AM411" s="113">
        <f t="shared" ref="AM411:AM442" si="176">AL411*(R411-S411)</f>
        <v>-1600</v>
      </c>
      <c r="AN411" s="218"/>
      <c r="AO411" s="49"/>
      <c r="AP411" s="49" t="s">
        <v>1495</v>
      </c>
      <c r="AQ411" s="84" t="s">
        <v>142</v>
      </c>
      <c r="AR411" s="49" t="s">
        <v>1496</v>
      </c>
      <c r="AS411" s="55">
        <v>-0.09</v>
      </c>
      <c r="AT411" s="55">
        <f>IF(ISBLANK(AS411),,IF(U411="S",AD411-AS411,AS411-AD411))</f>
        <v>0</v>
      </c>
      <c r="AU411" s="54">
        <f>AV411*R411</f>
        <v>0</v>
      </c>
      <c r="AV411" s="56">
        <f t="shared" ref="AV411:AV414" si="177">IF(ISBLANK(AS411),,(AT411*Z411))</f>
        <v>0</v>
      </c>
      <c r="AW411" s="57" t="s">
        <v>155</v>
      </c>
      <c r="AX411" s="153" t="s">
        <v>1497</v>
      </c>
      <c r="AY411" s="153"/>
      <c r="AZ411" s="153"/>
      <c r="BA411" s="153"/>
      <c r="BB411" s="153"/>
      <c r="BC411" s="153"/>
      <c r="BD411" s="151"/>
      <c r="BE411" s="152"/>
      <c r="BF411" s="151"/>
      <c r="BG411" s="94">
        <f>SUM($AV$4:AV411)</f>
        <v>2189.608692676491</v>
      </c>
      <c r="BH411" s="95">
        <f>SUM($AU$4:AU411)</f>
        <v>29916.380000000208</v>
      </c>
      <c r="BI411" s="80">
        <f>SUMIFS($AU$3:AU412,$Q$3:Q412,"F")</f>
        <v>22308.400000000001</v>
      </c>
      <c r="BJ411" s="80">
        <f>SUMIFS($AU$3:AU412,$Q$3:Q412,"S")</f>
        <v>5295.9999999999936</v>
      </c>
      <c r="BK411" s="87">
        <f>SUMIFS($AU$3:AU412,$P$3:P412,"W")</f>
        <v>21773.58000000014</v>
      </c>
      <c r="BL411" s="87">
        <f>SUMIFS($AU$3:AU412,$P$3:P412,"R")</f>
        <v>6477.9999999998608</v>
      </c>
      <c r="BM411" s="87">
        <f>SUMIFS($AU$3:AU412,$AQ$3:AQ412,"M")</f>
        <v>6408.7799999999179</v>
      </c>
      <c r="BN411" s="87">
        <f>SUMIFS($AU$3:AU412,$AQ$3:AQ412,"H")</f>
        <v>3899.2000000002818</v>
      </c>
      <c r="BO411" s="87">
        <f>SUMIFS($AU$3:AU412,$AQ$3:AQ412,"D")</f>
        <v>8210</v>
      </c>
      <c r="BP411" s="87">
        <f>SUMIFS($AU$3:AU499,$AQ$3:AQ499,"W")</f>
        <v>12022.400000000001</v>
      </c>
      <c r="BQ411" s="87">
        <f>SUMIFS($AU$3:AU412,$Q$3:Q412,"O")</f>
        <v>2087.9800000002169</v>
      </c>
      <c r="BR411" s="87">
        <f>SUMIFS($AU$3:AU412,$AA$3:AA412,"*")</f>
        <v>22917.200000000095</v>
      </c>
      <c r="BS411" s="87">
        <f>SUMIFS($AU$3:AU412,$AB$3:AB412,"*")</f>
        <v>6615.1799999999312</v>
      </c>
      <c r="BT411" s="87">
        <f>SUMIFS($AU$3:AU412,$AC$3:AC412,"*")</f>
        <v>17908.400000000001</v>
      </c>
      <c r="BU411" s="87">
        <f>SUMIFS($AU$3:AU412,$AA$3:AA412,"*",$AB$3:AB412,"*")</f>
        <v>4079.9999999998217</v>
      </c>
      <c r="BV411" s="87">
        <f>SUMIFS($AU$3:AU412,$AA$3:AA412,"*",$AC$3:AC412,"*")</f>
        <v>13444.4</v>
      </c>
      <c r="BW411" s="87">
        <f>SUMIFS($AU$3:AU412,$AB$3:AB412,"*",$AC$3:AC412,"*")</f>
        <v>3279.9999999999982</v>
      </c>
      <c r="BX411" s="87">
        <f>SUMIFS($AV$3:AV412,$Q$3:Q412,"F")</f>
        <v>396.19230875404793</v>
      </c>
      <c r="BY411" s="87">
        <f>SUMIFS($AV$3:AV412,$Q$3:Q412,"S")</f>
        <v>337.77638392253402</v>
      </c>
      <c r="BZ411" s="87">
        <f>SUMIFS($AV$3:AV412,$Q$3:Q412,"O")</f>
        <v>707.63999999990438</v>
      </c>
    </row>
    <row r="412" spans="1:78" ht="15.75" customHeight="1">
      <c r="A412" s="45" t="s">
        <v>1310</v>
      </c>
      <c r="B412" s="59">
        <v>45392</v>
      </c>
      <c r="C412" s="46" t="s">
        <v>147</v>
      </c>
      <c r="D412" s="46" t="s">
        <v>186</v>
      </c>
      <c r="E412" s="66"/>
      <c r="F412" s="47"/>
      <c r="G412" s="163" t="s">
        <v>1498</v>
      </c>
      <c r="H412" s="49"/>
      <c r="I412" s="49"/>
      <c r="J412" s="49"/>
      <c r="K412" s="50"/>
      <c r="L412" s="49">
        <v>1</v>
      </c>
      <c r="M412" s="49"/>
      <c r="N412" s="49"/>
      <c r="O412" s="50" t="s">
        <v>363</v>
      </c>
      <c r="P412" s="50" t="s">
        <v>126</v>
      </c>
      <c r="Q412" s="50"/>
      <c r="R412" s="50">
        <v>1</v>
      </c>
      <c r="S412" s="50">
        <v>0</v>
      </c>
      <c r="T412" s="50">
        <v>1</v>
      </c>
      <c r="U412" s="50" t="s">
        <v>22</v>
      </c>
      <c r="V412" s="50"/>
      <c r="W412" s="50"/>
      <c r="X412" s="50"/>
      <c r="Y412" s="51">
        <f>IF(ISBLANK(O412),"",(IF(O412=UPPER("IB"),0.005,0.01)))</f>
        <v>0.01</v>
      </c>
      <c r="Z412" s="52">
        <f>IF(ISBLANK(O412),"",IF(O412="IB",8.63*200,IF(O412="IR",16*100,IF(O412="YT",20*100,IF(O412="YT-XT",24*200,IF(O412="TED",80*100))))))</f>
        <v>8000</v>
      </c>
      <c r="AA412" s="52" t="s">
        <v>1251</v>
      </c>
      <c r="AB412" s="52"/>
      <c r="AC412" s="52"/>
      <c r="AD412" s="231">
        <v>-0.06</v>
      </c>
      <c r="AE412" s="49"/>
      <c r="AF412" s="84"/>
      <c r="AG412" s="49"/>
      <c r="AH412" s="49"/>
      <c r="AI412" s="49"/>
      <c r="AJ412" s="226"/>
      <c r="AK412" s="49"/>
      <c r="AL412" s="113">
        <f t="shared" si="175"/>
        <v>-160</v>
      </c>
      <c r="AM412" s="113">
        <f t="shared" si="176"/>
        <v>-160</v>
      </c>
      <c r="AN412" s="218"/>
      <c r="AO412" s="49"/>
      <c r="AP412" s="49" t="s">
        <v>222</v>
      </c>
      <c r="AQ412" s="84" t="s">
        <v>142</v>
      </c>
      <c r="AR412" s="49" t="s">
        <v>1499</v>
      </c>
      <c r="AS412" s="55">
        <v>-0.06</v>
      </c>
      <c r="AT412" s="55">
        <f>IF(ISBLANK(AS412),,IF(U412="S",AD412-AS412,AS412-AD412))</f>
        <v>0</v>
      </c>
      <c r="AU412" s="54">
        <f>AV412*R412</f>
        <v>0</v>
      </c>
      <c r="AV412" s="56">
        <f t="shared" si="177"/>
        <v>0</v>
      </c>
      <c r="AW412" s="57" t="s">
        <v>155</v>
      </c>
      <c r="AX412" s="153"/>
      <c r="AY412" s="153"/>
      <c r="AZ412" s="153"/>
      <c r="BA412" s="153"/>
      <c r="BB412" s="153"/>
      <c r="BC412" s="153"/>
      <c r="BD412" s="151"/>
      <c r="BE412" s="152"/>
      <c r="BF412" s="151"/>
      <c r="BG412" s="94">
        <f>SUM($AV$4:AV412)</f>
        <v>2189.608692676491</v>
      </c>
      <c r="BH412" s="95">
        <f>SUM($AU$4:AU412)</f>
        <v>29916.380000000208</v>
      </c>
      <c r="BI412" s="80">
        <f>SUMIFS($AU$3:AU413,$Q$3:Q413,"F")</f>
        <v>22308.400000000001</v>
      </c>
      <c r="BJ412" s="80">
        <f>SUMIFS($AU$3:AU413,$Q$3:Q413,"S")</f>
        <v>5295.9999999999936</v>
      </c>
      <c r="BK412" s="87">
        <f>SUMIFS($AU$3:AU413,$P$3:P413,"W")</f>
        <v>21773.58000000014</v>
      </c>
      <c r="BL412" s="87">
        <f>SUMIFS($AU$3:AU413,$P$3:P413,"R")</f>
        <v>6477.9999999998608</v>
      </c>
      <c r="BM412" s="87">
        <f>SUMIFS($AU$3:AU413,$AQ$3:AQ413,"M")</f>
        <v>6408.7799999999179</v>
      </c>
      <c r="BN412" s="87">
        <f>SUMIFS($AU$3:AU413,$AQ$3:AQ413,"H")</f>
        <v>3899.2000000002818</v>
      </c>
      <c r="BO412" s="87">
        <f>SUMIFS($AU$3:AU413,$AQ$3:AQ413,"D")</f>
        <v>8210</v>
      </c>
      <c r="BP412" s="87">
        <f>SUMIFS($AU$3:AU500,$AQ$3:AQ500,"W")</f>
        <v>12022.400000000001</v>
      </c>
      <c r="BQ412" s="87">
        <f>SUMIFS($AU$3:AU413,$Q$3:Q413,"O")</f>
        <v>2087.9800000002169</v>
      </c>
      <c r="BR412" s="87">
        <f>SUMIFS($AU$3:AU413,$AA$3:AA413,"*")</f>
        <v>22917.200000000095</v>
      </c>
      <c r="BS412" s="87">
        <f>SUMIFS($AU$3:AU413,$AB$3:AB413,"*")</f>
        <v>6615.1799999999312</v>
      </c>
      <c r="BT412" s="87">
        <f>SUMIFS($AU$3:AU413,$AC$3:AC413,"*")</f>
        <v>17908.400000000001</v>
      </c>
      <c r="BU412" s="87">
        <f>SUMIFS($AU$3:AU413,$AA$3:AA413,"*",$AB$3:AB413,"*")</f>
        <v>4079.9999999998217</v>
      </c>
      <c r="BV412" s="87">
        <f>SUMIFS($AU$3:AU413,$AA$3:AA413,"*",$AC$3:AC413,"*")</f>
        <v>13444.4</v>
      </c>
      <c r="BW412" s="87">
        <f>SUMIFS($AU$3:AU413,$AB$3:AB413,"*",$AC$3:AC413,"*")</f>
        <v>3279.9999999999982</v>
      </c>
      <c r="BX412" s="87">
        <f>SUMIFS($AV$3:AV413,$Q$3:Q413,"F")</f>
        <v>396.19230875404793</v>
      </c>
      <c r="BY412" s="87">
        <f>SUMIFS($AV$3:AV413,$Q$3:Q413,"S")</f>
        <v>337.77638392253402</v>
      </c>
      <c r="BZ412" s="87">
        <f>SUMIFS($AV$3:AV413,$Q$3:Q413,"O")</f>
        <v>707.63999999990438</v>
      </c>
    </row>
    <row r="413" spans="1:78" ht="15.75" customHeight="1">
      <c r="A413" s="45" t="s">
        <v>1310</v>
      </c>
      <c r="B413" s="59">
        <v>45392</v>
      </c>
      <c r="C413" s="46" t="s">
        <v>1500</v>
      </c>
      <c r="D413" s="46" t="s">
        <v>186</v>
      </c>
      <c r="E413" s="66"/>
      <c r="F413" s="47"/>
      <c r="G413" s="106" t="s">
        <v>1501</v>
      </c>
      <c r="H413" s="49"/>
      <c r="I413" s="49"/>
      <c r="J413" s="49"/>
      <c r="K413" s="50"/>
      <c r="L413" s="49">
        <v>1</v>
      </c>
      <c r="M413" s="49"/>
      <c r="N413" s="49"/>
      <c r="O413" s="50" t="s">
        <v>100</v>
      </c>
      <c r="P413" s="50" t="s">
        <v>101</v>
      </c>
      <c r="Q413" s="50" t="s">
        <v>102</v>
      </c>
      <c r="R413" s="50">
        <v>30</v>
      </c>
      <c r="S413" s="161">
        <v>0</v>
      </c>
      <c r="T413" s="50">
        <v>30</v>
      </c>
      <c r="U413" s="50" t="s">
        <v>102</v>
      </c>
      <c r="V413" s="50"/>
      <c r="W413" s="50"/>
      <c r="X413" s="50"/>
      <c r="Y413" s="51">
        <f>IF(ISBLANK(O413),"",(IF(O413=UPPER("IB"),0.005,0.01)))</f>
        <v>0.01</v>
      </c>
      <c r="Z413" s="52">
        <f>IF(ISBLANK(O413),"",IF(O413="IB",8.63*200,IF(O413="IR",16*100,IF(O413="YT",20*100,IF(O413="YT-XT",24*200,IF(O413="TED",80*100,IF(O413="XT",29*200)))))))</f>
        <v>1600</v>
      </c>
      <c r="AA413" s="52"/>
      <c r="AB413" s="52"/>
      <c r="AC413" s="52"/>
      <c r="AD413" s="231">
        <v>-0.19</v>
      </c>
      <c r="AE413" s="49"/>
      <c r="AF413" s="84"/>
      <c r="AG413" s="49"/>
      <c r="AH413" s="49"/>
      <c r="AI413" s="49"/>
      <c r="AJ413" s="226"/>
      <c r="AK413" s="49"/>
      <c r="AL413" s="113">
        <f t="shared" si="175"/>
        <v>-32</v>
      </c>
      <c r="AM413" s="113">
        <f t="shared" si="176"/>
        <v>-960</v>
      </c>
      <c r="AN413" s="218"/>
      <c r="AO413" s="49"/>
      <c r="AP413" s="49"/>
      <c r="AQ413" s="84" t="s">
        <v>350</v>
      </c>
      <c r="AR413" s="49"/>
      <c r="AS413" s="55">
        <v>-0.19</v>
      </c>
      <c r="AT413" s="55">
        <f>IF(ISBLANK(AS413),,IF(U413="S",AD413-AS413,AS413-AD413))</f>
        <v>0</v>
      </c>
      <c r="AU413" s="54">
        <f>AV413*R413</f>
        <v>0</v>
      </c>
      <c r="AV413" s="56">
        <f t="shared" si="177"/>
        <v>0</v>
      </c>
      <c r="AW413" s="57" t="s">
        <v>155</v>
      </c>
      <c r="AX413" s="153" t="s">
        <v>1474</v>
      </c>
      <c r="AY413" s="153"/>
      <c r="AZ413" s="153"/>
      <c r="BA413" s="153"/>
      <c r="BB413" s="153"/>
      <c r="BC413" s="153"/>
      <c r="BD413" s="151"/>
      <c r="BE413" s="152"/>
      <c r="BF413" s="151"/>
      <c r="BG413" s="94">
        <f>SUM($AV$4:AV413)</f>
        <v>2189.608692676491</v>
      </c>
      <c r="BH413" s="95">
        <f>SUM($AU$4:AU413)</f>
        <v>29916.380000000208</v>
      </c>
      <c r="BI413" s="80">
        <f>SUMIFS($AU$3:AU414,$Q$3:Q414,"F")</f>
        <v>22308.400000000001</v>
      </c>
      <c r="BJ413" s="80">
        <f>SUMIFS($AU$3:AU414,$Q$3:Q414,"S")</f>
        <v>5295.9999999999936</v>
      </c>
      <c r="BK413" s="87">
        <f>SUMIFS($AU$3:AU414,$P$3:P414,"W")</f>
        <v>21773.58000000014</v>
      </c>
      <c r="BL413" s="87">
        <f>SUMIFS($AU$3:AU414,$P$3:P414,"R")</f>
        <v>6477.9999999998608</v>
      </c>
      <c r="BM413" s="87">
        <f>SUMIFS($AU$3:AU414,$AQ$3:AQ414,"M")</f>
        <v>6408.7799999999179</v>
      </c>
      <c r="BN413" s="87">
        <f>SUMIFS($AU$3:AU414,$AQ$3:AQ414,"H")</f>
        <v>3899.2000000002818</v>
      </c>
      <c r="BO413" s="87">
        <f>SUMIFS($AU$3:AU414,$AQ$3:AQ414,"D")</f>
        <v>8210</v>
      </c>
      <c r="BP413" s="87">
        <f>SUMIFS($AU$3:AU501,$AQ$3:AQ501,"W")</f>
        <v>12022.400000000001</v>
      </c>
      <c r="BQ413" s="87">
        <f>SUMIFS($AU$3:AU414,$Q$3:Q414,"O")</f>
        <v>2087.9800000002169</v>
      </c>
      <c r="BR413" s="87">
        <f>SUMIFS($AU$3:AU414,$AA$3:AA414,"*")</f>
        <v>22917.200000000095</v>
      </c>
      <c r="BS413" s="87">
        <f>SUMIFS($AU$3:AU414,$AB$3:AB414,"*")</f>
        <v>6615.1799999999312</v>
      </c>
      <c r="BT413" s="87">
        <f>SUMIFS($AU$3:AU414,$AC$3:AC414,"*")</f>
        <v>17908.400000000001</v>
      </c>
      <c r="BU413" s="87">
        <f>SUMIFS($AU$3:AU414,$AA$3:AA414,"*",$AB$3:AB414,"*")</f>
        <v>4079.9999999998217</v>
      </c>
      <c r="BV413" s="87">
        <f>SUMIFS($AU$3:AU414,$AA$3:AA414,"*",$AC$3:AC414,"*")</f>
        <v>13444.4</v>
      </c>
      <c r="BW413" s="87">
        <f>SUMIFS($AU$3:AU414,$AB$3:AB414,"*",$AC$3:AC414,"*")</f>
        <v>3279.9999999999982</v>
      </c>
      <c r="BX413" s="87">
        <f>SUMIFS($AV$3:AV414,$Q$3:Q414,"F")</f>
        <v>396.19230875404793</v>
      </c>
      <c r="BY413" s="87">
        <f>SUMIFS($AV$3:AV414,$Q$3:Q414,"S")</f>
        <v>337.77638392253402</v>
      </c>
      <c r="BZ413" s="87">
        <f>SUMIFS($AV$3:AV414,$Q$3:Q414,"O")</f>
        <v>707.63999999990438</v>
      </c>
    </row>
    <row r="414" spans="1:78" ht="15.75" customHeight="1">
      <c r="A414" s="45" t="s">
        <v>1310</v>
      </c>
      <c r="B414" s="59">
        <v>45392</v>
      </c>
      <c r="C414" s="46" t="s">
        <v>1502</v>
      </c>
      <c r="D414" s="46" t="s">
        <v>186</v>
      </c>
      <c r="E414" s="66"/>
      <c r="F414" s="47"/>
      <c r="G414" s="106" t="s">
        <v>227</v>
      </c>
      <c r="H414" s="49"/>
      <c r="I414" s="49"/>
      <c r="J414" s="49"/>
      <c r="K414" s="50"/>
      <c r="L414" s="49">
        <v>1</v>
      </c>
      <c r="M414" s="49"/>
      <c r="N414" s="49"/>
      <c r="O414" s="50" t="s">
        <v>100</v>
      </c>
      <c r="P414" s="50" t="s">
        <v>101</v>
      </c>
      <c r="Q414" s="50" t="s">
        <v>102</v>
      </c>
      <c r="R414" s="50">
        <v>20</v>
      </c>
      <c r="S414" s="161">
        <v>0</v>
      </c>
      <c r="T414" s="50">
        <v>20</v>
      </c>
      <c r="U414" s="50" t="s">
        <v>102</v>
      </c>
      <c r="V414" s="50"/>
      <c r="W414" s="50"/>
      <c r="X414" s="50"/>
      <c r="Y414" s="51">
        <f>IF(ISBLANK(O414),"",(IF(O414=UPPER("IB"),0.005,0.01)))</f>
        <v>0.01</v>
      </c>
      <c r="Z414" s="52">
        <f>IF(ISBLANK(O414),"",IF(O414="IB",8.63*200,IF(O414="IR",16*100,IF(O414="YT",20*100,IF(O414="YT-XT",24*200,IF(O414="TED",80*100,IF(O414="XT",29*200)))))))</f>
        <v>1600</v>
      </c>
      <c r="AA414" s="52" t="s">
        <v>289</v>
      </c>
      <c r="AB414" s="52"/>
      <c r="AC414" s="52"/>
      <c r="AD414" s="231">
        <v>-0.1</v>
      </c>
      <c r="AE414" s="49"/>
      <c r="AF414" s="84"/>
      <c r="AG414" s="49"/>
      <c r="AH414" s="49"/>
      <c r="AI414" s="49"/>
      <c r="AJ414" s="226"/>
      <c r="AK414" s="49"/>
      <c r="AL414" s="113">
        <f t="shared" si="175"/>
        <v>-32</v>
      </c>
      <c r="AM414" s="113">
        <f t="shared" si="176"/>
        <v>-640</v>
      </c>
      <c r="AN414" s="218"/>
      <c r="AO414" s="49"/>
      <c r="AP414" s="49"/>
      <c r="AQ414" s="84" t="s">
        <v>350</v>
      </c>
      <c r="AR414" s="49"/>
      <c r="AS414" s="55">
        <v>-0.1</v>
      </c>
      <c r="AT414" s="55">
        <f>IF(ISBLANK(AS414),,IF(U414="S",AD414-AS414,AS414-AD414))</f>
        <v>0</v>
      </c>
      <c r="AU414" s="54">
        <f>AV414*R414</f>
        <v>0</v>
      </c>
      <c r="AV414" s="56">
        <f t="shared" si="177"/>
        <v>0</v>
      </c>
      <c r="AW414" s="57" t="s">
        <v>155</v>
      </c>
      <c r="AX414" s="153"/>
      <c r="AY414" s="153"/>
      <c r="AZ414" s="153"/>
      <c r="BA414" s="153"/>
      <c r="BB414" s="153"/>
      <c r="BC414" s="153"/>
      <c r="BD414" s="151"/>
      <c r="BE414" s="152"/>
      <c r="BF414" s="151"/>
      <c r="BG414" s="94">
        <f>SUM($AV$4:AV414)</f>
        <v>2189.608692676491</v>
      </c>
      <c r="BH414" s="95">
        <f>SUM($AU$4:AU414)</f>
        <v>29916.380000000208</v>
      </c>
      <c r="BI414" s="80">
        <f>SUMIFS($AU$3:AU415,$Q$3:Q415,"F")</f>
        <v>22308.400000000001</v>
      </c>
      <c r="BJ414" s="80">
        <f>SUMIFS($AU$3:AU415,$Q$3:Q415,"S")</f>
        <v>5295.9999999999936</v>
      </c>
      <c r="BK414" s="87">
        <f>SUMIFS($AU$3:AU415,$P$3:P415,"W")</f>
        <v>21773.58000000014</v>
      </c>
      <c r="BL414" s="87">
        <f>SUMIFS($AU$3:AU415,$P$3:P415,"R")</f>
        <v>6477.9999999998608</v>
      </c>
      <c r="BM414" s="87">
        <f>SUMIFS($AU$3:AU415,$AQ$3:AQ415,"M")</f>
        <v>6408.7799999999179</v>
      </c>
      <c r="BN414" s="87">
        <f>SUMIFS($AU$3:AU415,$AQ$3:AQ415,"H")</f>
        <v>3899.2000000002818</v>
      </c>
      <c r="BO414" s="87">
        <f>SUMIFS($AU$3:AU415,$AQ$3:AQ415,"D")</f>
        <v>8210</v>
      </c>
      <c r="BP414" s="87">
        <f>SUMIFS($AU$3:AU502,$AQ$3:AQ502,"W")</f>
        <v>12022.400000000001</v>
      </c>
      <c r="BQ414" s="87">
        <f>SUMIFS($AU$3:AU415,$Q$3:Q415,"O")</f>
        <v>2087.9800000002169</v>
      </c>
      <c r="BR414" s="87">
        <f>SUMIFS($AU$3:AU415,$AA$3:AA415,"*")</f>
        <v>22917.200000000095</v>
      </c>
      <c r="BS414" s="87">
        <f>SUMIFS($AU$3:AU415,$AB$3:AB415,"*")</f>
        <v>6615.1799999999312</v>
      </c>
      <c r="BT414" s="87">
        <f>SUMIFS($AU$3:AU415,$AC$3:AC415,"*")</f>
        <v>17908.400000000001</v>
      </c>
      <c r="BU414" s="87">
        <f>SUMIFS($AU$3:AU415,$AA$3:AA415,"*",$AB$3:AB415,"*")</f>
        <v>4079.9999999998217</v>
      </c>
      <c r="BV414" s="87">
        <f>SUMIFS($AU$3:AU415,$AA$3:AA415,"*",$AC$3:AC415,"*")</f>
        <v>13444.4</v>
      </c>
      <c r="BW414" s="87">
        <f>SUMIFS($AU$3:AU415,$AB$3:AB415,"*",$AC$3:AC415,"*")</f>
        <v>3279.9999999999982</v>
      </c>
      <c r="BX414" s="87">
        <f>SUMIFS($AV$3:AV415,$Q$3:Q415,"F")</f>
        <v>396.19230875404793</v>
      </c>
      <c r="BY414" s="87">
        <f>SUMIFS($AV$3:AV415,$Q$3:Q415,"S")</f>
        <v>337.77638392253402</v>
      </c>
      <c r="BZ414" s="87">
        <f>SUMIFS($AV$3:AV415,$Q$3:Q415,"O")</f>
        <v>707.63999999990438</v>
      </c>
    </row>
    <row r="415" spans="1:78" ht="15.75" customHeight="1">
      <c r="A415" s="45" t="s">
        <v>1310</v>
      </c>
      <c r="B415" s="59">
        <v>45393</v>
      </c>
      <c r="C415" s="46" t="s">
        <v>1503</v>
      </c>
      <c r="D415" s="46" t="s">
        <v>107</v>
      </c>
      <c r="E415" s="66"/>
      <c r="F415" s="47"/>
      <c r="G415" s="48" t="s">
        <v>1504</v>
      </c>
      <c r="H415" s="49"/>
      <c r="I415" s="49"/>
      <c r="J415" s="49"/>
      <c r="K415" s="50"/>
      <c r="L415" s="49">
        <v>1</v>
      </c>
      <c r="M415" s="49"/>
      <c r="N415" s="49"/>
      <c r="O415" s="50"/>
      <c r="P415" s="50"/>
      <c r="Q415" s="50"/>
      <c r="R415" s="50"/>
      <c r="S415" s="161"/>
      <c r="T415" s="50"/>
      <c r="U415" s="50"/>
      <c r="V415" s="50"/>
      <c r="W415" s="50"/>
      <c r="X415" s="50"/>
      <c r="Y415" s="51"/>
      <c r="Z415" s="52"/>
      <c r="AA415" s="52"/>
      <c r="AB415" s="52"/>
      <c r="AC415" s="52"/>
      <c r="AD415" s="231"/>
      <c r="AE415" s="49"/>
      <c r="AF415" s="84"/>
      <c r="AG415" s="49"/>
      <c r="AH415" s="49"/>
      <c r="AI415" s="49"/>
      <c r="AJ415" s="226"/>
      <c r="AK415" s="49"/>
      <c r="AL415" s="113">
        <f t="shared" si="175"/>
        <v>0</v>
      </c>
      <c r="AM415" s="113">
        <f t="shared" si="176"/>
        <v>0</v>
      </c>
      <c r="AN415" s="218"/>
      <c r="AO415" s="49"/>
      <c r="AP415" s="49"/>
      <c r="AQ415" s="84" t="str">
        <f>UPPER(RIGHT(Journal_Live[[#This Row],[DURATION ]]))</f>
        <v/>
      </c>
      <c r="AR415" s="49"/>
      <c r="AS415" s="55"/>
      <c r="AT415" s="55"/>
      <c r="AU415" s="54"/>
      <c r="AV415" s="56"/>
      <c r="AW415" s="57"/>
      <c r="AX415" s="153"/>
      <c r="AY415" s="153"/>
      <c r="AZ415" s="153"/>
      <c r="BA415" s="153"/>
      <c r="BB415" s="153"/>
      <c r="BC415" s="153"/>
      <c r="BD415" s="151"/>
      <c r="BE415" s="152"/>
      <c r="BF415" s="151"/>
      <c r="BG415" s="94">
        <f>SUM($AV$4:AV415)</f>
        <v>2189.608692676491</v>
      </c>
      <c r="BH415" s="95">
        <f>SUM($AU$4:AU415)</f>
        <v>29916.380000000208</v>
      </c>
      <c r="BI415" s="80">
        <f>SUMIFS($AU$3:AU416,$Q$3:Q416,"F")</f>
        <v>22308.400000000001</v>
      </c>
      <c r="BJ415" s="80">
        <f>SUMIFS($AU$3:AU416,$Q$3:Q416,"S")</f>
        <v>5295.9999999999936</v>
      </c>
      <c r="BK415" s="87">
        <f>SUMIFS($AU$3:AU416,$P$3:P416,"W")</f>
        <v>21773.58000000014</v>
      </c>
      <c r="BL415" s="87">
        <f>SUMIFS($AU$3:AU416,$P$3:P416,"R")</f>
        <v>6477.9999999998608</v>
      </c>
      <c r="BM415" s="87">
        <f>SUMIFS($AU$3:AU416,$AQ$3:AQ416,"M")</f>
        <v>6408.7799999999179</v>
      </c>
      <c r="BN415" s="87">
        <f>SUMIFS($AU$3:AU416,$AQ$3:AQ416,"H")</f>
        <v>3899.2000000002818</v>
      </c>
      <c r="BO415" s="87">
        <f>SUMIFS($AU$3:AU416,$AQ$3:AQ416,"D")</f>
        <v>8210</v>
      </c>
      <c r="BP415" s="87">
        <f>SUMIFS($AU$3:AU503,$AQ$3:AQ503,"W")</f>
        <v>12022.400000000001</v>
      </c>
      <c r="BQ415" s="87">
        <f>SUMIFS($AU$3:AU416,$Q$3:Q416,"O")</f>
        <v>2087.9800000002169</v>
      </c>
      <c r="BR415" s="87">
        <f>SUMIFS($AU$3:AU416,$AA$3:AA416,"*")</f>
        <v>22917.200000000095</v>
      </c>
      <c r="BS415" s="87">
        <f>SUMIFS($AU$3:AU416,$AB$3:AB416,"*")</f>
        <v>6615.1799999999312</v>
      </c>
      <c r="BT415" s="87">
        <f>SUMIFS($AU$3:AU416,$AC$3:AC416,"*")</f>
        <v>17908.400000000001</v>
      </c>
      <c r="BU415" s="87">
        <f>SUMIFS($AU$3:AU416,$AA$3:AA416,"*",$AB$3:AB416,"*")</f>
        <v>4079.9999999998217</v>
      </c>
      <c r="BV415" s="87">
        <f>SUMIFS($AU$3:AU416,$AA$3:AA416,"*",$AC$3:AC416,"*")</f>
        <v>13444.4</v>
      </c>
      <c r="BW415" s="87">
        <f>SUMIFS($AU$3:AU416,$AB$3:AB416,"*",$AC$3:AC416,"*")</f>
        <v>3279.9999999999982</v>
      </c>
      <c r="BX415" s="87">
        <f>SUMIFS($AV$3:AV416,$Q$3:Q416,"F")</f>
        <v>396.19230875404793</v>
      </c>
      <c r="BY415" s="87">
        <f>SUMIFS($AV$3:AV416,$Q$3:Q416,"S")</f>
        <v>337.77638392253402</v>
      </c>
      <c r="BZ415" s="87">
        <f>SUMIFS($AV$3:AV416,$Q$3:Q416,"O")</f>
        <v>707.63999999990438</v>
      </c>
    </row>
    <row r="416" spans="1:78" ht="15.75" customHeight="1">
      <c r="A416" s="45" t="s">
        <v>1310</v>
      </c>
      <c r="B416" s="59">
        <v>45393</v>
      </c>
      <c r="C416" s="46" t="s">
        <v>114</v>
      </c>
      <c r="D416" s="46" t="s">
        <v>107</v>
      </c>
      <c r="E416" s="66"/>
      <c r="F416" s="47"/>
      <c r="G416" s="48" t="s">
        <v>111</v>
      </c>
      <c r="H416" s="49"/>
      <c r="I416" s="49"/>
      <c r="J416" s="49"/>
      <c r="K416" s="50"/>
      <c r="L416" s="49">
        <v>1</v>
      </c>
      <c r="M416" s="49"/>
      <c r="N416" s="49"/>
      <c r="O416" s="50"/>
      <c r="P416" s="50"/>
      <c r="Q416" s="50"/>
      <c r="R416" s="50"/>
      <c r="S416" s="161"/>
      <c r="T416" s="50"/>
      <c r="U416" s="50"/>
      <c r="V416" s="50"/>
      <c r="W416" s="50"/>
      <c r="X416" s="50"/>
      <c r="Y416" s="51"/>
      <c r="Z416" s="52"/>
      <c r="AA416" s="52"/>
      <c r="AB416" s="52"/>
      <c r="AC416" s="52"/>
      <c r="AD416" s="231"/>
      <c r="AE416" s="49"/>
      <c r="AF416" s="84"/>
      <c r="AG416" s="49"/>
      <c r="AH416" s="49"/>
      <c r="AI416" s="49"/>
      <c r="AJ416" s="226"/>
      <c r="AK416" s="49"/>
      <c r="AL416" s="113">
        <f t="shared" si="175"/>
        <v>0</v>
      </c>
      <c r="AM416" s="113">
        <f t="shared" si="176"/>
        <v>0</v>
      </c>
      <c r="AN416" s="218"/>
      <c r="AO416" s="49"/>
      <c r="AP416" s="49"/>
      <c r="AQ416" s="84" t="str">
        <f>UPPER(RIGHT(Journal_Live[[#This Row],[DURATION ]]))</f>
        <v/>
      </c>
      <c r="AR416" s="49"/>
      <c r="AS416" s="55"/>
      <c r="AT416" s="55"/>
      <c r="AU416" s="54"/>
      <c r="AV416" s="56"/>
      <c r="AW416" s="57"/>
      <c r="AX416" s="153"/>
      <c r="AY416" s="153"/>
      <c r="AZ416" s="153"/>
      <c r="BA416" s="153"/>
      <c r="BB416" s="153"/>
      <c r="BC416" s="153"/>
      <c r="BD416" s="151"/>
      <c r="BE416" s="152"/>
      <c r="BF416" s="151"/>
      <c r="BG416" s="94">
        <f>SUM($AV$4:AV416)</f>
        <v>2189.608692676491</v>
      </c>
      <c r="BH416" s="95">
        <f>SUM($AU$4:AU416)</f>
        <v>29916.380000000208</v>
      </c>
      <c r="BI416" s="80">
        <f>SUMIFS($AU$3:AU417,$Q$3:Q417,"F")</f>
        <v>22308.400000000001</v>
      </c>
      <c r="BJ416" s="80">
        <f>SUMIFS($AU$3:AU417,$Q$3:Q417,"S")</f>
        <v>5295.9999999999936</v>
      </c>
      <c r="BK416" s="87">
        <f>SUMIFS($AU$3:AU417,$P$3:P417,"W")</f>
        <v>21773.58000000014</v>
      </c>
      <c r="BL416" s="87">
        <f>SUMIFS($AU$3:AU417,$P$3:P417,"R")</f>
        <v>6477.9999999998608</v>
      </c>
      <c r="BM416" s="87">
        <f>SUMIFS($AU$3:AU417,$AQ$3:AQ417,"M")</f>
        <v>6408.7799999999179</v>
      </c>
      <c r="BN416" s="87">
        <f>SUMIFS($AU$3:AU417,$AQ$3:AQ417,"H")</f>
        <v>3899.2000000002818</v>
      </c>
      <c r="BO416" s="87">
        <f>SUMIFS($AU$3:AU417,$AQ$3:AQ417,"D")</f>
        <v>8210</v>
      </c>
      <c r="BP416" s="87">
        <f>SUMIFS($AU$3:AU504,$AQ$3:AQ504,"W")</f>
        <v>12022.400000000001</v>
      </c>
      <c r="BQ416" s="87">
        <f>SUMIFS($AU$3:AU417,$Q$3:Q417,"O")</f>
        <v>2087.9800000002169</v>
      </c>
      <c r="BR416" s="87">
        <f>SUMIFS($AU$3:AU417,$AA$3:AA417,"*")</f>
        <v>22917.200000000095</v>
      </c>
      <c r="BS416" s="87">
        <f>SUMIFS($AU$3:AU417,$AB$3:AB417,"*")</f>
        <v>6615.1799999999312</v>
      </c>
      <c r="BT416" s="87">
        <f>SUMIFS($AU$3:AU417,$AC$3:AC417,"*")</f>
        <v>17908.400000000001</v>
      </c>
      <c r="BU416" s="87">
        <f>SUMIFS($AU$3:AU417,$AA$3:AA417,"*",$AB$3:AB417,"*")</f>
        <v>4079.9999999998217</v>
      </c>
      <c r="BV416" s="87">
        <f>SUMIFS($AU$3:AU417,$AA$3:AA417,"*",$AC$3:AC417,"*")</f>
        <v>13444.4</v>
      </c>
      <c r="BW416" s="87">
        <f>SUMIFS($AU$3:AU417,$AB$3:AB417,"*",$AC$3:AC417,"*")</f>
        <v>3279.9999999999982</v>
      </c>
      <c r="BX416" s="87">
        <f>SUMIFS($AV$3:AV417,$Q$3:Q417,"F")</f>
        <v>396.19230875404793</v>
      </c>
      <c r="BY416" s="87">
        <f>SUMIFS($AV$3:AV417,$Q$3:Q417,"S")</f>
        <v>337.77638392253402</v>
      </c>
      <c r="BZ416" s="87">
        <f>SUMIFS($AV$3:AV417,$Q$3:Q417,"O")</f>
        <v>707.63999999990438</v>
      </c>
    </row>
    <row r="417" spans="1:78" ht="15.75" customHeight="1">
      <c r="A417" s="45" t="s">
        <v>1310</v>
      </c>
      <c r="B417" s="59">
        <v>45393</v>
      </c>
      <c r="C417" s="46" t="s">
        <v>114</v>
      </c>
      <c r="D417" s="46" t="s">
        <v>107</v>
      </c>
      <c r="E417" s="66"/>
      <c r="F417" s="47"/>
      <c r="G417" s="48" t="s">
        <v>113</v>
      </c>
      <c r="H417" s="49"/>
      <c r="I417" s="49"/>
      <c r="J417" s="49"/>
      <c r="K417" s="50"/>
      <c r="L417" s="49"/>
      <c r="M417" s="49"/>
      <c r="N417" s="49"/>
      <c r="O417" s="50"/>
      <c r="P417" s="50"/>
      <c r="Q417" s="50"/>
      <c r="R417" s="50"/>
      <c r="S417" s="161"/>
      <c r="T417" s="50"/>
      <c r="U417" s="50"/>
      <c r="V417" s="50"/>
      <c r="W417" s="50"/>
      <c r="X417" s="50"/>
      <c r="Y417" s="51"/>
      <c r="Z417" s="52"/>
      <c r="AA417" s="52"/>
      <c r="AB417" s="52"/>
      <c r="AC417" s="52"/>
      <c r="AD417" s="231"/>
      <c r="AE417" s="49"/>
      <c r="AF417" s="84"/>
      <c r="AG417" s="49"/>
      <c r="AH417" s="49"/>
      <c r="AI417" s="49"/>
      <c r="AJ417" s="226"/>
      <c r="AK417" s="49"/>
      <c r="AL417" s="113">
        <f t="shared" si="159"/>
        <v>0</v>
      </c>
      <c r="AM417" s="113">
        <f t="shared" si="176"/>
        <v>0</v>
      </c>
      <c r="AN417" s="218"/>
      <c r="AO417" s="49"/>
      <c r="AP417" s="49"/>
      <c r="AQ417" s="84" t="str">
        <f>UPPER(RIGHT(Journal_Live[[#This Row],[DURATION ]]))</f>
        <v/>
      </c>
      <c r="AR417" s="49"/>
      <c r="AS417" s="55"/>
      <c r="AT417" s="55"/>
      <c r="AU417" s="54"/>
      <c r="AV417" s="56"/>
      <c r="AW417" s="57"/>
      <c r="AX417" s="153"/>
      <c r="AY417" s="153"/>
      <c r="AZ417" s="153"/>
      <c r="BA417" s="153"/>
      <c r="BB417" s="153"/>
      <c r="BC417" s="153"/>
      <c r="BD417" s="151"/>
      <c r="BE417" s="152"/>
      <c r="BF417" s="151"/>
      <c r="BG417" s="94">
        <f>SUM($AV$4:AV417)</f>
        <v>2189.608692676491</v>
      </c>
      <c r="BH417" s="95">
        <f>SUM($AU$4:AU417)</f>
        <v>29916.380000000208</v>
      </c>
      <c r="BI417" s="80">
        <f>SUMIFS($AU$3:AU418,$Q$3:Q418,"F")</f>
        <v>22308.400000000001</v>
      </c>
      <c r="BJ417" s="80">
        <f>SUMIFS($AU$3:AU418,$Q$3:Q418,"S")</f>
        <v>5295.9999999999936</v>
      </c>
      <c r="BK417" s="87">
        <f>SUMIFS($AU$3:AU418,$P$3:P418,"W")</f>
        <v>21773.58000000014</v>
      </c>
      <c r="BL417" s="87">
        <f>SUMIFS($AU$3:AU418,$P$3:P418,"R")</f>
        <v>6477.9999999998608</v>
      </c>
      <c r="BM417" s="87">
        <f>SUMIFS($AU$3:AU418,$AQ$3:AQ418,"M")</f>
        <v>6408.7799999999179</v>
      </c>
      <c r="BN417" s="87">
        <f>SUMIFS($AU$3:AU418,$AQ$3:AQ418,"H")</f>
        <v>3899.2000000002818</v>
      </c>
      <c r="BO417" s="87">
        <f>SUMIFS($AU$3:AU418,$AQ$3:AQ418,"D")</f>
        <v>8210</v>
      </c>
      <c r="BP417" s="87">
        <f>SUMIFS($AU$3:AU505,$AQ$3:AQ505,"W")</f>
        <v>12022.400000000001</v>
      </c>
      <c r="BQ417" s="87">
        <f>SUMIFS($AU$3:AU418,$Q$3:Q418,"O")</f>
        <v>2087.9800000002169</v>
      </c>
      <c r="BR417" s="87">
        <f>SUMIFS($AU$3:AU418,$AA$3:AA418,"*")</f>
        <v>22917.200000000095</v>
      </c>
      <c r="BS417" s="87">
        <f>SUMIFS($AU$3:AU418,$AB$3:AB418,"*")</f>
        <v>6615.1799999999312</v>
      </c>
      <c r="BT417" s="87">
        <f>SUMIFS($AU$3:AU418,$AC$3:AC418,"*")</f>
        <v>17908.400000000001</v>
      </c>
      <c r="BU417" s="87">
        <f>SUMIFS($AU$3:AU418,$AA$3:AA418,"*",$AB$3:AB418,"*")</f>
        <v>4079.9999999998217</v>
      </c>
      <c r="BV417" s="87">
        <f>SUMIFS($AU$3:AU418,$AA$3:AA418,"*",$AC$3:AC418,"*")</f>
        <v>13444.4</v>
      </c>
      <c r="BW417" s="87">
        <f>SUMIFS($AU$3:AU418,$AB$3:AB418,"*",$AC$3:AC418,"*")</f>
        <v>3279.9999999999982</v>
      </c>
      <c r="BX417" s="87">
        <f>SUMIFS($AV$3:AV418,$Q$3:Q418,"F")</f>
        <v>396.19230875404793</v>
      </c>
      <c r="BY417" s="87">
        <f>SUMIFS($AV$3:AV418,$Q$3:Q418,"S")</f>
        <v>337.77638392253402</v>
      </c>
      <c r="BZ417" s="87">
        <f>SUMIFS($AV$3:AV418,$Q$3:Q418,"O")</f>
        <v>707.63999999990438</v>
      </c>
    </row>
    <row r="418" spans="1:78" ht="15.75" customHeight="1">
      <c r="A418" s="45" t="s">
        <v>1310</v>
      </c>
      <c r="B418" s="59"/>
      <c r="C418" s="46"/>
      <c r="D418" s="46"/>
      <c r="E418" s="66"/>
      <c r="F418" s="47"/>
      <c r="G418" s="48"/>
      <c r="H418" s="49"/>
      <c r="I418" s="49"/>
      <c r="J418" s="49"/>
      <c r="K418" s="50"/>
      <c r="L418" s="49"/>
      <c r="M418" s="49"/>
      <c r="N418" s="49"/>
      <c r="O418" s="50"/>
      <c r="P418" s="50"/>
      <c r="Q418" s="50"/>
      <c r="R418" s="50"/>
      <c r="S418" s="50"/>
      <c r="T418" s="50"/>
      <c r="U418" s="50"/>
      <c r="V418" s="50"/>
      <c r="W418" s="50"/>
      <c r="X418" s="50"/>
      <c r="Y418" s="50"/>
      <c r="Z418" s="50"/>
      <c r="AA418" s="52"/>
      <c r="AB418" s="52"/>
      <c r="AC418" s="52"/>
      <c r="AD418" s="231"/>
      <c r="AE418" s="49"/>
      <c r="AF418" s="84"/>
      <c r="AG418" s="49"/>
      <c r="AH418" s="49"/>
      <c r="AI418" s="49"/>
      <c r="AJ418" s="226"/>
      <c r="AK418" s="49"/>
      <c r="AL418" s="113">
        <f t="shared" si="159"/>
        <v>0</v>
      </c>
      <c r="AM418" s="113">
        <f t="shared" si="176"/>
        <v>0</v>
      </c>
      <c r="AN418" s="218"/>
      <c r="AO418" s="49"/>
      <c r="AP418" s="49"/>
      <c r="AQ418" s="84" t="str">
        <f>UPPER(RIGHT(Journal_Live[[#This Row],[DURATION ]]))</f>
        <v/>
      </c>
      <c r="AR418" s="49"/>
      <c r="AS418" s="55"/>
      <c r="AT418" s="55"/>
      <c r="AU418" s="54"/>
      <c r="AV418" s="56"/>
      <c r="AW418" s="57"/>
      <c r="AX418" s="99" t="s">
        <v>992</v>
      </c>
      <c r="AY418" s="153" t="s">
        <v>1505</v>
      </c>
      <c r="AZ418" s="153" t="s">
        <v>1506</v>
      </c>
      <c r="BA418" s="153" t="s">
        <v>1507</v>
      </c>
      <c r="BB418" s="153" t="s">
        <v>1508</v>
      </c>
      <c r="BC418" s="153" t="s">
        <v>1509</v>
      </c>
      <c r="BD418" s="151" t="s">
        <v>1510</v>
      </c>
      <c r="BE418" s="152" t="s">
        <v>1511</v>
      </c>
      <c r="BF418" s="151"/>
      <c r="BG418" s="94">
        <f>SUM($AV$4:AV418)</f>
        <v>2189.608692676491</v>
      </c>
      <c r="BH418" s="95">
        <f>SUM($AU$4:AU418)</f>
        <v>29916.380000000208</v>
      </c>
      <c r="BI418" s="80">
        <f>SUMIFS($AU$3:AU419,$Q$3:Q419,"F")</f>
        <v>22308.400000000001</v>
      </c>
      <c r="BJ418" s="80">
        <f>SUMIFS($AU$3:AU419,$Q$3:Q419,"S")</f>
        <v>5295.9999999999936</v>
      </c>
      <c r="BK418" s="87">
        <f>SUMIFS($AU$3:AU419,$P$3:P419,"W")</f>
        <v>21773.58000000014</v>
      </c>
      <c r="BL418" s="87">
        <f>SUMIFS($AU$3:AU419,$P$3:P419,"R")</f>
        <v>6477.9999999998608</v>
      </c>
      <c r="BM418" s="87">
        <f>SUMIFS($AU$3:AU419,$AQ$3:AQ419,"M")</f>
        <v>6408.7799999999179</v>
      </c>
      <c r="BN418" s="87">
        <f>SUMIFS($AU$3:AU419,$AQ$3:AQ419,"H")</f>
        <v>3899.2000000002818</v>
      </c>
      <c r="BO418" s="87">
        <f>SUMIFS($AU$3:AU419,$AQ$3:AQ419,"D")</f>
        <v>8210</v>
      </c>
      <c r="BP418" s="87">
        <f>SUMIFS($AU$3:AU506,$AQ$3:AQ506,"W")</f>
        <v>12022.400000000001</v>
      </c>
      <c r="BQ418" s="87">
        <f>SUMIFS($AU$3:AU419,$Q$3:Q419,"O")</f>
        <v>2087.9800000002169</v>
      </c>
      <c r="BR418" s="87">
        <f>SUMIFS($AU$3:AU419,$AA$3:AA419,"*")</f>
        <v>22917.200000000095</v>
      </c>
      <c r="BS418" s="87">
        <f>SUMIFS($AU$3:AU419,$AB$3:AB419,"*")</f>
        <v>6615.1799999999312</v>
      </c>
      <c r="BT418" s="87">
        <f>SUMIFS($AU$3:AU419,$AC$3:AC419,"*")</f>
        <v>17908.400000000001</v>
      </c>
      <c r="BU418" s="87">
        <f>SUMIFS($AU$3:AU419,$AA$3:AA419,"*",$AB$3:AB419,"*")</f>
        <v>4079.9999999998217</v>
      </c>
      <c r="BV418" s="87">
        <f>SUMIFS($AU$3:AU419,$AA$3:AA419,"*",$AC$3:AC419,"*")</f>
        <v>13444.4</v>
      </c>
      <c r="BW418" s="87">
        <f>SUMIFS($AU$3:AU419,$AB$3:AB419,"*",$AC$3:AC419,"*")</f>
        <v>3279.9999999999982</v>
      </c>
      <c r="BX418" s="87">
        <f>SUMIFS($AV$3:AV419,$Q$3:Q419,"F")</f>
        <v>396.19230875404793</v>
      </c>
      <c r="BY418" s="87">
        <f>SUMIFS($AV$3:AV419,$Q$3:Q419,"S")</f>
        <v>337.77638392253402</v>
      </c>
      <c r="BZ418" s="87">
        <f>SUMIFS($AV$3:AV419,$Q$3:Q419,"O")</f>
        <v>707.63999999990438</v>
      </c>
    </row>
    <row r="419" spans="1:78" ht="15.75" customHeight="1">
      <c r="A419" s="45" t="s">
        <v>1310</v>
      </c>
      <c r="B419" s="59"/>
      <c r="C419" s="46"/>
      <c r="D419" s="46"/>
      <c r="E419" s="66"/>
      <c r="F419" s="47"/>
      <c r="G419" s="48"/>
      <c r="H419" s="49"/>
      <c r="I419" s="49"/>
      <c r="J419" s="49"/>
      <c r="K419" s="50"/>
      <c r="L419" s="49"/>
      <c r="M419" s="49"/>
      <c r="N419" s="49"/>
      <c r="O419" s="50"/>
      <c r="P419" s="50"/>
      <c r="Q419" s="50"/>
      <c r="R419" s="50"/>
      <c r="S419" s="50"/>
      <c r="T419" s="50"/>
      <c r="U419" s="50"/>
      <c r="V419" s="50"/>
      <c r="W419" s="50"/>
      <c r="X419" s="50"/>
      <c r="Y419" s="50"/>
      <c r="Z419" s="50"/>
      <c r="AA419" s="52"/>
      <c r="AB419" s="52"/>
      <c r="AC419" s="52"/>
      <c r="AD419" s="231"/>
      <c r="AE419" s="49"/>
      <c r="AF419" s="84"/>
      <c r="AG419" s="49"/>
      <c r="AH419" s="49"/>
      <c r="AI419" s="49"/>
      <c r="AJ419" s="226"/>
      <c r="AK419" s="49"/>
      <c r="AL419" s="113">
        <f t="shared" si="159"/>
        <v>0</v>
      </c>
      <c r="AM419" s="113">
        <f t="shared" si="176"/>
        <v>0</v>
      </c>
      <c r="AN419" s="218"/>
      <c r="AO419" s="49"/>
      <c r="AP419" s="49"/>
      <c r="AQ419" s="84" t="str">
        <f>UPPER(RIGHT(Journal_Live[[#This Row],[DURATION ]]))</f>
        <v/>
      </c>
      <c r="AR419" s="49"/>
      <c r="AS419" s="55"/>
      <c r="AT419" s="55"/>
      <c r="AU419" s="54"/>
      <c r="AV419" s="56"/>
      <c r="AW419" s="57"/>
      <c r="AX419" s="153" t="s">
        <v>1512</v>
      </c>
      <c r="AY419" s="153" t="s">
        <v>1513</v>
      </c>
      <c r="AZ419" s="153" t="s">
        <v>1514</v>
      </c>
      <c r="BA419" s="153"/>
      <c r="BB419" s="153"/>
      <c r="BC419" s="153"/>
      <c r="BD419" s="151"/>
      <c r="BE419" s="152"/>
      <c r="BF419" s="151"/>
      <c r="BG419" s="94">
        <f>SUM($AV$4:AV419)</f>
        <v>2189.608692676491</v>
      </c>
      <c r="BH419" s="95">
        <f>SUM($AU$4:AU419)</f>
        <v>29916.380000000208</v>
      </c>
      <c r="BI419" s="80">
        <f>SUMIFS($AU$3:AU420,$Q$3:Q420,"F")</f>
        <v>22308.400000000001</v>
      </c>
      <c r="BJ419" s="80">
        <f>SUMIFS($AU$3:AU420,$Q$3:Q420,"S")</f>
        <v>5295.9999999999936</v>
      </c>
      <c r="BK419" s="87">
        <f>SUMIFS($AU$3:AU420,$P$3:P420,"W")</f>
        <v>21773.58000000014</v>
      </c>
      <c r="BL419" s="87">
        <f>SUMIFS($AU$3:AU420,$P$3:P420,"R")</f>
        <v>6477.9999999998608</v>
      </c>
      <c r="BM419" s="87">
        <f>SUMIFS($AU$3:AU420,$AQ$3:AQ420,"M")</f>
        <v>6408.7799999999179</v>
      </c>
      <c r="BN419" s="87">
        <f>SUMIFS($AU$3:AU420,$AQ$3:AQ420,"H")</f>
        <v>3899.2000000002818</v>
      </c>
      <c r="BO419" s="87">
        <f>SUMIFS($AU$3:AU420,$AQ$3:AQ420,"D")</f>
        <v>8210</v>
      </c>
      <c r="BP419" s="87">
        <f>SUMIFS($AU$3:AU507,$AQ$3:AQ507,"W")</f>
        <v>12022.400000000001</v>
      </c>
      <c r="BQ419" s="87">
        <f>SUMIFS($AU$3:AU420,$Q$3:Q420,"O")</f>
        <v>2087.9800000002169</v>
      </c>
      <c r="BR419" s="87">
        <f>SUMIFS($AU$3:AU420,$AA$3:AA420,"*")</f>
        <v>22917.200000000095</v>
      </c>
      <c r="BS419" s="87">
        <f>SUMIFS($AU$3:AU420,$AB$3:AB420,"*")</f>
        <v>6615.1799999999312</v>
      </c>
      <c r="BT419" s="87">
        <f>SUMIFS($AU$3:AU420,$AC$3:AC420,"*")</f>
        <v>17908.400000000001</v>
      </c>
      <c r="BU419" s="87">
        <f>SUMIFS($AU$3:AU420,$AA$3:AA420,"*",$AB$3:AB420,"*")</f>
        <v>4079.9999999998217</v>
      </c>
      <c r="BV419" s="87">
        <f>SUMIFS($AU$3:AU420,$AA$3:AA420,"*",$AC$3:AC420,"*")</f>
        <v>13444.4</v>
      </c>
      <c r="BW419" s="87">
        <f>SUMIFS($AU$3:AU420,$AB$3:AB420,"*",$AC$3:AC420,"*")</f>
        <v>3279.9999999999982</v>
      </c>
      <c r="BX419" s="87">
        <f>SUMIFS($AV$3:AV420,$Q$3:Q420,"F")</f>
        <v>396.19230875404793</v>
      </c>
      <c r="BY419" s="87">
        <f>SUMIFS($AV$3:AV420,$Q$3:Q420,"S")</f>
        <v>337.77638392253402</v>
      </c>
      <c r="BZ419" s="87">
        <f>SUMIFS($AV$3:AV420,$Q$3:Q420,"O")</f>
        <v>707.63999999990438</v>
      </c>
    </row>
    <row r="420" spans="1:78" ht="15.75" customHeight="1">
      <c r="A420" s="45" t="s">
        <v>1310</v>
      </c>
      <c r="B420" s="59">
        <v>45393</v>
      </c>
      <c r="C420" s="46" t="s">
        <v>1515</v>
      </c>
      <c r="D420" s="46" t="s">
        <v>107</v>
      </c>
      <c r="E420" s="66"/>
      <c r="F420" s="47"/>
      <c r="G420" s="48" t="s">
        <v>1516</v>
      </c>
      <c r="H420" s="49"/>
      <c r="I420" s="49"/>
      <c r="J420" s="49"/>
      <c r="K420" s="50"/>
      <c r="L420" s="49"/>
      <c r="M420" s="49"/>
      <c r="N420" s="49"/>
      <c r="O420" s="50"/>
      <c r="P420" s="50"/>
      <c r="Q420" s="50"/>
      <c r="R420" s="50"/>
      <c r="S420" s="161"/>
      <c r="T420" s="50"/>
      <c r="U420" s="50"/>
      <c r="V420" s="50"/>
      <c r="W420" s="50"/>
      <c r="X420" s="50"/>
      <c r="Y420" s="51"/>
      <c r="Z420" s="52"/>
      <c r="AA420" s="52"/>
      <c r="AB420" s="52"/>
      <c r="AC420" s="52"/>
      <c r="AD420" s="231"/>
      <c r="AE420" s="49"/>
      <c r="AF420" s="84"/>
      <c r="AG420" s="49"/>
      <c r="AH420" s="49"/>
      <c r="AI420" s="49"/>
      <c r="AJ420" s="226"/>
      <c r="AK420" s="49"/>
      <c r="AL420" s="113">
        <f t="shared" si="159"/>
        <v>0</v>
      </c>
      <c r="AM420" s="113">
        <f t="shared" si="176"/>
        <v>0</v>
      </c>
      <c r="AN420" s="218"/>
      <c r="AO420" s="49"/>
      <c r="AP420" s="49"/>
      <c r="AQ420" s="84" t="str">
        <f>UPPER(RIGHT(Journal_Live[[#This Row],[DURATION ]]))</f>
        <v/>
      </c>
      <c r="AR420" s="49"/>
      <c r="AS420" s="55"/>
      <c r="AT420" s="55"/>
      <c r="AU420" s="54"/>
      <c r="AV420" s="56"/>
      <c r="AW420" s="57"/>
      <c r="AX420" s="153" t="s">
        <v>1517</v>
      </c>
      <c r="AY420" s="153" t="s">
        <v>1518</v>
      </c>
      <c r="AZ420" s="153" t="s">
        <v>1519</v>
      </c>
      <c r="BA420" s="153" t="s">
        <v>1520</v>
      </c>
      <c r="BB420" s="153" t="s">
        <v>1521</v>
      </c>
      <c r="BC420" s="153" t="s">
        <v>1522</v>
      </c>
      <c r="BD420" s="151"/>
      <c r="BE420" s="152"/>
      <c r="BF420" s="151"/>
      <c r="BG420" s="94">
        <f>SUM($AV$4:AV420)</f>
        <v>2189.608692676491</v>
      </c>
      <c r="BH420" s="95">
        <f>SUM($AU$4:AU420)</f>
        <v>29916.380000000208</v>
      </c>
      <c r="BI420" s="80">
        <f>SUMIFS($AU$3:AU421,$Q$3:Q421,"F")</f>
        <v>22308.400000000001</v>
      </c>
      <c r="BJ420" s="80">
        <f>SUMIFS($AU$3:AU421,$Q$3:Q421,"S")</f>
        <v>5295.9999999999936</v>
      </c>
      <c r="BK420" s="87">
        <f>SUMIFS($AU$3:AU421,$P$3:P421,"W")</f>
        <v>21773.58000000014</v>
      </c>
      <c r="BL420" s="87">
        <f>SUMIFS($AU$3:AU421,$P$3:P421,"R")</f>
        <v>6477.9999999998608</v>
      </c>
      <c r="BM420" s="87">
        <f>SUMIFS($AU$3:AU421,$AQ$3:AQ421,"M")</f>
        <v>6408.7799999999179</v>
      </c>
      <c r="BN420" s="87">
        <f>SUMIFS($AU$3:AU421,$AQ$3:AQ421,"H")</f>
        <v>3899.2000000002818</v>
      </c>
      <c r="BO420" s="87">
        <f>SUMIFS($AU$3:AU421,$AQ$3:AQ421,"D")</f>
        <v>8210</v>
      </c>
      <c r="BP420" s="87">
        <f>SUMIFS($AU$3:AU508,$AQ$3:AQ508,"W")</f>
        <v>12022.400000000001</v>
      </c>
      <c r="BQ420" s="87">
        <f>SUMIFS($AU$3:AU421,$Q$3:Q421,"O")</f>
        <v>2087.9800000002169</v>
      </c>
      <c r="BR420" s="87">
        <f>SUMIFS($AU$3:AU421,$AA$3:AA421,"*")</f>
        <v>22917.200000000095</v>
      </c>
      <c r="BS420" s="87">
        <f>SUMIFS($AU$3:AU421,$AB$3:AB421,"*")</f>
        <v>6615.1799999999312</v>
      </c>
      <c r="BT420" s="87">
        <f>SUMIFS($AU$3:AU421,$AC$3:AC421,"*")</f>
        <v>17908.400000000001</v>
      </c>
      <c r="BU420" s="87">
        <f>SUMIFS($AU$3:AU421,$AA$3:AA421,"*",$AB$3:AB421,"*")</f>
        <v>4079.9999999998217</v>
      </c>
      <c r="BV420" s="87">
        <f>SUMIFS($AU$3:AU421,$AA$3:AA421,"*",$AC$3:AC421,"*")</f>
        <v>13444.4</v>
      </c>
      <c r="BW420" s="87">
        <f>SUMIFS($AU$3:AU421,$AB$3:AB421,"*",$AC$3:AC421,"*")</f>
        <v>3279.9999999999982</v>
      </c>
      <c r="BX420" s="87">
        <f>SUMIFS($AV$3:AV421,$Q$3:Q421,"F")</f>
        <v>396.19230875404793</v>
      </c>
      <c r="BY420" s="87">
        <f>SUMIFS($AV$3:AV421,$Q$3:Q421,"S")</f>
        <v>337.77638392253402</v>
      </c>
      <c r="BZ420" s="87">
        <f>SUMIFS($AV$3:AV421,$Q$3:Q421,"O")</f>
        <v>707.63999999990438</v>
      </c>
    </row>
    <row r="421" spans="1:78" ht="15.75" customHeight="1">
      <c r="A421" s="45" t="s">
        <v>1310</v>
      </c>
      <c r="B421" s="59">
        <v>45393</v>
      </c>
      <c r="C421" s="46" t="s">
        <v>1523</v>
      </c>
      <c r="D421" s="46" t="s">
        <v>107</v>
      </c>
      <c r="E421" s="66"/>
      <c r="F421" s="47"/>
      <c r="G421" s="106" t="s">
        <v>108</v>
      </c>
      <c r="H421" s="49"/>
      <c r="I421" s="49"/>
      <c r="J421" s="49"/>
      <c r="K421" s="50"/>
      <c r="L421" s="49">
        <v>1</v>
      </c>
      <c r="M421" s="49"/>
      <c r="N421" s="49"/>
      <c r="O421" s="50" t="s">
        <v>100</v>
      </c>
      <c r="P421" s="50" t="s">
        <v>126</v>
      </c>
      <c r="Q421" s="50" t="s">
        <v>127</v>
      </c>
      <c r="R421" s="50">
        <v>30</v>
      </c>
      <c r="S421" s="161">
        <v>0</v>
      </c>
      <c r="T421" s="50">
        <v>30</v>
      </c>
      <c r="U421" s="50" t="s">
        <v>102</v>
      </c>
      <c r="V421" s="50"/>
      <c r="W421" s="50"/>
      <c r="X421" s="50"/>
      <c r="Y421" s="51">
        <f>IF(ISBLANK(O421),"",(IF(O421=UPPER("IB"),0.005,0.01)))</f>
        <v>0.01</v>
      </c>
      <c r="Z421" s="52">
        <f>IF(ISBLANK(O421),"",IF(O421="IB",8.63*200,IF(O421="IR",16*100,IF(O421="YT",20*100,IF(O421="YT-XT",24*200,IF(O421="TED",80*100,IF(O421="XT",29*200)))))))</f>
        <v>1600</v>
      </c>
      <c r="AA421" s="52"/>
      <c r="AB421" s="52" t="s">
        <v>1524</v>
      </c>
      <c r="AC421" s="52" t="s">
        <v>1525</v>
      </c>
      <c r="AD421" s="231">
        <v>-0.02</v>
      </c>
      <c r="AE421" s="49"/>
      <c r="AF421" s="84"/>
      <c r="AG421" s="49"/>
      <c r="AH421" s="49"/>
      <c r="AI421" s="49"/>
      <c r="AJ421" s="226"/>
      <c r="AK421" s="49"/>
      <c r="AL421" s="113">
        <f t="shared" si="159"/>
        <v>-32</v>
      </c>
      <c r="AM421" s="113">
        <f t="shared" si="176"/>
        <v>-960</v>
      </c>
      <c r="AN421" s="218"/>
      <c r="AO421" s="49"/>
      <c r="AP421" s="49" t="s">
        <v>670</v>
      </c>
      <c r="AQ421" s="84" t="s">
        <v>101</v>
      </c>
      <c r="AR421" s="49" t="s">
        <v>1526</v>
      </c>
      <c r="AS421" s="55">
        <v>-0.02</v>
      </c>
      <c r="AT421" s="55">
        <f>IF(ISBLANK(AS421),,IF(U421="S",AD421-AS421,AS421-AD421))</f>
        <v>0</v>
      </c>
      <c r="AU421" s="54">
        <f>AV421*R421</f>
        <v>0</v>
      </c>
      <c r="AV421" s="56">
        <f t="shared" ref="AV421:AV423" si="178">IF(ISBLANK(AS421),,(AT421*Z421))</f>
        <v>0</v>
      </c>
      <c r="AW421" s="57" t="s">
        <v>155</v>
      </c>
      <c r="AX421" s="153" t="s">
        <v>1527</v>
      </c>
      <c r="AY421" s="153"/>
      <c r="AZ421" s="153"/>
      <c r="BA421" s="153"/>
      <c r="BB421" s="153"/>
      <c r="BC421" s="153"/>
      <c r="BD421" s="151"/>
      <c r="BE421" s="152"/>
      <c r="BF421" s="151"/>
      <c r="BG421" s="94">
        <f>SUM($AV$4:AV421)</f>
        <v>2189.608692676491</v>
      </c>
      <c r="BH421" s="95">
        <f>SUM($AU$4:AU421)</f>
        <v>29916.380000000208</v>
      </c>
      <c r="BI421" s="80">
        <f>SUMIFS($AU$3:AU422,$Q$3:Q422,"F")</f>
        <v>22308.400000000001</v>
      </c>
      <c r="BJ421" s="80">
        <f>SUMIFS($AU$3:AU422,$Q$3:Q422,"S")</f>
        <v>5295.9999999999936</v>
      </c>
      <c r="BK421" s="87">
        <f>SUMIFS($AU$3:AU422,$P$3:P422,"W")</f>
        <v>21773.58000000014</v>
      </c>
      <c r="BL421" s="87">
        <f>SUMIFS($AU$3:AU422,$P$3:P422,"R")</f>
        <v>6477.9999999998608</v>
      </c>
      <c r="BM421" s="87">
        <f>SUMIFS($AU$3:AU422,$AQ$3:AQ422,"M")</f>
        <v>6408.7799999999179</v>
      </c>
      <c r="BN421" s="87">
        <f>SUMIFS($AU$3:AU422,$AQ$3:AQ422,"H")</f>
        <v>3899.2000000002818</v>
      </c>
      <c r="BO421" s="87">
        <f>SUMIFS($AU$3:AU422,$AQ$3:AQ422,"D")</f>
        <v>8210</v>
      </c>
      <c r="BP421" s="87">
        <f>SUMIFS($AU$3:AU509,$AQ$3:AQ509,"W")</f>
        <v>12022.400000000001</v>
      </c>
      <c r="BQ421" s="87">
        <f>SUMIFS($AU$3:AU422,$Q$3:Q422,"O")</f>
        <v>2087.9800000002169</v>
      </c>
      <c r="BR421" s="87">
        <f>SUMIFS($AU$3:AU422,$AA$3:AA422,"*")</f>
        <v>22917.200000000095</v>
      </c>
      <c r="BS421" s="87">
        <f>SUMIFS($AU$3:AU422,$AB$3:AB422,"*")</f>
        <v>6615.1799999999312</v>
      </c>
      <c r="BT421" s="87">
        <f>SUMIFS($AU$3:AU422,$AC$3:AC422,"*")</f>
        <v>17908.400000000001</v>
      </c>
      <c r="BU421" s="87">
        <f>SUMIFS($AU$3:AU422,$AA$3:AA422,"*",$AB$3:AB422,"*")</f>
        <v>4079.9999999998217</v>
      </c>
      <c r="BV421" s="87">
        <f>SUMIFS($AU$3:AU422,$AA$3:AA422,"*",$AC$3:AC422,"*")</f>
        <v>13444.4</v>
      </c>
      <c r="BW421" s="87">
        <f>SUMIFS($AU$3:AU422,$AB$3:AB422,"*",$AC$3:AC422,"*")</f>
        <v>3279.9999999999982</v>
      </c>
      <c r="BX421" s="87">
        <f>SUMIFS($AV$3:AV422,$Q$3:Q422,"F")</f>
        <v>396.19230875404793</v>
      </c>
      <c r="BY421" s="87">
        <f>SUMIFS($AV$3:AV422,$Q$3:Q422,"S")</f>
        <v>337.77638392253402</v>
      </c>
      <c r="BZ421" s="87">
        <f>SUMIFS($AV$3:AV422,$Q$3:Q422,"O")</f>
        <v>707.63999999990438</v>
      </c>
    </row>
    <row r="422" spans="1:78" ht="15.75" customHeight="1">
      <c r="A422" s="45" t="s">
        <v>1310</v>
      </c>
      <c r="B422" s="59">
        <v>45393</v>
      </c>
      <c r="C422" s="46" t="s">
        <v>1528</v>
      </c>
      <c r="D422" s="46" t="s">
        <v>107</v>
      </c>
      <c r="E422" s="66"/>
      <c r="F422" s="47"/>
      <c r="G422" s="48" t="s">
        <v>1529</v>
      </c>
      <c r="H422" s="49"/>
      <c r="I422" s="49"/>
      <c r="J422" s="49"/>
      <c r="K422" s="50"/>
      <c r="L422" s="49"/>
      <c r="M422" s="49"/>
      <c r="N422" s="49"/>
      <c r="O422" s="50"/>
      <c r="P422" s="50"/>
      <c r="Q422" s="50"/>
      <c r="R422" s="50"/>
      <c r="S422" s="161"/>
      <c r="T422" s="50"/>
      <c r="U422" s="50"/>
      <c r="V422" s="50"/>
      <c r="W422" s="50"/>
      <c r="X422" s="50"/>
      <c r="Y422" s="51"/>
      <c r="Z422" s="52"/>
      <c r="AA422" s="52"/>
      <c r="AB422" s="52"/>
      <c r="AC422" s="52"/>
      <c r="AD422" s="231"/>
      <c r="AE422" s="49"/>
      <c r="AF422" s="84"/>
      <c r="AG422" s="49"/>
      <c r="AH422" s="49"/>
      <c r="AI422" s="49"/>
      <c r="AJ422" s="226"/>
      <c r="AK422" s="49"/>
      <c r="AL422" s="113">
        <f t="shared" si="159"/>
        <v>0</v>
      </c>
      <c r="AM422" s="113">
        <f t="shared" si="176"/>
        <v>0</v>
      </c>
      <c r="AN422" s="218"/>
      <c r="AO422" s="49"/>
      <c r="AP422" s="49"/>
      <c r="AQ422" s="84" t="str">
        <f>UPPER(RIGHT(Journal_Live[[#This Row],[DURATION ]]))</f>
        <v/>
      </c>
      <c r="AR422" s="49"/>
      <c r="AS422" s="55"/>
      <c r="AT422" s="55"/>
      <c r="AU422" s="54"/>
      <c r="AV422" s="56"/>
      <c r="AW422" s="57"/>
      <c r="AX422" s="153"/>
      <c r="AY422" s="153"/>
      <c r="AZ422" s="153"/>
      <c r="BA422" s="153"/>
      <c r="BB422" s="153"/>
      <c r="BC422" s="153"/>
      <c r="BD422" s="151"/>
      <c r="BE422" s="152"/>
      <c r="BF422" s="151"/>
      <c r="BG422" s="94">
        <f>SUM($AV$4:AV422)</f>
        <v>2189.608692676491</v>
      </c>
      <c r="BH422" s="95">
        <f>SUM($AU$4:AU422)</f>
        <v>29916.380000000208</v>
      </c>
      <c r="BI422" s="80">
        <f>SUMIFS($AU$3:AU423,$Q$3:Q423,"F")</f>
        <v>22788.400000000001</v>
      </c>
      <c r="BJ422" s="80">
        <f>SUMIFS($AU$3:AU423,$Q$3:Q423,"S")</f>
        <v>5295.9999999999936</v>
      </c>
      <c r="BK422" s="87">
        <f>SUMIFS($AU$3:AU423,$P$3:P423,"W")</f>
        <v>22253.58000000014</v>
      </c>
      <c r="BL422" s="87">
        <f>SUMIFS($AU$3:AU423,$P$3:P423,"R")</f>
        <v>6477.9999999998608</v>
      </c>
      <c r="BM422" s="87">
        <f>SUMIFS($AU$3:AU423,$AQ$3:AQ423,"M")</f>
        <v>6408.7799999999179</v>
      </c>
      <c r="BN422" s="87">
        <f>SUMIFS($AU$3:AU423,$AQ$3:AQ423,"H")</f>
        <v>4379.2000000002818</v>
      </c>
      <c r="BO422" s="87">
        <f>SUMIFS($AU$3:AU423,$AQ$3:AQ423,"D")</f>
        <v>8210</v>
      </c>
      <c r="BP422" s="87">
        <f>SUMIFS($AU$3:AU510,$AQ$3:AQ510,"W")</f>
        <v>12022.400000000001</v>
      </c>
      <c r="BQ422" s="87">
        <f>SUMIFS($AU$3:AU423,$Q$3:Q423,"O")</f>
        <v>2087.9800000002169</v>
      </c>
      <c r="BR422" s="87">
        <f>SUMIFS($AU$3:AU423,$AA$3:AA423,"*")</f>
        <v>22917.200000000095</v>
      </c>
      <c r="BS422" s="87">
        <f>SUMIFS($AU$3:AU423,$AB$3:AB423,"*")</f>
        <v>7095.1799999999312</v>
      </c>
      <c r="BT422" s="87">
        <f>SUMIFS($AU$3:AU423,$AC$3:AC423,"*")</f>
        <v>18388.400000000001</v>
      </c>
      <c r="BU422" s="87">
        <f>SUMIFS($AU$3:AU423,$AA$3:AA423,"*",$AB$3:AB423,"*")</f>
        <v>4079.9999999998217</v>
      </c>
      <c r="BV422" s="87">
        <f>SUMIFS($AU$3:AU423,$AA$3:AA423,"*",$AC$3:AC423,"*")</f>
        <v>13444.4</v>
      </c>
      <c r="BW422" s="87">
        <f>SUMIFS($AU$3:AU423,$AB$3:AB423,"*",$AC$3:AC423,"*")</f>
        <v>3759.9999999999982</v>
      </c>
      <c r="BX422" s="87">
        <f>SUMIFS($AV$3:AV423,$Q$3:Q423,"F")</f>
        <v>412.19230875404793</v>
      </c>
      <c r="BY422" s="87">
        <f>SUMIFS($AV$3:AV423,$Q$3:Q423,"S")</f>
        <v>337.77638392253402</v>
      </c>
      <c r="BZ422" s="87">
        <f>SUMIFS($AV$3:AV423,$Q$3:Q423,"O")</f>
        <v>707.63999999990438</v>
      </c>
    </row>
    <row r="423" spans="1:78" ht="15.75" customHeight="1">
      <c r="A423" s="45" t="s">
        <v>1310</v>
      </c>
      <c r="B423" s="59">
        <v>45393</v>
      </c>
      <c r="C423" s="46" t="s">
        <v>1530</v>
      </c>
      <c r="D423" s="46" t="s">
        <v>107</v>
      </c>
      <c r="E423" s="66"/>
      <c r="F423" s="47"/>
      <c r="G423" s="106" t="s">
        <v>1531</v>
      </c>
      <c r="H423" s="49"/>
      <c r="I423" s="49"/>
      <c r="J423" s="49"/>
      <c r="K423" s="50"/>
      <c r="L423" s="49">
        <v>1</v>
      </c>
      <c r="M423" s="49"/>
      <c r="N423" s="49"/>
      <c r="O423" s="50" t="s">
        <v>100</v>
      </c>
      <c r="P423" s="50" t="s">
        <v>101</v>
      </c>
      <c r="Q423" s="50" t="s">
        <v>127</v>
      </c>
      <c r="R423" s="50">
        <v>30</v>
      </c>
      <c r="S423" s="161">
        <v>0</v>
      </c>
      <c r="T423" s="50">
        <v>30</v>
      </c>
      <c r="U423" s="50" t="s">
        <v>22</v>
      </c>
      <c r="V423" s="50"/>
      <c r="W423" s="50"/>
      <c r="X423" s="50"/>
      <c r="Y423" s="51">
        <f t="shared" ref="Y423:Y431" si="179">IF(ISBLANK(O423),"",(IF(O423=UPPER("IB"),0.005,0.01)))</f>
        <v>0.01</v>
      </c>
      <c r="Z423" s="52">
        <f>IF(ISBLANK(O423),"",IF(O423="IB",8.63*200,IF(O423="IR",16*100,IF(O423="YT",20*100,IF(O423="YT-XT",24*200,IF(O423="TED",80*100,IF(O423="XT",29*200)))))))</f>
        <v>1600</v>
      </c>
      <c r="AA423" s="52"/>
      <c r="AB423" s="52" t="s">
        <v>1532</v>
      </c>
      <c r="AC423" s="52" t="s">
        <v>1533</v>
      </c>
      <c r="AD423" s="231">
        <v>0</v>
      </c>
      <c r="AE423" s="49"/>
      <c r="AF423" s="84"/>
      <c r="AG423" s="49"/>
      <c r="AH423" s="49"/>
      <c r="AI423" s="49"/>
      <c r="AJ423" s="226"/>
      <c r="AK423" s="49"/>
      <c r="AL423" s="113">
        <f t="shared" si="159"/>
        <v>-32</v>
      </c>
      <c r="AM423" s="113">
        <f t="shared" si="176"/>
        <v>-960</v>
      </c>
      <c r="AN423" s="218"/>
      <c r="AO423" s="49"/>
      <c r="AP423" s="49" t="s">
        <v>379</v>
      </c>
      <c r="AQ423" s="84" t="s">
        <v>142</v>
      </c>
      <c r="AR423" s="49" t="s">
        <v>1534</v>
      </c>
      <c r="AS423" s="55">
        <v>0.01</v>
      </c>
      <c r="AT423" s="55">
        <f t="shared" ref="AT423:AT431" si="180">IF(ISBLANK(AS423),,IF(U423="S",AD423-AS423,AS423-AD423))</f>
        <v>0.01</v>
      </c>
      <c r="AU423" s="54">
        <f t="shared" ref="AU423:AU431" si="181">AV423*R423</f>
        <v>480</v>
      </c>
      <c r="AV423" s="56">
        <f t="shared" si="178"/>
        <v>16</v>
      </c>
      <c r="AW423" s="57" t="s">
        <v>101</v>
      </c>
      <c r="AX423" s="153" t="s">
        <v>1535</v>
      </c>
      <c r="AY423" s="153"/>
      <c r="AZ423" s="153"/>
      <c r="BA423" s="153"/>
      <c r="BB423" s="153"/>
      <c r="BC423" s="153"/>
      <c r="BD423" s="151"/>
      <c r="BE423" s="152"/>
      <c r="BF423" s="151"/>
      <c r="BG423" s="94">
        <f>SUM($AV$4:AV423)</f>
        <v>2205.608692676491</v>
      </c>
      <c r="BH423" s="95">
        <f>SUM($AU$4:AU423)</f>
        <v>30396.380000000208</v>
      </c>
      <c r="BI423" s="80">
        <f>SUMIFS($AU$3:AU424,$Q$3:Q424,"F")</f>
        <v>22788.400000000001</v>
      </c>
      <c r="BJ423" s="80">
        <f>SUMIFS($AU$3:AU424,$Q$3:Q424,"S")</f>
        <v>5295.9999999999936</v>
      </c>
      <c r="BK423" s="87">
        <f>SUMIFS($AU$3:AU424,$P$3:P424,"W")</f>
        <v>22253.58000000014</v>
      </c>
      <c r="BL423" s="87">
        <f>SUMIFS($AU$3:AU424,$P$3:P424,"R")</f>
        <v>6477.9999999998608</v>
      </c>
      <c r="BM423" s="87">
        <f>SUMIFS($AU$3:AU424,$AQ$3:AQ424,"M")</f>
        <v>6408.7799999999179</v>
      </c>
      <c r="BN423" s="87">
        <f>SUMIFS($AU$3:AU424,$AQ$3:AQ424,"H")</f>
        <v>4379.2000000002818</v>
      </c>
      <c r="BO423" s="87">
        <f>SUMIFS($AU$3:AU424,$AQ$3:AQ424,"D")</f>
        <v>8210</v>
      </c>
      <c r="BP423" s="87">
        <f>SUMIFS($AU$3:AU511,$AQ$3:AQ511,"W")</f>
        <v>12022.400000000001</v>
      </c>
      <c r="BQ423" s="87">
        <f>SUMIFS($AU$3:AU424,$Q$3:Q424,"O")</f>
        <v>2087.9800000002169</v>
      </c>
      <c r="BR423" s="87">
        <f>SUMIFS($AU$3:AU424,$AA$3:AA424,"*")</f>
        <v>22917.200000000095</v>
      </c>
      <c r="BS423" s="87">
        <f>SUMIFS($AU$3:AU424,$AB$3:AB424,"*")</f>
        <v>7095.1799999999312</v>
      </c>
      <c r="BT423" s="87">
        <f>SUMIFS($AU$3:AU424,$AC$3:AC424,"*")</f>
        <v>18388.400000000001</v>
      </c>
      <c r="BU423" s="87">
        <f>SUMIFS($AU$3:AU424,$AA$3:AA424,"*",$AB$3:AB424,"*")</f>
        <v>4079.9999999998217</v>
      </c>
      <c r="BV423" s="87">
        <f>SUMIFS($AU$3:AU424,$AA$3:AA424,"*",$AC$3:AC424,"*")</f>
        <v>13444.4</v>
      </c>
      <c r="BW423" s="87">
        <f>SUMIFS($AU$3:AU424,$AB$3:AB424,"*",$AC$3:AC424,"*")</f>
        <v>3759.9999999999982</v>
      </c>
      <c r="BX423" s="87">
        <f>SUMIFS($AV$3:AV424,$Q$3:Q424,"F")</f>
        <v>412.19230875404793</v>
      </c>
      <c r="BY423" s="87">
        <f>SUMIFS($AV$3:AV424,$Q$3:Q424,"S")</f>
        <v>337.77638392253402</v>
      </c>
      <c r="BZ423" s="87">
        <f>SUMIFS($AV$3:AV424,$Q$3:Q424,"O")</f>
        <v>707.63999999990438</v>
      </c>
    </row>
    <row r="424" spans="1:78" ht="15.75" customHeight="1">
      <c r="A424" s="45" t="s">
        <v>1310</v>
      </c>
      <c r="B424" s="59">
        <v>45394</v>
      </c>
      <c r="C424" s="46" t="s">
        <v>1536</v>
      </c>
      <c r="D424" s="46" t="s">
        <v>115</v>
      </c>
      <c r="E424" s="66"/>
      <c r="F424" s="47"/>
      <c r="G424" s="163" t="s">
        <v>1461</v>
      </c>
      <c r="H424" s="49"/>
      <c r="I424" s="49"/>
      <c r="J424" s="49"/>
      <c r="K424" s="50"/>
      <c r="L424" s="49"/>
      <c r="M424" s="49">
        <v>1</v>
      </c>
      <c r="N424" s="49"/>
      <c r="O424" s="50" t="s">
        <v>740</v>
      </c>
      <c r="P424" s="50" t="s">
        <v>126</v>
      </c>
      <c r="Q424" s="50"/>
      <c r="R424" s="50">
        <v>1</v>
      </c>
      <c r="S424" s="50">
        <v>0</v>
      </c>
      <c r="T424" s="50">
        <v>1</v>
      </c>
      <c r="U424" s="50" t="s">
        <v>22</v>
      </c>
      <c r="V424" s="50"/>
      <c r="W424" s="50"/>
      <c r="X424" s="50"/>
      <c r="Y424" s="51">
        <f t="shared" si="179"/>
        <v>0.01</v>
      </c>
      <c r="Z424" s="52">
        <f>IF(ISBLANK(O424),"",IF(O424="IB",8.63*200,IF(O424="IR",16*100,IF(O424="YT",20*100,IF(O424="YT-XT",24*200,IF(O424="TED",80*100,IF(O424="IR|YT",300*100)))))))</f>
        <v>30000</v>
      </c>
      <c r="AA424" s="52" t="s">
        <v>1537</v>
      </c>
      <c r="AB424" s="52"/>
      <c r="AC424" s="52"/>
      <c r="AD424" s="231">
        <v>-7.0000000000000007E-2</v>
      </c>
      <c r="AE424" s="49"/>
      <c r="AF424" s="84"/>
      <c r="AG424" s="49"/>
      <c r="AH424" s="49"/>
      <c r="AI424" s="49"/>
      <c r="AJ424" s="226"/>
      <c r="AK424" s="49"/>
      <c r="AL424" s="113">
        <f t="shared" si="155"/>
        <v>-600</v>
      </c>
      <c r="AM424" s="113">
        <f t="shared" si="176"/>
        <v>-600</v>
      </c>
      <c r="AN424" s="218"/>
      <c r="AO424" s="49"/>
      <c r="AP424" s="49"/>
      <c r="AQ424" s="84" t="s">
        <v>350</v>
      </c>
      <c r="AR424" s="49" t="s">
        <v>1538</v>
      </c>
      <c r="AS424" s="55">
        <v>-7.0000000000000007E-2</v>
      </c>
      <c r="AT424" s="55">
        <f t="shared" si="180"/>
        <v>0</v>
      </c>
      <c r="AU424" s="54">
        <f t="shared" si="181"/>
        <v>0</v>
      </c>
      <c r="AV424" s="56">
        <f t="shared" ref="AV424" si="182">IF(ISBLANK(AS424),,(AT424*Z424))</f>
        <v>0</v>
      </c>
      <c r="AW424" s="57" t="s">
        <v>155</v>
      </c>
      <c r="AX424" s="153" t="s">
        <v>582</v>
      </c>
      <c r="AY424" s="153"/>
      <c r="AZ424" s="153"/>
      <c r="BA424" s="153"/>
      <c r="BB424" s="153"/>
      <c r="BC424" s="153"/>
      <c r="BD424" s="151"/>
      <c r="BE424" s="152"/>
      <c r="BF424" s="151"/>
      <c r="BG424" s="94">
        <f>SUM($AV$4:AV424)</f>
        <v>2205.608692676491</v>
      </c>
      <c r="BH424" s="95">
        <f>SUM($AU$4:AU424)</f>
        <v>30396.380000000208</v>
      </c>
      <c r="BI424" s="80">
        <f>SUMIFS($AU$3:AU425,$Q$3:Q425,"F")</f>
        <v>22788.400000000001</v>
      </c>
      <c r="BJ424" s="80">
        <f>SUMIFS($AU$3:AU425,$Q$3:Q425,"S")</f>
        <v>5295.9999999999936</v>
      </c>
      <c r="BK424" s="87">
        <f>SUMIFS($AU$3:AU425,$P$3:P425,"W")</f>
        <v>22253.58000000014</v>
      </c>
      <c r="BL424" s="87">
        <f>SUMIFS($AU$3:AU425,$P$3:P425,"R")</f>
        <v>6477.9999999998608</v>
      </c>
      <c r="BM424" s="87">
        <f>SUMIFS($AU$3:AU425,$AQ$3:AQ425,"M")</f>
        <v>6408.7799999999179</v>
      </c>
      <c r="BN424" s="87">
        <f>SUMIFS($AU$3:AU425,$AQ$3:AQ425,"H")</f>
        <v>4379.2000000002818</v>
      </c>
      <c r="BO424" s="87">
        <f>SUMIFS($AU$3:AU425,$AQ$3:AQ425,"D")</f>
        <v>8210</v>
      </c>
      <c r="BP424" s="87">
        <f>SUMIFS($AU$3:AU512,$AQ$3:AQ512,"W")</f>
        <v>12022.400000000001</v>
      </c>
      <c r="BQ424" s="87">
        <f>SUMIFS($AU$3:AU425,$Q$3:Q425,"O")</f>
        <v>2087.9800000002169</v>
      </c>
      <c r="BR424" s="87">
        <f>SUMIFS($AU$3:AU425,$AA$3:AA425,"*")</f>
        <v>22917.200000000095</v>
      </c>
      <c r="BS424" s="87">
        <f>SUMIFS($AU$3:AU425,$AB$3:AB425,"*")</f>
        <v>7095.1799999999312</v>
      </c>
      <c r="BT424" s="87">
        <f>SUMIFS($AU$3:AU425,$AC$3:AC425,"*")</f>
        <v>18388.400000000001</v>
      </c>
      <c r="BU424" s="87">
        <f>SUMIFS($AU$3:AU425,$AA$3:AA425,"*",$AB$3:AB425,"*")</f>
        <v>4079.9999999998217</v>
      </c>
      <c r="BV424" s="87">
        <f>SUMIFS($AU$3:AU425,$AA$3:AA425,"*",$AC$3:AC425,"*")</f>
        <v>13444.4</v>
      </c>
      <c r="BW424" s="87">
        <f>SUMIFS($AU$3:AU425,$AB$3:AB425,"*",$AC$3:AC425,"*")</f>
        <v>3759.9999999999982</v>
      </c>
      <c r="BX424" s="87">
        <f>SUMIFS($AV$3:AV425,$Q$3:Q425,"F")</f>
        <v>412.19230875404793</v>
      </c>
      <c r="BY424" s="87">
        <f>SUMIFS($AV$3:AV425,$Q$3:Q425,"S")</f>
        <v>337.77638392253402</v>
      </c>
      <c r="BZ424" s="87">
        <f>SUMIFS($AV$3:AV425,$Q$3:Q425,"O")</f>
        <v>707.63999999990438</v>
      </c>
    </row>
    <row r="425" spans="1:78" ht="15.75" customHeight="1">
      <c r="A425" s="45" t="s">
        <v>1310</v>
      </c>
      <c r="B425" s="59">
        <v>45394</v>
      </c>
      <c r="C425" s="46" t="s">
        <v>1539</v>
      </c>
      <c r="D425" s="46" t="s">
        <v>115</v>
      </c>
      <c r="E425" s="66"/>
      <c r="F425" s="47"/>
      <c r="G425" s="106" t="s">
        <v>111</v>
      </c>
      <c r="H425" s="49"/>
      <c r="I425" s="49"/>
      <c r="J425" s="49"/>
      <c r="K425" s="50"/>
      <c r="L425" s="49">
        <v>1</v>
      </c>
      <c r="M425" s="49"/>
      <c r="N425" s="49"/>
      <c r="O425" s="50" t="s">
        <v>100</v>
      </c>
      <c r="P425" s="50" t="s">
        <v>101</v>
      </c>
      <c r="Q425" s="50" t="s">
        <v>102</v>
      </c>
      <c r="R425" s="50">
        <v>45</v>
      </c>
      <c r="S425" s="161">
        <v>20</v>
      </c>
      <c r="T425" s="50">
        <v>45</v>
      </c>
      <c r="U425" s="50" t="s">
        <v>22</v>
      </c>
      <c r="V425" s="50"/>
      <c r="W425" s="50"/>
      <c r="X425" s="50"/>
      <c r="Y425" s="51">
        <f t="shared" si="179"/>
        <v>0.01</v>
      </c>
      <c r="Z425" s="52">
        <f>IF(ISBLANK(O425),"",IF(O425="IB",8.63*200,IF(O425="IR",16*100,IF(O425="YT",20*100,IF(O425="YT-XT",24*200,IF(O425="TED",80*100,IF(O425="XT",29*200)))))))</f>
        <v>1600</v>
      </c>
      <c r="AA425" s="52" t="s">
        <v>1540</v>
      </c>
      <c r="AB425" s="52"/>
      <c r="AC425" s="52"/>
      <c r="AD425" s="231">
        <v>-0.05</v>
      </c>
      <c r="AE425" s="49"/>
      <c r="AF425" s="84"/>
      <c r="AG425" s="49"/>
      <c r="AH425" s="49"/>
      <c r="AI425" s="49"/>
      <c r="AJ425" s="226"/>
      <c r="AK425" s="49"/>
      <c r="AL425" s="113">
        <f t="shared" si="155"/>
        <v>-32</v>
      </c>
      <c r="AM425" s="113">
        <f t="shared" si="176"/>
        <v>-800</v>
      </c>
      <c r="AN425" s="218"/>
      <c r="AO425" s="49"/>
      <c r="AP425" s="49"/>
      <c r="AQ425" s="84" t="s">
        <v>142</v>
      </c>
      <c r="AR425" s="49"/>
      <c r="AS425" s="55">
        <f>((-0.05*20)+(-0.05*25))/45</f>
        <v>-0.05</v>
      </c>
      <c r="AT425" s="55">
        <f t="shared" si="180"/>
        <v>0</v>
      </c>
      <c r="AU425" s="54">
        <f t="shared" si="181"/>
        <v>0</v>
      </c>
      <c r="AV425" s="56">
        <f t="shared" ref="AV425:AV426" si="183">IF(ISBLANK(AS425),,(AT425*Z425))</f>
        <v>0</v>
      </c>
      <c r="AW425" s="57" t="s">
        <v>155</v>
      </c>
      <c r="AX425" s="153" t="s">
        <v>1541</v>
      </c>
      <c r="AY425" s="153" t="s">
        <v>1542</v>
      </c>
      <c r="AZ425" s="153"/>
      <c r="BA425" s="153"/>
      <c r="BB425" s="153"/>
      <c r="BC425" s="153"/>
      <c r="BD425" s="151"/>
      <c r="BE425" s="152"/>
      <c r="BF425" s="151"/>
      <c r="BG425" s="94">
        <f>SUM($AV$4:AV425)</f>
        <v>2205.608692676491</v>
      </c>
      <c r="BH425" s="95">
        <f>SUM($AU$4:AU425)</f>
        <v>30396.380000000208</v>
      </c>
      <c r="BI425" s="80">
        <f>SUMIFS($AU$3:AU426,$Q$3:Q426,"F")</f>
        <v>22788.400000000001</v>
      </c>
      <c r="BJ425" s="80">
        <f>SUMIFS($AU$3:AU426,$Q$3:Q426,"S")</f>
        <v>5295.9999999999936</v>
      </c>
      <c r="BK425" s="87">
        <f>SUMIFS($AU$3:AU426,$P$3:P426,"W")</f>
        <v>22253.58000000014</v>
      </c>
      <c r="BL425" s="87">
        <f>SUMIFS($AU$3:AU426,$P$3:P426,"R")</f>
        <v>6477.9999999998608</v>
      </c>
      <c r="BM425" s="87">
        <f>SUMIFS($AU$3:AU426,$AQ$3:AQ426,"M")</f>
        <v>6408.7799999999179</v>
      </c>
      <c r="BN425" s="87">
        <f>SUMIFS($AU$3:AU426,$AQ$3:AQ426,"H")</f>
        <v>4379.2000000002818</v>
      </c>
      <c r="BO425" s="87">
        <f>SUMIFS($AU$3:AU426,$AQ$3:AQ426,"D")</f>
        <v>8210</v>
      </c>
      <c r="BP425" s="87">
        <f>SUMIFS($AU$3:AU513,$AQ$3:AQ513,"W")</f>
        <v>12022.400000000001</v>
      </c>
      <c r="BQ425" s="87">
        <f>SUMIFS($AU$3:AU426,$Q$3:Q426,"O")</f>
        <v>2087.9800000002169</v>
      </c>
      <c r="BR425" s="87">
        <f>SUMIFS($AU$3:AU426,$AA$3:AA426,"*")</f>
        <v>22917.200000000095</v>
      </c>
      <c r="BS425" s="87">
        <f>SUMIFS($AU$3:AU426,$AB$3:AB426,"*")</f>
        <v>7095.1799999999312</v>
      </c>
      <c r="BT425" s="87">
        <f>SUMIFS($AU$3:AU426,$AC$3:AC426,"*")</f>
        <v>18388.400000000001</v>
      </c>
      <c r="BU425" s="87">
        <f>SUMIFS($AU$3:AU426,$AA$3:AA426,"*",$AB$3:AB426,"*")</f>
        <v>4079.9999999998217</v>
      </c>
      <c r="BV425" s="87">
        <f>SUMIFS($AU$3:AU426,$AA$3:AA426,"*",$AC$3:AC426,"*")</f>
        <v>13444.4</v>
      </c>
      <c r="BW425" s="87">
        <f>SUMIFS($AU$3:AU426,$AB$3:AB426,"*",$AC$3:AC426,"*")</f>
        <v>3759.9999999999982</v>
      </c>
      <c r="BX425" s="87">
        <f>SUMIFS($AV$3:AV426,$Q$3:Q426,"F")</f>
        <v>412.19230875404793</v>
      </c>
      <c r="BY425" s="87">
        <f>SUMIFS($AV$3:AV426,$Q$3:Q426,"S")</f>
        <v>337.77638392253402</v>
      </c>
      <c r="BZ425" s="87">
        <f>SUMIFS($AV$3:AV426,$Q$3:Q426,"O")</f>
        <v>707.63999999990438</v>
      </c>
    </row>
    <row r="426" spans="1:78" ht="15.75" customHeight="1">
      <c r="A426" s="45" t="s">
        <v>1310</v>
      </c>
      <c r="B426" s="59">
        <v>45394</v>
      </c>
      <c r="C426" s="46" t="s">
        <v>1523</v>
      </c>
      <c r="D426" s="46" t="s">
        <v>115</v>
      </c>
      <c r="E426" s="66"/>
      <c r="F426" s="47"/>
      <c r="G426" s="106" t="s">
        <v>227</v>
      </c>
      <c r="H426" s="49"/>
      <c r="I426" s="49"/>
      <c r="J426" s="49"/>
      <c r="K426" s="50"/>
      <c r="L426" s="49">
        <v>1</v>
      </c>
      <c r="M426" s="49"/>
      <c r="N426" s="49"/>
      <c r="O426" s="50" t="s">
        <v>100</v>
      </c>
      <c r="P426" s="50" t="s">
        <v>101</v>
      </c>
      <c r="Q426" s="50" t="s">
        <v>102</v>
      </c>
      <c r="R426" s="50">
        <v>30</v>
      </c>
      <c r="S426" s="161">
        <v>0</v>
      </c>
      <c r="T426" s="50">
        <v>30</v>
      </c>
      <c r="U426" s="50" t="s">
        <v>22</v>
      </c>
      <c r="V426" s="50"/>
      <c r="W426" s="50"/>
      <c r="X426" s="50"/>
      <c r="Y426" s="51">
        <f t="shared" si="179"/>
        <v>0.01</v>
      </c>
      <c r="Z426" s="52">
        <f>IF(ISBLANK(O426),"",IF(O426="IB",8.63*200,IF(O426="IR",16*100,IF(O426="YT",20*100,IF(O426="YT-XT",24*200,IF(O426="TED",80*100,IF(O426="XT",29*200)))))))</f>
        <v>1600</v>
      </c>
      <c r="AA426" s="52" t="s">
        <v>1251</v>
      </c>
      <c r="AB426" s="52"/>
      <c r="AC426" s="52" t="s">
        <v>1543</v>
      </c>
      <c r="AD426" s="231">
        <v>-0.09</v>
      </c>
      <c r="AE426" s="49"/>
      <c r="AF426" s="84"/>
      <c r="AG426" s="49"/>
      <c r="AH426" s="49"/>
      <c r="AI426" s="49"/>
      <c r="AJ426" s="226"/>
      <c r="AK426" s="49"/>
      <c r="AL426" s="113">
        <f t="shared" si="155"/>
        <v>-32</v>
      </c>
      <c r="AM426" s="113">
        <f t="shared" si="176"/>
        <v>-960</v>
      </c>
      <c r="AN426" s="218"/>
      <c r="AO426" s="49"/>
      <c r="AP426" s="49"/>
      <c r="AQ426" s="84" t="s">
        <v>142</v>
      </c>
      <c r="AR426" s="49" t="s">
        <v>404</v>
      </c>
      <c r="AS426" s="55">
        <v>-0.09</v>
      </c>
      <c r="AT426" s="55">
        <f t="shared" si="180"/>
        <v>0</v>
      </c>
      <c r="AU426" s="54">
        <f t="shared" si="181"/>
        <v>0</v>
      </c>
      <c r="AV426" s="56">
        <f t="shared" si="183"/>
        <v>0</v>
      </c>
      <c r="AW426" s="57" t="s">
        <v>155</v>
      </c>
      <c r="AX426" s="153" t="s">
        <v>1544</v>
      </c>
      <c r="AY426" s="153" t="s">
        <v>1545</v>
      </c>
      <c r="AZ426" s="153"/>
      <c r="BA426" s="153"/>
      <c r="BB426" s="153"/>
      <c r="BC426" s="153"/>
      <c r="BD426" s="151"/>
      <c r="BE426" s="152"/>
      <c r="BF426" s="151"/>
      <c r="BG426" s="94">
        <f>SUM($AV$4:AV426)</f>
        <v>2205.608692676491</v>
      </c>
      <c r="BH426" s="95">
        <f>SUM($AU$4:AU426)</f>
        <v>30396.380000000208</v>
      </c>
      <c r="BI426" s="80">
        <f>SUMIFS($AU$3:AU427,$Q$3:Q427,"F")</f>
        <v>22788.400000000001</v>
      </c>
      <c r="BJ426" s="80">
        <f>SUMIFS($AU$3:AU427,$Q$3:Q427,"S")</f>
        <v>5295.9999999999936</v>
      </c>
      <c r="BK426" s="87">
        <f>SUMIFS($AU$3:AU427,$P$3:P427,"W")</f>
        <v>22253.58000000014</v>
      </c>
      <c r="BL426" s="87">
        <f>SUMIFS($AU$3:AU427,$P$3:P427,"R")</f>
        <v>6777.9999999998608</v>
      </c>
      <c r="BM426" s="87">
        <f>SUMIFS($AU$3:AU427,$AQ$3:AQ427,"M")</f>
        <v>6408.7799999999179</v>
      </c>
      <c r="BN426" s="87">
        <f>SUMIFS($AU$3:AU427,$AQ$3:AQ427,"H")</f>
        <v>4679.2000000002818</v>
      </c>
      <c r="BO426" s="87">
        <f>SUMIFS($AU$3:AU427,$AQ$3:AQ427,"D")</f>
        <v>8210</v>
      </c>
      <c r="BP426" s="87">
        <f>SUMIFS($AU$3:AU514,$AQ$3:AQ514,"W")</f>
        <v>12022.400000000001</v>
      </c>
      <c r="BQ426" s="87">
        <f>SUMIFS($AU$3:AU427,$Q$3:Q427,"O")</f>
        <v>2087.9800000002169</v>
      </c>
      <c r="BR426" s="87">
        <f>SUMIFS($AU$3:AU427,$AA$3:AA427,"*")</f>
        <v>23217.200000000095</v>
      </c>
      <c r="BS426" s="87">
        <f>SUMIFS($AU$3:AU427,$AB$3:AB427,"*")</f>
        <v>7395.1799999999312</v>
      </c>
      <c r="BT426" s="87">
        <f>SUMIFS($AU$3:AU427,$AC$3:AC427,"*")</f>
        <v>18388.400000000001</v>
      </c>
      <c r="BU426" s="87">
        <f>SUMIFS($AU$3:AU427,$AA$3:AA427,"*",$AB$3:AB427,"*")</f>
        <v>4379.9999999998217</v>
      </c>
      <c r="BV426" s="87">
        <f>SUMIFS($AU$3:AU427,$AA$3:AA427,"*",$AC$3:AC427,"*")</f>
        <v>13444.4</v>
      </c>
      <c r="BW426" s="87">
        <f>SUMIFS($AU$3:AU427,$AB$3:AB427,"*",$AC$3:AC427,"*")</f>
        <v>3759.9999999999982</v>
      </c>
      <c r="BX426" s="87">
        <f>SUMIFS($AV$3:AV427,$Q$3:Q427,"F")</f>
        <v>412.19230875404793</v>
      </c>
      <c r="BY426" s="87">
        <f>SUMIFS($AV$3:AV427,$Q$3:Q427,"S")</f>
        <v>337.77638392253402</v>
      </c>
      <c r="BZ426" s="87">
        <f>SUMIFS($AV$3:AV427,$Q$3:Q427,"O")</f>
        <v>707.63999999990438</v>
      </c>
    </row>
    <row r="427" spans="1:78" ht="15.75" customHeight="1">
      <c r="A427" s="45" t="s">
        <v>1310</v>
      </c>
      <c r="B427" s="59">
        <v>45394</v>
      </c>
      <c r="C427" s="46" t="s">
        <v>1546</v>
      </c>
      <c r="D427" s="46" t="s">
        <v>115</v>
      </c>
      <c r="E427" s="66"/>
      <c r="F427" s="47"/>
      <c r="G427" s="163" t="s">
        <v>1547</v>
      </c>
      <c r="H427" s="49"/>
      <c r="I427" s="49"/>
      <c r="J427" s="49"/>
      <c r="K427" s="50"/>
      <c r="L427" s="49"/>
      <c r="M427" s="49">
        <v>1</v>
      </c>
      <c r="N427" s="49"/>
      <c r="O427" s="50" t="s">
        <v>740</v>
      </c>
      <c r="P427" s="50" t="s">
        <v>126</v>
      </c>
      <c r="Q427" s="50"/>
      <c r="R427" s="50">
        <v>1</v>
      </c>
      <c r="S427" s="50">
        <v>0</v>
      </c>
      <c r="T427" s="50">
        <v>1</v>
      </c>
      <c r="U427" s="50" t="s">
        <v>102</v>
      </c>
      <c r="V427" s="50"/>
      <c r="W427" s="50"/>
      <c r="X427" s="50"/>
      <c r="Y427" s="51">
        <f t="shared" si="179"/>
        <v>0.01</v>
      </c>
      <c r="Z427" s="52">
        <f>IF(ISBLANK(O427),"",IF(O427="IB",8.63*200,IF(O427="IR",16*100,IF(O427="YT",20*100,IF(O427="YT-XT",24*200,IF(O427="TED",80*100,IF(O427="IR|YT",300*100)))))))</f>
        <v>30000</v>
      </c>
      <c r="AA427" s="52" t="s">
        <v>1537</v>
      </c>
      <c r="AB427" s="52" t="s">
        <v>1548</v>
      </c>
      <c r="AC427" s="52"/>
      <c r="AD427" s="231">
        <v>-0.05</v>
      </c>
      <c r="AE427" s="49"/>
      <c r="AF427" s="84"/>
      <c r="AG427" s="49"/>
      <c r="AH427" s="49"/>
      <c r="AI427" s="49"/>
      <c r="AJ427" s="226"/>
      <c r="AK427" s="49"/>
      <c r="AL427" s="113">
        <f t="shared" si="155"/>
        <v>-600</v>
      </c>
      <c r="AM427" s="113">
        <f t="shared" si="176"/>
        <v>-600</v>
      </c>
      <c r="AN427" s="218"/>
      <c r="AO427" s="49"/>
      <c r="AP427" s="49" t="s">
        <v>165</v>
      </c>
      <c r="AQ427" s="84" t="s">
        <v>142</v>
      </c>
      <c r="AR427" s="49" t="s">
        <v>1549</v>
      </c>
      <c r="AS427" s="55">
        <v>-0.06</v>
      </c>
      <c r="AT427" s="55">
        <f t="shared" si="180"/>
        <v>9.999999999999995E-3</v>
      </c>
      <c r="AU427" s="54">
        <f t="shared" si="181"/>
        <v>299.99999999999983</v>
      </c>
      <c r="AV427" s="56">
        <f t="shared" ref="AV427" si="184">IF(ISBLANK(AS427),,(AT427*Z427))</f>
        <v>299.99999999999983</v>
      </c>
      <c r="AW427" s="57" t="s">
        <v>101</v>
      </c>
      <c r="AX427" s="153"/>
      <c r="AY427" s="153"/>
      <c r="AZ427" s="153"/>
      <c r="BA427" s="153"/>
      <c r="BB427" s="153"/>
      <c r="BC427" s="153"/>
      <c r="BD427" s="151"/>
      <c r="BE427" s="152"/>
      <c r="BF427" s="151"/>
      <c r="BG427" s="94">
        <f>SUM($AV$4:AV427)</f>
        <v>2505.608692676491</v>
      </c>
      <c r="BH427" s="95">
        <f>SUM($AU$4:AU427)</f>
        <v>30696.380000000208</v>
      </c>
      <c r="BI427" s="80">
        <f>SUMIFS($AU$3:AU428,$Q$3:Q428,"F")</f>
        <v>22788.400000000001</v>
      </c>
      <c r="BJ427" s="80">
        <f>SUMIFS($AU$3:AU428,$Q$3:Q428,"S")</f>
        <v>5295.9999999999936</v>
      </c>
      <c r="BK427" s="87">
        <f>SUMIFS($AU$3:AU428,$P$3:P428,"W")</f>
        <v>22253.58000000014</v>
      </c>
      <c r="BL427" s="87">
        <f>SUMIFS($AU$3:AU428,$P$3:P428,"R")</f>
        <v>6777.9999999998608</v>
      </c>
      <c r="BM427" s="87">
        <f>SUMIFS($AU$3:AU428,$AQ$3:AQ428,"M")</f>
        <v>6408.7799999999179</v>
      </c>
      <c r="BN427" s="87">
        <f>SUMIFS($AU$3:AU428,$AQ$3:AQ428,"H")</f>
        <v>4679.2000000002818</v>
      </c>
      <c r="BO427" s="87">
        <f>SUMIFS($AU$3:AU428,$AQ$3:AQ428,"D")</f>
        <v>8210</v>
      </c>
      <c r="BP427" s="87">
        <f>SUMIFS($AU$3:AU515,$AQ$3:AQ515,"W")</f>
        <v>13990.400000000001</v>
      </c>
      <c r="BQ427" s="87">
        <f>SUMIFS($AU$3:AU428,$Q$3:Q428,"O")</f>
        <v>2087.9800000002169</v>
      </c>
      <c r="BR427" s="87">
        <f>SUMIFS($AU$3:AU428,$AA$3:AA428,"*")</f>
        <v>23217.200000000095</v>
      </c>
      <c r="BS427" s="87">
        <f>SUMIFS($AU$3:AU428,$AB$3:AB428,"*")</f>
        <v>7395.1799999999312</v>
      </c>
      <c r="BT427" s="87">
        <f>SUMIFS($AU$3:AU428,$AC$3:AC428,"*")</f>
        <v>18388.400000000001</v>
      </c>
      <c r="BU427" s="87">
        <f>SUMIFS($AU$3:AU428,$AA$3:AA428,"*",$AB$3:AB428,"*")</f>
        <v>4379.9999999998217</v>
      </c>
      <c r="BV427" s="87">
        <f>SUMIFS($AU$3:AU428,$AA$3:AA428,"*",$AC$3:AC428,"*")</f>
        <v>13444.4</v>
      </c>
      <c r="BW427" s="87">
        <f>SUMIFS($AU$3:AU428,$AB$3:AB428,"*",$AC$3:AC428,"*")</f>
        <v>3759.9999999999982</v>
      </c>
      <c r="BX427" s="87">
        <f>SUMIFS($AV$3:AV428,$Q$3:Q428,"F")</f>
        <v>412.19230875404793</v>
      </c>
      <c r="BY427" s="87">
        <f>SUMIFS($AV$3:AV428,$Q$3:Q428,"S")</f>
        <v>337.77638392253402</v>
      </c>
      <c r="BZ427" s="87">
        <f>SUMIFS($AV$3:AV428,$Q$3:Q428,"O")</f>
        <v>707.63999999990438</v>
      </c>
    </row>
    <row r="428" spans="1:78" ht="15.75" customHeight="1">
      <c r="A428" s="45" t="s">
        <v>1310</v>
      </c>
      <c r="B428" s="59">
        <v>45394</v>
      </c>
      <c r="C428" s="46" t="s">
        <v>1550</v>
      </c>
      <c r="D428" s="46" t="s">
        <v>115</v>
      </c>
      <c r="E428" s="66"/>
      <c r="F428" s="47"/>
      <c r="G428" s="106" t="s">
        <v>1551</v>
      </c>
      <c r="H428" s="49"/>
      <c r="I428" s="49"/>
      <c r="J428" s="49"/>
      <c r="K428" s="50"/>
      <c r="L428" s="49">
        <v>1</v>
      </c>
      <c r="M428" s="49"/>
      <c r="N428" s="49"/>
      <c r="O428" s="50" t="s">
        <v>100</v>
      </c>
      <c r="P428" s="50" t="s">
        <v>101</v>
      </c>
      <c r="Q428" s="50" t="s">
        <v>127</v>
      </c>
      <c r="R428" s="50">
        <v>60</v>
      </c>
      <c r="S428" s="161">
        <v>0</v>
      </c>
      <c r="T428" s="50">
        <v>60</v>
      </c>
      <c r="U428" s="50" t="s">
        <v>102</v>
      </c>
      <c r="V428" s="50"/>
      <c r="W428" s="50"/>
      <c r="X428" s="50"/>
      <c r="Y428" s="51">
        <f t="shared" si="179"/>
        <v>0.01</v>
      </c>
      <c r="Z428" s="52">
        <f>IF(ISBLANK(O428),"",IF(O428="IB",8.63*200,IF(O428="IR",16*100,IF(O428="YT",20*100,IF(O428="YT-XT",24*200,IF(O428="TED",80*100,IF(O428="XT",29*200)))))))</f>
        <v>1600</v>
      </c>
      <c r="AA428" s="52" t="s">
        <v>1552</v>
      </c>
      <c r="AB428" s="52"/>
      <c r="AC428" s="52"/>
      <c r="AD428" s="231">
        <v>0.01</v>
      </c>
      <c r="AE428" s="49"/>
      <c r="AF428" s="84"/>
      <c r="AG428" s="49"/>
      <c r="AH428" s="49"/>
      <c r="AI428" s="49" t="s">
        <v>1553</v>
      </c>
      <c r="AJ428" s="226" t="s">
        <v>1554</v>
      </c>
      <c r="AK428" s="49"/>
      <c r="AL428" s="113">
        <f t="shared" si="155"/>
        <v>-32</v>
      </c>
      <c r="AM428" s="113">
        <f t="shared" si="176"/>
        <v>-1920</v>
      </c>
      <c r="AN428" s="218"/>
      <c r="AO428" s="49"/>
      <c r="AP428" s="49" t="s">
        <v>1338</v>
      </c>
      <c r="AQ428" s="84" t="s">
        <v>155</v>
      </c>
      <c r="AR428" s="74">
        <v>45399</v>
      </c>
      <c r="AS428" s="55">
        <v>0.01</v>
      </c>
      <c r="AT428" s="55">
        <f t="shared" si="180"/>
        <v>0</v>
      </c>
      <c r="AU428" s="54">
        <f t="shared" si="181"/>
        <v>0</v>
      </c>
      <c r="AV428" s="56">
        <f t="shared" ref="AV428:AV429" si="185">IF(ISBLANK(AS428),,(AT428*Z428))</f>
        <v>0</v>
      </c>
      <c r="AW428" s="57" t="s">
        <v>155</v>
      </c>
      <c r="AX428" s="153" t="s">
        <v>1555</v>
      </c>
      <c r="AY428" s="153" t="s">
        <v>1556</v>
      </c>
      <c r="AZ428" s="153" t="s">
        <v>1557</v>
      </c>
      <c r="BA428" s="153" t="s">
        <v>1558</v>
      </c>
      <c r="BB428" s="153"/>
      <c r="BC428" s="153"/>
      <c r="BD428" s="151"/>
      <c r="BE428" s="152"/>
      <c r="BF428" s="151"/>
      <c r="BG428" s="94">
        <f>SUM($AV$4:AV428)</f>
        <v>2505.608692676491</v>
      </c>
      <c r="BH428" s="95">
        <f>SUM($AU$4:AU428)</f>
        <v>30696.380000000208</v>
      </c>
      <c r="BI428" s="80">
        <f>SUMIFS($AU$3:AU429,$Q$3:Q429,"F")</f>
        <v>22788.400000000001</v>
      </c>
      <c r="BJ428" s="80">
        <f>SUMIFS($AU$3:AU429,$Q$3:Q429,"S")</f>
        <v>5775.9999999999945</v>
      </c>
      <c r="BK428" s="87">
        <f>SUMIFS($AU$3:AU429,$P$3:P429,"W")</f>
        <v>22733.58000000014</v>
      </c>
      <c r="BL428" s="87">
        <f>SUMIFS($AU$3:AU429,$P$3:P429,"R")</f>
        <v>6777.9999999998608</v>
      </c>
      <c r="BM428" s="87">
        <f>SUMIFS($AU$3:AU429,$AQ$3:AQ429,"M")</f>
        <v>6408.7799999999179</v>
      </c>
      <c r="BN428" s="87">
        <f>SUMIFS($AU$3:AU429,$AQ$3:AQ429,"H")</f>
        <v>4679.2000000002818</v>
      </c>
      <c r="BO428" s="87">
        <f>SUMIFS($AU$3:AU429,$AQ$3:AQ429,"D")</f>
        <v>8690</v>
      </c>
      <c r="BP428" s="87">
        <f>SUMIFS($AU$3:AU516,$AQ$3:AQ516,"W")</f>
        <v>13472.599999999982</v>
      </c>
      <c r="BQ428" s="87">
        <f>SUMIFS($AU$3:AU429,$Q$3:Q429,"O")</f>
        <v>2087.9800000002169</v>
      </c>
      <c r="BR428" s="87">
        <f>SUMIFS($AU$3:AU429,$AA$3:AA429,"*")</f>
        <v>23217.200000000095</v>
      </c>
      <c r="BS428" s="87">
        <f>SUMIFS($AU$3:AU429,$AB$3:AB429,"*")</f>
        <v>7395.1799999999312</v>
      </c>
      <c r="BT428" s="87">
        <f>SUMIFS($AU$3:AU429,$AC$3:AC429,"*")</f>
        <v>18868.400000000001</v>
      </c>
      <c r="BU428" s="87">
        <f>SUMIFS($AU$3:AU429,$AA$3:AA429,"*",$AB$3:AB429,"*")</f>
        <v>4379.9999999998217</v>
      </c>
      <c r="BV428" s="87">
        <f>SUMIFS($AU$3:AU429,$AA$3:AA429,"*",$AC$3:AC429,"*")</f>
        <v>13444.4</v>
      </c>
      <c r="BW428" s="87">
        <f>SUMIFS($AU$3:AU429,$AB$3:AB429,"*",$AC$3:AC429,"*")</f>
        <v>3759.9999999999982</v>
      </c>
      <c r="BX428" s="87">
        <f>SUMIFS($AV$3:AV429,$Q$3:Q429,"F")</f>
        <v>412.19230875404793</v>
      </c>
      <c r="BY428" s="87">
        <f>SUMIFS($AV$3:AV429,$Q$3:Q429,"S")</f>
        <v>353.77638392253402</v>
      </c>
      <c r="BZ428" s="87">
        <f>SUMIFS($AV$3:AV429,$Q$3:Q429,"O")</f>
        <v>707.63999999990438</v>
      </c>
    </row>
    <row r="429" spans="1:78" ht="15.75" customHeight="1">
      <c r="A429" s="45" t="s">
        <v>1310</v>
      </c>
      <c r="B429" s="59">
        <v>45394</v>
      </c>
      <c r="C429" s="46" t="s">
        <v>1559</v>
      </c>
      <c r="D429" s="46" t="s">
        <v>115</v>
      </c>
      <c r="E429" s="66"/>
      <c r="F429" s="47"/>
      <c r="G429" s="106" t="s">
        <v>227</v>
      </c>
      <c r="H429" s="49"/>
      <c r="I429" s="49"/>
      <c r="J429" s="49"/>
      <c r="K429" s="50"/>
      <c r="L429" s="49">
        <v>1</v>
      </c>
      <c r="M429" s="49"/>
      <c r="N429" s="49"/>
      <c r="O429" s="50" t="s">
        <v>100</v>
      </c>
      <c r="P429" s="50" t="s">
        <v>101</v>
      </c>
      <c r="Q429" s="50" t="s">
        <v>102</v>
      </c>
      <c r="R429" s="50">
        <v>30</v>
      </c>
      <c r="S429" s="50">
        <v>30</v>
      </c>
      <c r="T429" s="50">
        <v>30</v>
      </c>
      <c r="U429" s="50" t="s">
        <v>22</v>
      </c>
      <c r="V429" s="50"/>
      <c r="W429" s="50"/>
      <c r="X429" s="50"/>
      <c r="Y429" s="51">
        <f t="shared" si="179"/>
        <v>0.01</v>
      </c>
      <c r="Z429" s="52">
        <f>IF(ISBLANK(O429),"",IF(O429="IB",8.63*200,IF(O429="IR",16*100,IF(O429="YT",20*100,IF(O429="YT-XT",24*200,IF(O429="TED",80*100,IF(O429="XT",29*200)))))))</f>
        <v>1600</v>
      </c>
      <c r="AA429" s="52"/>
      <c r="AB429" s="52"/>
      <c r="AC429" s="52" t="s">
        <v>1560</v>
      </c>
      <c r="AD429" s="231">
        <v>-0.1</v>
      </c>
      <c r="AE429" s="49"/>
      <c r="AF429" s="84"/>
      <c r="AG429" s="49"/>
      <c r="AH429" s="49"/>
      <c r="AI429" s="49"/>
      <c r="AJ429" s="226"/>
      <c r="AK429" s="49"/>
      <c r="AL429" s="113">
        <f t="shared" si="155"/>
        <v>-32</v>
      </c>
      <c r="AM429" s="113">
        <f t="shared" si="176"/>
        <v>0</v>
      </c>
      <c r="AN429" s="218"/>
      <c r="AO429" s="49"/>
      <c r="AP429" s="49" t="s">
        <v>297</v>
      </c>
      <c r="AQ429" s="84" t="s">
        <v>155</v>
      </c>
      <c r="AR429" s="49" t="s">
        <v>1561</v>
      </c>
      <c r="AS429" s="55">
        <v>-0.09</v>
      </c>
      <c r="AT429" s="55">
        <f t="shared" si="180"/>
        <v>1.0000000000000009E-2</v>
      </c>
      <c r="AU429" s="54">
        <f t="shared" si="181"/>
        <v>480.00000000000045</v>
      </c>
      <c r="AV429" s="56">
        <f t="shared" si="185"/>
        <v>16.000000000000014</v>
      </c>
      <c r="AW429" s="57" t="s">
        <v>101</v>
      </c>
      <c r="AX429" s="153" t="s">
        <v>1562</v>
      </c>
      <c r="AY429" s="153" t="s">
        <v>1563</v>
      </c>
      <c r="AZ429" s="153" t="s">
        <v>1564</v>
      </c>
      <c r="BA429" s="153" t="s">
        <v>1565</v>
      </c>
      <c r="BB429" s="153" t="s">
        <v>1566</v>
      </c>
      <c r="BC429" s="153"/>
      <c r="BD429" s="151"/>
      <c r="BE429" s="152"/>
      <c r="BF429" s="151"/>
      <c r="BG429" s="94">
        <f>SUM($AV$4:AV429)</f>
        <v>2521.608692676491</v>
      </c>
      <c r="BH429" s="95">
        <f>SUM($AU$4:AU429)</f>
        <v>31176.380000000208</v>
      </c>
      <c r="BI429" s="80">
        <f>SUMIFS($AU$3:AU430,$Q$3:Q430,"F")</f>
        <v>22788.400000000001</v>
      </c>
      <c r="BJ429" s="80">
        <f>SUMIFS($AU$3:AU430,$Q$3:Q430,"S")</f>
        <v>5775.9999999999945</v>
      </c>
      <c r="BK429" s="87">
        <f>SUMIFS($AU$3:AU430,$P$3:P430,"W")</f>
        <v>22733.58000000014</v>
      </c>
      <c r="BL429" s="87">
        <f>SUMIFS($AU$3:AU430,$P$3:P430,"R")</f>
        <v>7677.9999999998608</v>
      </c>
      <c r="BM429" s="87">
        <f>SUMIFS($AU$3:AU430,$AQ$3:AQ430,"M")</f>
        <v>6408.7799999999179</v>
      </c>
      <c r="BN429" s="87">
        <f>SUMIFS($AU$3:AU430,$AQ$3:AQ430,"H")</f>
        <v>4679.2000000002818</v>
      </c>
      <c r="BO429" s="87">
        <f>SUMIFS($AU$3:AU430,$AQ$3:AQ430,"D")</f>
        <v>9590</v>
      </c>
      <c r="BP429" s="87">
        <f>SUMIFS($AU$3:AU517,$AQ$3:AQ517,"W")</f>
        <v>13472.599999999982</v>
      </c>
      <c r="BQ429" s="87">
        <f>SUMIFS($AU$3:AU430,$Q$3:Q430,"O")</f>
        <v>2087.9800000002169</v>
      </c>
      <c r="BR429" s="87">
        <f>SUMIFS($AU$3:AU430,$AA$3:AA430,"*")</f>
        <v>24117.200000000095</v>
      </c>
      <c r="BS429" s="87">
        <f>SUMIFS($AU$3:AU430,$AB$3:AB430,"*")</f>
        <v>8295.1799999999312</v>
      </c>
      <c r="BT429" s="87">
        <f>SUMIFS($AU$3:AU430,$AC$3:AC430,"*")</f>
        <v>18868.400000000001</v>
      </c>
      <c r="BU429" s="87">
        <f>SUMIFS($AU$3:AU430,$AA$3:AA430,"*",$AB$3:AB430,"*")</f>
        <v>5279.9999999998217</v>
      </c>
      <c r="BV429" s="87">
        <f>SUMIFS($AU$3:AU430,$AA$3:AA430,"*",$AC$3:AC430,"*")</f>
        <v>13444.4</v>
      </c>
      <c r="BW429" s="87">
        <f>SUMIFS($AU$3:AU430,$AB$3:AB430,"*",$AC$3:AC430,"*")</f>
        <v>3759.9999999999982</v>
      </c>
      <c r="BX429" s="87">
        <f>SUMIFS($AV$3:AV430,$Q$3:Q430,"F")</f>
        <v>412.19230875404793</v>
      </c>
      <c r="BY429" s="87">
        <f>SUMIFS($AV$3:AV430,$Q$3:Q430,"S")</f>
        <v>353.77638392253402</v>
      </c>
      <c r="BZ429" s="87">
        <f>SUMIFS($AV$3:AV430,$Q$3:Q430,"O")</f>
        <v>707.63999999990438</v>
      </c>
    </row>
    <row r="430" spans="1:78" ht="15.75" customHeight="1">
      <c r="A430" s="45" t="s">
        <v>1310</v>
      </c>
      <c r="B430" s="59">
        <v>45394</v>
      </c>
      <c r="C430" s="46" t="s">
        <v>1567</v>
      </c>
      <c r="D430" s="46" t="s">
        <v>115</v>
      </c>
      <c r="E430" s="66"/>
      <c r="F430" s="47"/>
      <c r="G430" s="163" t="s">
        <v>1568</v>
      </c>
      <c r="H430" s="49"/>
      <c r="I430" s="49"/>
      <c r="J430" s="49"/>
      <c r="K430" s="50"/>
      <c r="L430" s="49"/>
      <c r="M430" s="49">
        <v>1</v>
      </c>
      <c r="N430" s="49"/>
      <c r="O430" s="50" t="s">
        <v>740</v>
      </c>
      <c r="P430" s="50" t="s">
        <v>126</v>
      </c>
      <c r="Q430" s="50"/>
      <c r="R430" s="50">
        <v>1</v>
      </c>
      <c r="S430" s="50">
        <v>0</v>
      </c>
      <c r="T430" s="50">
        <v>1</v>
      </c>
      <c r="U430" s="50" t="s">
        <v>102</v>
      </c>
      <c r="V430" s="50"/>
      <c r="W430" s="50"/>
      <c r="X430" s="50"/>
      <c r="Y430" s="51">
        <f t="shared" si="179"/>
        <v>0.01</v>
      </c>
      <c r="Z430" s="52">
        <f>IF(ISBLANK(O430),"",IF(O430="IB",8.63*200,IF(O430="IR",16*100,IF(O430="YT",20*100,IF(O430="YT-XT",24*200,IF(O430="TED",80*100,IF(O430="IR|YT",300*100)))))))</f>
        <v>30000</v>
      </c>
      <c r="AA430" s="52" t="s">
        <v>1569</v>
      </c>
      <c r="AB430" s="52" t="s">
        <v>1548</v>
      </c>
      <c r="AC430" s="52"/>
      <c r="AD430" s="231">
        <v>-0.06</v>
      </c>
      <c r="AE430" s="49"/>
      <c r="AF430" s="84"/>
      <c r="AG430" s="49"/>
      <c r="AH430" s="49"/>
      <c r="AI430" s="49"/>
      <c r="AJ430" s="226"/>
      <c r="AK430" s="49"/>
      <c r="AL430" s="113">
        <f t="shared" si="155"/>
        <v>-600</v>
      </c>
      <c r="AM430" s="113">
        <f t="shared" si="176"/>
        <v>-600</v>
      </c>
      <c r="AN430" s="218"/>
      <c r="AO430" s="49"/>
      <c r="AP430" s="49" t="s">
        <v>297</v>
      </c>
      <c r="AQ430" s="84" t="s">
        <v>155</v>
      </c>
      <c r="AR430" s="49" t="s">
        <v>1570</v>
      </c>
      <c r="AS430" s="55">
        <v>-0.09</v>
      </c>
      <c r="AT430" s="55">
        <f t="shared" si="180"/>
        <v>0.03</v>
      </c>
      <c r="AU430" s="54">
        <f t="shared" si="181"/>
        <v>900</v>
      </c>
      <c r="AV430" s="56">
        <f t="shared" ref="AV430" si="186">IF(ISBLANK(AS430),,(AT430*Z430))</f>
        <v>900</v>
      </c>
      <c r="AW430" s="57" t="s">
        <v>101</v>
      </c>
      <c r="AX430" s="153" t="s">
        <v>1566</v>
      </c>
      <c r="AY430" s="153"/>
      <c r="AZ430" s="153"/>
      <c r="BA430" s="153"/>
      <c r="BB430" s="153"/>
      <c r="BC430" s="153"/>
      <c r="BD430" s="151"/>
      <c r="BE430" s="152"/>
      <c r="BF430" s="151"/>
      <c r="BG430" s="94">
        <f>SUM($AV$4:AV430)</f>
        <v>3421.608692676491</v>
      </c>
      <c r="BH430" s="95">
        <f>SUM($AU$4:AU430)</f>
        <v>32076.380000000208</v>
      </c>
      <c r="BI430" s="80">
        <f>SUMIFS($AU$3:AU431,$Q$3:Q431,"F")</f>
        <v>23268.400000000001</v>
      </c>
      <c r="BJ430" s="80">
        <f>SUMIFS($AU$3:AU431,$Q$3:Q431,"S")</f>
        <v>5775.9999999999945</v>
      </c>
      <c r="BK430" s="87">
        <f>SUMIFS($AU$3:AU431,$P$3:P431,"W")</f>
        <v>23213.58000000014</v>
      </c>
      <c r="BL430" s="87">
        <f>SUMIFS($AU$3:AU431,$P$3:P431,"R")</f>
        <v>7677.9999999998608</v>
      </c>
      <c r="BM430" s="87">
        <f>SUMIFS($AU$3:AU431,$AQ$3:AQ431,"M")</f>
        <v>6408.7799999999179</v>
      </c>
      <c r="BN430" s="87">
        <f>SUMIFS($AU$3:AU431,$AQ$3:AQ431,"H")</f>
        <v>5159.2000000002827</v>
      </c>
      <c r="BO430" s="87">
        <f>SUMIFS($AU$3:AU431,$AQ$3:AQ431,"D")</f>
        <v>9590</v>
      </c>
      <c r="BP430" s="87">
        <f>SUMIFS($AU$3:AU518,$AQ$3:AQ518,"W")</f>
        <v>13472.599999999982</v>
      </c>
      <c r="BQ430" s="87">
        <f>SUMIFS($AU$3:AU431,$Q$3:Q431,"O")</f>
        <v>2087.9800000002169</v>
      </c>
      <c r="BR430" s="87">
        <f>SUMIFS($AU$3:AU431,$AA$3:AA431,"*")</f>
        <v>24597.200000000095</v>
      </c>
      <c r="BS430" s="87">
        <f>SUMIFS($AU$3:AU431,$AB$3:AB431,"*")</f>
        <v>8775.1799999999312</v>
      </c>
      <c r="BT430" s="87">
        <f>SUMIFS($AU$3:AU431,$AC$3:AC431,"*")</f>
        <v>18868.400000000001</v>
      </c>
      <c r="BU430" s="87">
        <f>SUMIFS($AU$3:AU431,$AA$3:AA431,"*",$AB$3:AB431,"*")</f>
        <v>5759.9999999998217</v>
      </c>
      <c r="BV430" s="87">
        <f>SUMIFS($AU$3:AU431,$AA$3:AA431,"*",$AC$3:AC431,"*")</f>
        <v>13444.4</v>
      </c>
      <c r="BW430" s="87">
        <f>SUMIFS($AU$3:AU431,$AB$3:AB431,"*",$AC$3:AC431,"*")</f>
        <v>3759.9999999999982</v>
      </c>
      <c r="BX430" s="87">
        <f>SUMIFS($AV$3:AV431,$Q$3:Q431,"F")</f>
        <v>428.19230875404793</v>
      </c>
      <c r="BY430" s="87">
        <f>SUMIFS($AV$3:AV431,$Q$3:Q431,"S")</f>
        <v>353.77638392253402</v>
      </c>
      <c r="BZ430" s="87">
        <f>SUMIFS($AV$3:AV431,$Q$3:Q431,"O")</f>
        <v>707.63999999990438</v>
      </c>
    </row>
    <row r="431" spans="1:78" ht="15.75" customHeight="1">
      <c r="A431" s="45" t="s">
        <v>1310</v>
      </c>
      <c r="B431" s="59">
        <v>45397</v>
      </c>
      <c r="C431" s="46" t="s">
        <v>1571</v>
      </c>
      <c r="D431" s="46" t="s">
        <v>176</v>
      </c>
      <c r="E431" s="66"/>
      <c r="F431" s="47"/>
      <c r="G431" s="106" t="s">
        <v>227</v>
      </c>
      <c r="H431" s="49"/>
      <c r="I431" s="49"/>
      <c r="J431" s="49"/>
      <c r="K431" s="50"/>
      <c r="L431" s="49">
        <v>1</v>
      </c>
      <c r="M431" s="49"/>
      <c r="N431" s="49"/>
      <c r="O431" s="50" t="s">
        <v>100</v>
      </c>
      <c r="P431" s="50" t="s">
        <v>101</v>
      </c>
      <c r="Q431" s="50" t="s">
        <v>127</v>
      </c>
      <c r="R431" s="50">
        <v>30</v>
      </c>
      <c r="S431" s="161">
        <v>0</v>
      </c>
      <c r="T431" s="50">
        <v>30</v>
      </c>
      <c r="U431" s="50" t="s">
        <v>22</v>
      </c>
      <c r="V431" s="50"/>
      <c r="W431" s="50"/>
      <c r="X431" s="50"/>
      <c r="Y431" s="51">
        <f t="shared" si="179"/>
        <v>0.01</v>
      </c>
      <c r="Z431" s="52">
        <f>IF(ISBLANK(O431),"",IF(O431="IB",8.63*200,IF(O431="IR",16*100,IF(O431="YT",20*100,IF(O431="YT-XT",24*200,IF(O431="TED",80*100,IF(O431="XT",29*200)))))))</f>
        <v>1600</v>
      </c>
      <c r="AA431" s="52" t="s">
        <v>177</v>
      </c>
      <c r="AB431" s="52" t="s">
        <v>1572</v>
      </c>
      <c r="AC431" s="52"/>
      <c r="AD431" s="231">
        <v>-0.1</v>
      </c>
      <c r="AE431" s="49"/>
      <c r="AF431" s="84"/>
      <c r="AG431" s="49"/>
      <c r="AH431" s="49"/>
      <c r="AI431" s="49"/>
      <c r="AJ431" s="226"/>
      <c r="AK431" s="49"/>
      <c r="AL431" s="113">
        <f t="shared" si="155"/>
        <v>-32</v>
      </c>
      <c r="AM431" s="113">
        <f t="shared" si="176"/>
        <v>-960</v>
      </c>
      <c r="AN431" s="218"/>
      <c r="AO431" s="49"/>
      <c r="AP431" s="49" t="s">
        <v>1212</v>
      </c>
      <c r="AQ431" s="84" t="s">
        <v>142</v>
      </c>
      <c r="AR431" s="49" t="s">
        <v>1573</v>
      </c>
      <c r="AS431" s="55">
        <v>-0.09</v>
      </c>
      <c r="AT431" s="55">
        <f t="shared" si="180"/>
        <v>1.0000000000000009E-2</v>
      </c>
      <c r="AU431" s="54">
        <f t="shared" si="181"/>
        <v>480.00000000000045</v>
      </c>
      <c r="AV431" s="56">
        <f t="shared" ref="AV431" si="187">IF(ISBLANK(AS431),,(AT431*Z431))</f>
        <v>16.000000000000014</v>
      </c>
      <c r="AW431" s="57" t="s">
        <v>101</v>
      </c>
      <c r="AX431" s="153"/>
      <c r="AY431" s="153"/>
      <c r="AZ431" s="153"/>
      <c r="BA431" s="153"/>
      <c r="BB431" s="153"/>
      <c r="BC431" s="153"/>
      <c r="BD431" s="151"/>
      <c r="BE431" s="152"/>
      <c r="BF431" s="151"/>
      <c r="BG431" s="94">
        <f>SUM($AV$4:AV431)</f>
        <v>3437.608692676491</v>
      </c>
      <c r="BH431" s="95">
        <f>SUM($AU$4:AU431)</f>
        <v>32556.380000000208</v>
      </c>
      <c r="BI431" s="80">
        <f>SUMIFS($AU$3:AU432,$Q$3:Q432,"F")</f>
        <v>23268.400000000001</v>
      </c>
      <c r="BJ431" s="80">
        <f>SUMIFS($AU$3:AU432,$Q$3:Q432,"S")</f>
        <v>5775.9999999999945</v>
      </c>
      <c r="BK431" s="87">
        <f>SUMIFS($AU$3:AU432,$P$3:P432,"W")</f>
        <v>23213.58000000014</v>
      </c>
      <c r="BL431" s="87">
        <f>SUMIFS($AU$3:AU432,$P$3:P432,"R")</f>
        <v>7677.9999999998608</v>
      </c>
      <c r="BM431" s="87">
        <f>SUMIFS($AU$3:AU432,$AQ$3:AQ432,"M")</f>
        <v>6408.7799999999179</v>
      </c>
      <c r="BN431" s="87">
        <f>SUMIFS($AU$3:AU432,$AQ$3:AQ432,"H")</f>
        <v>5159.2000000002827</v>
      </c>
      <c r="BO431" s="87">
        <f>SUMIFS($AU$3:AU432,$AQ$3:AQ432,"D")</f>
        <v>9590</v>
      </c>
      <c r="BP431" s="87">
        <f>SUMIFS($AU$3:AU519,$AQ$3:AQ519,"W")</f>
        <v>13472.599999999982</v>
      </c>
      <c r="BQ431" s="87">
        <f>SUMIFS($AU$3:AU432,$Q$3:Q432,"O")</f>
        <v>2087.9800000002169</v>
      </c>
      <c r="BR431" s="87">
        <f>SUMIFS($AU$3:AU432,$AA$3:AA432,"*")</f>
        <v>24597.200000000095</v>
      </c>
      <c r="BS431" s="87">
        <f>SUMIFS($AU$3:AU432,$AB$3:AB432,"*")</f>
        <v>8775.1799999999312</v>
      </c>
      <c r="BT431" s="87">
        <f>SUMIFS($AU$3:AU432,$AC$3:AC432,"*")</f>
        <v>18868.400000000001</v>
      </c>
      <c r="BU431" s="87">
        <f>SUMIFS($AU$3:AU432,$AA$3:AA432,"*",$AB$3:AB432,"*")</f>
        <v>5759.9999999998217</v>
      </c>
      <c r="BV431" s="87">
        <f>SUMIFS($AU$3:AU432,$AA$3:AA432,"*",$AC$3:AC432,"*")</f>
        <v>13444.4</v>
      </c>
      <c r="BW431" s="87">
        <f>SUMIFS($AU$3:AU432,$AB$3:AB432,"*",$AC$3:AC432,"*")</f>
        <v>3759.9999999999982</v>
      </c>
      <c r="BX431" s="87">
        <f>SUMIFS($AV$3:AV432,$Q$3:Q432,"F")</f>
        <v>428.19230875404793</v>
      </c>
      <c r="BY431" s="87">
        <f>SUMIFS($AV$3:AV432,$Q$3:Q432,"S")</f>
        <v>353.77638392253402</v>
      </c>
      <c r="BZ431" s="87">
        <f>SUMIFS($AV$3:AV432,$Q$3:Q432,"O")</f>
        <v>707.63999999990438</v>
      </c>
    </row>
    <row r="432" spans="1:78" ht="15.75" customHeight="1">
      <c r="A432" s="45" t="s">
        <v>1310</v>
      </c>
      <c r="B432" s="59">
        <v>45397</v>
      </c>
      <c r="C432" s="46" t="s">
        <v>871</v>
      </c>
      <c r="D432" s="46" t="s">
        <v>176</v>
      </c>
      <c r="E432" s="66" t="s">
        <v>1574</v>
      </c>
      <c r="F432" s="47"/>
      <c r="G432" s="48"/>
      <c r="H432" s="49"/>
      <c r="I432" s="49"/>
      <c r="J432" s="49"/>
      <c r="K432" s="50"/>
      <c r="L432" s="49"/>
      <c r="M432" s="49"/>
      <c r="N432" s="49"/>
      <c r="O432" s="50"/>
      <c r="P432" s="50"/>
      <c r="Q432" s="50"/>
      <c r="R432" s="50"/>
      <c r="S432" s="50"/>
      <c r="T432" s="50"/>
      <c r="U432" s="50"/>
      <c r="V432" s="50"/>
      <c r="W432" s="50"/>
      <c r="X432" s="50"/>
      <c r="Y432" s="50"/>
      <c r="Z432" s="50"/>
      <c r="AA432" s="52"/>
      <c r="AB432" s="52"/>
      <c r="AC432" s="52"/>
      <c r="AD432" s="231"/>
      <c r="AE432" s="49"/>
      <c r="AF432" s="84"/>
      <c r="AG432" s="49"/>
      <c r="AH432" s="49"/>
      <c r="AI432" s="49"/>
      <c r="AJ432" s="226"/>
      <c r="AK432" s="49"/>
      <c r="AL432" s="113">
        <f t="shared" si="155"/>
        <v>0</v>
      </c>
      <c r="AM432" s="113">
        <f t="shared" si="176"/>
        <v>0</v>
      </c>
      <c r="AN432" s="218"/>
      <c r="AO432" s="49"/>
      <c r="AP432" s="49"/>
      <c r="AQ432" s="84" t="str">
        <f>UPPER(RIGHT(Journal_Live[[#This Row],[DURATION ]]))</f>
        <v/>
      </c>
      <c r="AR432" s="49"/>
      <c r="AS432" s="55"/>
      <c r="AT432" s="55"/>
      <c r="AU432" s="54"/>
      <c r="AV432" s="56"/>
      <c r="AW432" s="57"/>
      <c r="AX432" s="168" t="s">
        <v>1575</v>
      </c>
      <c r="AY432" s="167" t="s">
        <v>1576</v>
      </c>
      <c r="AZ432" s="153"/>
      <c r="BA432" s="153"/>
      <c r="BB432" s="153"/>
      <c r="BC432" s="153"/>
      <c r="BD432" s="151"/>
      <c r="BE432" s="152"/>
      <c r="BF432" s="151"/>
      <c r="BG432" s="94">
        <f>SUM($AV$4:AV432)</f>
        <v>3437.608692676491</v>
      </c>
      <c r="BH432" s="95">
        <f>SUM($AU$4:AU432)</f>
        <v>32556.380000000208</v>
      </c>
      <c r="BI432" s="80">
        <f>SUMIFS($AU$3:AU433,$Q$3:Q433,"F")</f>
        <v>23268.400000000001</v>
      </c>
      <c r="BJ432" s="80">
        <f>SUMIFS($AU$3:AU433,$Q$3:Q433,"S")</f>
        <v>5775.9999999999945</v>
      </c>
      <c r="BK432" s="87">
        <f>SUMIFS($AU$3:AU433,$P$3:P433,"W")</f>
        <v>23213.58000000014</v>
      </c>
      <c r="BL432" s="87">
        <f>SUMIFS($AU$3:AU433,$P$3:P433,"R")</f>
        <v>7677.9999999998608</v>
      </c>
      <c r="BM432" s="87">
        <f>SUMIFS($AU$3:AU433,$AQ$3:AQ433,"M")</f>
        <v>6408.7799999999179</v>
      </c>
      <c r="BN432" s="87">
        <f>SUMIFS($AU$3:AU433,$AQ$3:AQ433,"H")</f>
        <v>5159.2000000002827</v>
      </c>
      <c r="BO432" s="87">
        <f>SUMIFS($AU$3:AU433,$AQ$3:AQ433,"D")</f>
        <v>9590</v>
      </c>
      <c r="BP432" s="87">
        <f>SUMIFS($AU$3:AU520,$AQ$3:AQ520,"W")</f>
        <v>13472.599999999982</v>
      </c>
      <c r="BQ432" s="87">
        <f>SUMIFS($AU$3:AU433,$Q$3:Q433,"O")</f>
        <v>2087.9800000002169</v>
      </c>
      <c r="BR432" s="87">
        <f>SUMIFS($AU$3:AU433,$AA$3:AA433,"*")</f>
        <v>24597.200000000095</v>
      </c>
      <c r="BS432" s="87">
        <f>SUMIFS($AU$3:AU433,$AB$3:AB433,"*")</f>
        <v>8775.1799999999312</v>
      </c>
      <c r="BT432" s="87">
        <f>SUMIFS($AU$3:AU433,$AC$3:AC433,"*")</f>
        <v>18868.400000000001</v>
      </c>
      <c r="BU432" s="87">
        <f>SUMIFS($AU$3:AU433,$AA$3:AA433,"*",$AB$3:AB433,"*")</f>
        <v>5759.9999999998217</v>
      </c>
      <c r="BV432" s="87">
        <f>SUMIFS($AU$3:AU433,$AA$3:AA433,"*",$AC$3:AC433,"*")</f>
        <v>13444.4</v>
      </c>
      <c r="BW432" s="87">
        <f>SUMIFS($AU$3:AU433,$AB$3:AB433,"*",$AC$3:AC433,"*")</f>
        <v>3759.9999999999982</v>
      </c>
      <c r="BX432" s="87">
        <f>SUMIFS($AV$3:AV433,$Q$3:Q433,"F")</f>
        <v>428.19230875404793</v>
      </c>
      <c r="BY432" s="87">
        <f>SUMIFS($AV$3:AV433,$Q$3:Q433,"S")</f>
        <v>353.77638392253402</v>
      </c>
      <c r="BZ432" s="87">
        <f>SUMIFS($AV$3:AV433,$Q$3:Q433,"O")</f>
        <v>707.63999999990438</v>
      </c>
    </row>
    <row r="433" spans="1:78" ht="15.75" customHeight="1">
      <c r="A433" s="45" t="s">
        <v>1310</v>
      </c>
      <c r="B433" s="59">
        <v>45397</v>
      </c>
      <c r="C433" s="46" t="s">
        <v>147</v>
      </c>
      <c r="D433" s="46" t="s">
        <v>176</v>
      </c>
      <c r="E433" s="66"/>
      <c r="F433" s="47"/>
      <c r="G433" s="104" t="s">
        <v>181</v>
      </c>
      <c r="H433" s="49"/>
      <c r="I433" s="49"/>
      <c r="J433" s="49"/>
      <c r="K433" s="50"/>
      <c r="L433" s="49">
        <v>1</v>
      </c>
      <c r="M433" s="49"/>
      <c r="N433" s="49"/>
      <c r="O433" s="50" t="s">
        <v>100</v>
      </c>
      <c r="P433" s="50" t="s">
        <v>101</v>
      </c>
      <c r="Q433" s="50" t="s">
        <v>102</v>
      </c>
      <c r="R433" s="50">
        <v>33</v>
      </c>
      <c r="S433" s="161">
        <v>33</v>
      </c>
      <c r="T433" s="50">
        <v>33</v>
      </c>
      <c r="U433" s="50" t="s">
        <v>102</v>
      </c>
      <c r="V433" s="50"/>
      <c r="W433" s="50"/>
      <c r="X433" s="50"/>
      <c r="Y433" s="51">
        <f>IF(ISBLANK(O433),"",(IF(O433=UPPER("IB"),0.005,0.01)))</f>
        <v>0.01</v>
      </c>
      <c r="Z433" s="52">
        <f>IF(ISBLANK(O433),"",IF(O433="IB",8.63*200,IF(O433="IR",16*100,IF(O433="YT",20*100,IF(O433="YT-XT",24*200,IF(O433="TED",80*100,IF(O433="XT",29*200)))))))</f>
        <v>1600</v>
      </c>
      <c r="AA433" s="52" t="s">
        <v>177</v>
      </c>
      <c r="AB433" s="52"/>
      <c r="AC433" s="52"/>
      <c r="AD433" s="231">
        <v>-0.09</v>
      </c>
      <c r="AE433" s="49"/>
      <c r="AF433" s="84"/>
      <c r="AG433" s="49"/>
      <c r="AH433" s="49"/>
      <c r="AI433" s="49"/>
      <c r="AJ433" s="226"/>
      <c r="AK433" s="49"/>
      <c r="AL433" s="113">
        <f t="shared" si="144"/>
        <v>-32</v>
      </c>
      <c r="AM433" s="113">
        <f t="shared" si="176"/>
        <v>0</v>
      </c>
      <c r="AN433" s="218"/>
      <c r="AO433" s="49"/>
      <c r="AP433" s="49" t="s">
        <v>1577</v>
      </c>
      <c r="AQ433" s="84" t="s">
        <v>142</v>
      </c>
      <c r="AR433" s="49" t="s">
        <v>1578</v>
      </c>
      <c r="AS433" s="55">
        <v>-0.09</v>
      </c>
      <c r="AT433" s="55">
        <f>IF(ISBLANK(AS433),,IF(U433="S",AD433-AS433,AS433-AD433))</f>
        <v>0</v>
      </c>
      <c r="AU433" s="54">
        <f>AV433*R433</f>
        <v>0</v>
      </c>
      <c r="AV433" s="56">
        <f t="shared" ref="AV433" si="188">IF(ISBLANK(AS433),,(AT433*Z433))</f>
        <v>0</v>
      </c>
      <c r="AW433" s="57" t="s">
        <v>155</v>
      </c>
      <c r="AX433" s="166"/>
      <c r="AY433" s="166"/>
      <c r="AZ433" s="153"/>
      <c r="BA433" s="153"/>
      <c r="BB433" s="153"/>
      <c r="BC433" s="153"/>
      <c r="BD433" s="151"/>
      <c r="BE433" s="152"/>
      <c r="BF433" s="151"/>
      <c r="BG433" s="94">
        <f>SUM($AV$4:AV433)</f>
        <v>3437.608692676491</v>
      </c>
      <c r="BH433" s="95">
        <f>SUM($AU$4:AU433)</f>
        <v>32556.380000000208</v>
      </c>
      <c r="BI433" s="80">
        <f>SUMIFS($AU$3:AU434,$Q$3:Q434,"F")</f>
        <v>23268.400000000001</v>
      </c>
      <c r="BJ433" s="80">
        <f>SUMIFS($AU$3:AU434,$Q$3:Q434,"S")</f>
        <v>5775.9999999999945</v>
      </c>
      <c r="BK433" s="87">
        <f>SUMIFS($AU$3:AU434,$P$3:P434,"W")</f>
        <v>23213.58000000014</v>
      </c>
      <c r="BL433" s="87">
        <f>SUMIFS($AU$3:AU434,$P$3:P434,"R")</f>
        <v>7677.9999999998608</v>
      </c>
      <c r="BM433" s="87">
        <f>SUMIFS($AU$3:AU434,$AQ$3:AQ434,"M")</f>
        <v>6408.7799999999179</v>
      </c>
      <c r="BN433" s="87">
        <f>SUMIFS($AU$3:AU434,$AQ$3:AQ434,"H")</f>
        <v>5159.2000000002827</v>
      </c>
      <c r="BO433" s="87">
        <f>SUMIFS($AU$3:AU434,$AQ$3:AQ434,"D")</f>
        <v>9590</v>
      </c>
      <c r="BP433" s="87">
        <f>SUMIFS($AU$3:AU521,$AQ$3:AQ521,"W")</f>
        <v>13472.599999999982</v>
      </c>
      <c r="BQ433" s="87">
        <f>SUMIFS($AU$3:AU434,$Q$3:Q434,"O")</f>
        <v>2087.9800000002169</v>
      </c>
      <c r="BR433" s="87">
        <f>SUMIFS($AU$3:AU434,$AA$3:AA434,"*")</f>
        <v>24597.200000000095</v>
      </c>
      <c r="BS433" s="87">
        <f>SUMIFS($AU$3:AU434,$AB$3:AB434,"*")</f>
        <v>8775.1799999999312</v>
      </c>
      <c r="BT433" s="87">
        <f>SUMIFS($AU$3:AU434,$AC$3:AC434,"*")</f>
        <v>18868.400000000001</v>
      </c>
      <c r="BU433" s="87">
        <f>SUMIFS($AU$3:AU434,$AA$3:AA434,"*",$AB$3:AB434,"*")</f>
        <v>5759.9999999998217</v>
      </c>
      <c r="BV433" s="87">
        <f>SUMIFS($AU$3:AU434,$AA$3:AA434,"*",$AC$3:AC434,"*")</f>
        <v>13444.4</v>
      </c>
      <c r="BW433" s="87">
        <f>SUMIFS($AU$3:AU434,$AB$3:AB434,"*",$AC$3:AC434,"*")</f>
        <v>3759.9999999999982</v>
      </c>
      <c r="BX433" s="87">
        <f>SUMIFS($AV$3:AV434,$Q$3:Q434,"F")</f>
        <v>428.19230875404793</v>
      </c>
      <c r="BY433" s="87">
        <f>SUMIFS($AV$3:AV434,$Q$3:Q434,"S")</f>
        <v>353.77638392253402</v>
      </c>
      <c r="BZ433" s="87">
        <f>SUMIFS($AV$3:AV434,$Q$3:Q434,"O")</f>
        <v>707.63999999990438</v>
      </c>
    </row>
    <row r="434" spans="1:78" ht="15.75" customHeight="1">
      <c r="A434" s="45" t="s">
        <v>1310</v>
      </c>
      <c r="B434" s="59">
        <v>45397</v>
      </c>
      <c r="C434" s="46" t="s">
        <v>1579</v>
      </c>
      <c r="D434" s="46" t="s">
        <v>176</v>
      </c>
      <c r="E434" s="66"/>
      <c r="F434" s="47"/>
      <c r="G434" s="106" t="s">
        <v>1580</v>
      </c>
      <c r="H434" s="49"/>
      <c r="I434" s="49"/>
      <c r="J434" s="49"/>
      <c r="K434" s="50"/>
      <c r="L434" s="49"/>
      <c r="M434" s="49"/>
      <c r="N434" s="49"/>
      <c r="O434" s="50"/>
      <c r="P434" s="50"/>
      <c r="Q434" s="50"/>
      <c r="R434" s="50"/>
      <c r="S434" s="50"/>
      <c r="T434" s="50"/>
      <c r="U434" s="50"/>
      <c r="V434" s="50"/>
      <c r="W434" s="50"/>
      <c r="X434" s="50"/>
      <c r="Y434" s="51"/>
      <c r="Z434" s="52"/>
      <c r="AA434" s="52"/>
      <c r="AB434" s="52"/>
      <c r="AC434" s="52"/>
      <c r="AD434" s="231"/>
      <c r="AE434" s="49"/>
      <c r="AF434" s="84"/>
      <c r="AG434" s="49"/>
      <c r="AH434" s="49"/>
      <c r="AI434" s="49"/>
      <c r="AJ434" s="226"/>
      <c r="AK434" s="49"/>
      <c r="AL434" s="113">
        <f t="shared" si="144"/>
        <v>0</v>
      </c>
      <c r="AM434" s="113">
        <f t="shared" si="176"/>
        <v>0</v>
      </c>
      <c r="AN434" s="218"/>
      <c r="AO434" s="49"/>
      <c r="AP434" s="49" t="s">
        <v>247</v>
      </c>
      <c r="AQ434" s="84" t="s">
        <v>155</v>
      </c>
      <c r="AR434" s="74">
        <v>45399</v>
      </c>
      <c r="AS434" s="55">
        <v>-0.01</v>
      </c>
      <c r="AT434" s="55">
        <f>IF(ISBLANK(AS434),,IF(U434="S",AD434-AS434,AS434-AD434))</f>
        <v>-0.01</v>
      </c>
      <c r="AU434" s="54">
        <f>AV434*R434</f>
        <v>0</v>
      </c>
      <c r="AV434" s="56">
        <f t="shared" ref="AV434:AV437" si="189">IF(ISBLANK(AS434),,(AT434*Z434))</f>
        <v>0</v>
      </c>
      <c r="AW434" s="57" t="s">
        <v>155</v>
      </c>
      <c r="AX434" s="153"/>
      <c r="AY434" s="153"/>
      <c r="AZ434" s="153"/>
      <c r="BA434" s="153"/>
      <c r="BB434" s="153"/>
      <c r="BC434" s="153"/>
      <c r="BD434" s="151"/>
      <c r="BE434" s="152"/>
      <c r="BF434" s="151"/>
      <c r="BG434" s="94">
        <f>SUM($AV$4:AV434)</f>
        <v>3437.608692676491</v>
      </c>
      <c r="BH434" s="95">
        <f>SUM($AU$4:AU434)</f>
        <v>32556.380000000208</v>
      </c>
      <c r="BI434" s="80">
        <f>SUMIFS($AU$3:AU435,$Q$3:Q435,"F")</f>
        <v>23268.400000000001</v>
      </c>
      <c r="BJ434" s="80">
        <f>SUMIFS($AU$3:AU435,$Q$3:Q435,"S")</f>
        <v>5775.9999999999945</v>
      </c>
      <c r="BK434" s="87">
        <f>SUMIFS($AU$3:AU435,$P$3:P435,"W")</f>
        <v>23213.58000000014</v>
      </c>
      <c r="BL434" s="87">
        <f>SUMIFS($AU$3:AU435,$P$3:P435,"R")</f>
        <v>7677.9999999998608</v>
      </c>
      <c r="BM434" s="87">
        <f>SUMIFS($AU$3:AU435,$AQ$3:AQ435,"M")</f>
        <v>6408.7799999999179</v>
      </c>
      <c r="BN434" s="87">
        <f>SUMIFS($AU$3:AU435,$AQ$3:AQ435,"H")</f>
        <v>5159.2000000002827</v>
      </c>
      <c r="BO434" s="87">
        <f>SUMIFS($AU$3:AU435,$AQ$3:AQ435,"D")</f>
        <v>9590</v>
      </c>
      <c r="BP434" s="87">
        <f>SUMIFS($AU$3:AU522,$AQ$3:AQ522,"W")</f>
        <v>13472.599999999982</v>
      </c>
      <c r="BQ434" s="87">
        <f>SUMIFS($AU$3:AU435,$Q$3:Q435,"O")</f>
        <v>2087.9800000002169</v>
      </c>
      <c r="BR434" s="87">
        <f>SUMIFS($AU$3:AU435,$AA$3:AA435,"*")</f>
        <v>24597.200000000095</v>
      </c>
      <c r="BS434" s="87">
        <f>SUMIFS($AU$3:AU435,$AB$3:AB435,"*")</f>
        <v>8775.1799999999312</v>
      </c>
      <c r="BT434" s="87">
        <f>SUMIFS($AU$3:AU435,$AC$3:AC435,"*")</f>
        <v>18868.400000000001</v>
      </c>
      <c r="BU434" s="87">
        <f>SUMIFS($AU$3:AU435,$AA$3:AA435,"*",$AB$3:AB435,"*")</f>
        <v>5759.9999999998217</v>
      </c>
      <c r="BV434" s="87">
        <f>SUMIFS($AU$3:AU435,$AA$3:AA435,"*",$AC$3:AC435,"*")</f>
        <v>13444.4</v>
      </c>
      <c r="BW434" s="87">
        <f>SUMIFS($AU$3:AU435,$AB$3:AB435,"*",$AC$3:AC435,"*")</f>
        <v>3759.9999999999982</v>
      </c>
      <c r="BX434" s="87">
        <f>SUMIFS($AV$3:AV435,$Q$3:Q435,"F")</f>
        <v>428.19230875404793</v>
      </c>
      <c r="BY434" s="87">
        <f>SUMIFS($AV$3:AV435,$Q$3:Q435,"S")</f>
        <v>353.77638392253402</v>
      </c>
      <c r="BZ434" s="87">
        <f>SUMIFS($AV$3:AV435,$Q$3:Q435,"O")</f>
        <v>707.63999999990438</v>
      </c>
    </row>
    <row r="435" spans="1:78" ht="15.75" customHeight="1">
      <c r="A435" s="45" t="s">
        <v>1310</v>
      </c>
      <c r="B435" s="59">
        <v>45397</v>
      </c>
      <c r="C435" s="46" t="s">
        <v>1579</v>
      </c>
      <c r="D435" s="46" t="s">
        <v>176</v>
      </c>
      <c r="E435" s="66"/>
      <c r="F435" s="47"/>
      <c r="G435" s="48" t="s">
        <v>269</v>
      </c>
      <c r="H435" s="49"/>
      <c r="I435" s="49"/>
      <c r="J435" s="49"/>
      <c r="K435" s="50"/>
      <c r="L435" s="49">
        <v>1</v>
      </c>
      <c r="M435" s="49"/>
      <c r="N435" s="49"/>
      <c r="O435" s="50" t="s">
        <v>100</v>
      </c>
      <c r="P435" s="50" t="s">
        <v>126</v>
      </c>
      <c r="Q435" s="50" t="s">
        <v>102</v>
      </c>
      <c r="R435" s="50">
        <v>90</v>
      </c>
      <c r="S435" s="161">
        <v>15</v>
      </c>
      <c r="T435" s="50">
        <v>90</v>
      </c>
      <c r="U435" s="50" t="s">
        <v>102</v>
      </c>
      <c r="V435" s="50"/>
      <c r="W435" s="50"/>
      <c r="X435" s="50"/>
      <c r="Y435" s="51">
        <f>IF(ISBLANK(O435),"",(IF(O435=UPPER("IB"),0.005,0.01)))</f>
        <v>0.01</v>
      </c>
      <c r="Z435" s="52">
        <f>IF(ISBLANK(O435),"",IF(O435="IB",8.63*200,IF(O435="IR",16*100,IF(O435="YT",20*100,IF(O435="YT-XT",24*200,IF(O435="TED",80*100,IF(O435="XT",29*200)))))))</f>
        <v>1600</v>
      </c>
      <c r="AA435" s="52" t="s">
        <v>177</v>
      </c>
      <c r="AB435" s="52"/>
      <c r="AC435" s="52"/>
      <c r="AD435" s="231">
        <v>-0.01</v>
      </c>
      <c r="AE435" s="49"/>
      <c r="AF435" s="84"/>
      <c r="AG435" s="49"/>
      <c r="AH435" s="49"/>
      <c r="AI435" s="49"/>
      <c r="AJ435" s="226"/>
      <c r="AK435" s="49"/>
      <c r="AL435" s="113">
        <f t="shared" si="144"/>
        <v>-32</v>
      </c>
      <c r="AM435" s="113">
        <f t="shared" si="176"/>
        <v>-2400</v>
      </c>
      <c r="AN435" s="218"/>
      <c r="AO435" s="49"/>
      <c r="AP435" s="49"/>
      <c r="AQ435" s="84" t="str">
        <f>UPPER(RIGHT(Journal_Live[[#This Row],[DURATION ]]))</f>
        <v/>
      </c>
      <c r="AR435" s="49"/>
      <c r="AS435" s="55">
        <f>((-0.01*15)+(-0.01*75))/90</f>
        <v>-0.01</v>
      </c>
      <c r="AT435" s="55">
        <f>IF(ISBLANK(AS435),,IF(U435="S",AD435-AS435,AS435-AD435))</f>
        <v>0</v>
      </c>
      <c r="AU435" s="54">
        <f>AV435*R435</f>
        <v>0</v>
      </c>
      <c r="AV435" s="56">
        <f t="shared" si="189"/>
        <v>0</v>
      </c>
      <c r="AW435" s="57"/>
      <c r="AX435" s="153"/>
      <c r="AY435" s="153"/>
      <c r="AZ435" s="153"/>
      <c r="BA435" s="153"/>
      <c r="BB435" s="153"/>
      <c r="BC435" s="153"/>
      <c r="BD435" s="151"/>
      <c r="BE435" s="152"/>
      <c r="BF435" s="151"/>
      <c r="BG435" s="94">
        <f>SUM($AV$4:AV435)</f>
        <v>3437.608692676491</v>
      </c>
      <c r="BH435" s="95">
        <f>SUM($AU$4:AU435)</f>
        <v>32556.380000000208</v>
      </c>
      <c r="BI435" s="80">
        <f>SUMIFS($AU$3:AU436,$Q$3:Q436,"F")</f>
        <v>22948.400000000001</v>
      </c>
      <c r="BJ435" s="80">
        <f>SUMIFS($AU$3:AU436,$Q$3:Q436,"S")</f>
        <v>5775.9999999999945</v>
      </c>
      <c r="BK435" s="87">
        <f>SUMIFS($AU$3:AU436,$P$3:P436,"W")</f>
        <v>22893.58000000014</v>
      </c>
      <c r="BL435" s="87">
        <f>SUMIFS($AU$3:AU436,$P$3:P436,"R")</f>
        <v>7677.9999999998608</v>
      </c>
      <c r="BM435" s="87">
        <f>SUMIFS($AU$3:AU436,$AQ$3:AQ436,"M")</f>
        <v>6408.7799999999179</v>
      </c>
      <c r="BN435" s="87">
        <f>SUMIFS($AU$3:AU436,$AQ$3:AQ436,"H")</f>
        <v>5159.2000000002827</v>
      </c>
      <c r="BO435" s="87">
        <f>SUMIFS($AU$3:AU436,$AQ$3:AQ436,"D")</f>
        <v>9270</v>
      </c>
      <c r="BP435" s="87">
        <f>SUMIFS($AU$3:AU523,$AQ$3:AQ523,"W")</f>
        <v>13472.599999999982</v>
      </c>
      <c r="BQ435" s="87">
        <f>SUMIFS($AU$3:AU436,$Q$3:Q436,"O")</f>
        <v>2087.9800000002169</v>
      </c>
      <c r="BR435" s="87">
        <f>SUMIFS($AU$3:AU436,$AA$3:AA436,"*")</f>
        <v>24277.200000000095</v>
      </c>
      <c r="BS435" s="87">
        <f>SUMIFS($AU$3:AU436,$AB$3:AB436,"*")</f>
        <v>8775.1799999999312</v>
      </c>
      <c r="BT435" s="87">
        <f>SUMIFS($AU$3:AU436,$AC$3:AC436,"*")</f>
        <v>18548.400000000001</v>
      </c>
      <c r="BU435" s="87">
        <f>SUMIFS($AU$3:AU436,$AA$3:AA436,"*",$AB$3:AB436,"*")</f>
        <v>5759.9999999998217</v>
      </c>
      <c r="BV435" s="87">
        <f>SUMIFS($AU$3:AU436,$AA$3:AA436,"*",$AC$3:AC436,"*")</f>
        <v>13124.400000000001</v>
      </c>
      <c r="BW435" s="87">
        <f>SUMIFS($AU$3:AU436,$AB$3:AB436,"*",$AC$3:AC436,"*")</f>
        <v>3759.9999999999982</v>
      </c>
      <c r="BX435" s="87">
        <f>SUMIFS($AV$3:AV436,$Q$3:Q436,"F")</f>
        <v>424.63675319849239</v>
      </c>
      <c r="BY435" s="87">
        <f>SUMIFS($AV$3:AV436,$Q$3:Q436,"S")</f>
        <v>353.77638392253402</v>
      </c>
      <c r="BZ435" s="87">
        <f>SUMIFS($AV$3:AV436,$Q$3:Q436,"O")</f>
        <v>707.63999999990438</v>
      </c>
    </row>
    <row r="436" spans="1:78" ht="15.75" customHeight="1">
      <c r="A436" s="45" t="s">
        <v>1310</v>
      </c>
      <c r="B436" s="59">
        <v>45398</v>
      </c>
      <c r="C436" s="46" t="s">
        <v>1581</v>
      </c>
      <c r="D436" s="46" t="s">
        <v>98</v>
      </c>
      <c r="E436" s="66"/>
      <c r="F436" s="47"/>
      <c r="G436" s="106" t="s">
        <v>1582</v>
      </c>
      <c r="H436" s="49"/>
      <c r="I436" s="49"/>
      <c r="J436" s="49"/>
      <c r="K436" s="50"/>
      <c r="L436" s="49">
        <v>1</v>
      </c>
      <c r="M436" s="49"/>
      <c r="N436" s="49"/>
      <c r="O436" s="50" t="s">
        <v>100</v>
      </c>
      <c r="P436" s="50" t="s">
        <v>101</v>
      </c>
      <c r="Q436" s="50" t="s">
        <v>127</v>
      </c>
      <c r="R436" s="50">
        <v>90</v>
      </c>
      <c r="S436" s="161">
        <v>40</v>
      </c>
      <c r="T436" s="50">
        <v>30</v>
      </c>
      <c r="U436" s="50" t="s">
        <v>102</v>
      </c>
      <c r="V436" s="50"/>
      <c r="W436" s="50"/>
      <c r="X436" s="50"/>
      <c r="Y436" s="51">
        <f>IF(ISBLANK(O436),"",(IF(O436=UPPER("IB"),0.005,0.01)))</f>
        <v>0.01</v>
      </c>
      <c r="Z436" s="52">
        <f>IF(ISBLANK(O436),"",IF(O436="IB",8.63*200,IF(O436="IR",16*100,IF(O436="YT",20*100,IF(O436="YT-XT",24*200,IF(O436="TED",80*100,IF(O436="XT",29*200)))))))</f>
        <v>1600</v>
      </c>
      <c r="AA436" s="52" t="s">
        <v>1552</v>
      </c>
      <c r="AB436" s="52"/>
      <c r="AC436" s="52" t="s">
        <v>1583</v>
      </c>
      <c r="AD436" s="231">
        <f>(0.05*30+0.04*60)/90</f>
        <v>4.3333333333333335E-2</v>
      </c>
      <c r="AE436" s="49"/>
      <c r="AF436" s="84"/>
      <c r="AG436" s="49"/>
      <c r="AH436" s="49"/>
      <c r="AI436" s="49"/>
      <c r="AJ436" s="226"/>
      <c r="AK436" s="49"/>
      <c r="AL436" s="113">
        <f t="shared" ref="AL436:AL442" si="190">-0.02*Z436</f>
        <v>-32</v>
      </c>
      <c r="AM436" s="113">
        <f t="shared" si="176"/>
        <v>-1600</v>
      </c>
      <c r="AN436" s="218"/>
      <c r="AO436" s="49"/>
      <c r="AP436" s="49" t="s">
        <v>183</v>
      </c>
      <c r="AQ436" s="84" t="s">
        <v>155</v>
      </c>
      <c r="AR436" s="74" t="s">
        <v>1584</v>
      </c>
      <c r="AS436" s="55">
        <f>(0.04*40+0.05*50)/90</f>
        <v>4.5555555555555551E-2</v>
      </c>
      <c r="AT436" s="55">
        <f>IF(ISBLANK(AS436),,IF(U436="S",AD436-AS436,AS436-AD436))</f>
        <v>-2.2222222222222157E-3</v>
      </c>
      <c r="AU436" s="54">
        <f>AV436*R436</f>
        <v>-319.99999999999909</v>
      </c>
      <c r="AV436" s="56">
        <f t="shared" si="189"/>
        <v>-3.5555555555555451</v>
      </c>
      <c r="AW436" s="57" t="s">
        <v>121</v>
      </c>
      <c r="AX436" s="153" t="s">
        <v>1585</v>
      </c>
      <c r="AY436" s="153" t="s">
        <v>1586</v>
      </c>
      <c r="AZ436" s="153" t="s">
        <v>1587</v>
      </c>
      <c r="BA436" s="153" t="s">
        <v>1588</v>
      </c>
      <c r="BB436" s="153" t="s">
        <v>1589</v>
      </c>
      <c r="BC436" s="153"/>
      <c r="BD436" s="151"/>
      <c r="BE436" s="152"/>
      <c r="BF436" s="151"/>
      <c r="BG436" s="94">
        <f>SUM($AV$4:AV436)</f>
        <v>3434.0531371209354</v>
      </c>
      <c r="BH436" s="95">
        <f>SUM($AU$4:AU436)</f>
        <v>32236.380000000208</v>
      </c>
      <c r="BI436" s="80">
        <f>SUMIFS($AU$3:AU437,$Q$3:Q437,"F")</f>
        <v>22948.400000000001</v>
      </c>
      <c r="BJ436" s="80">
        <f>SUMIFS($AU$3:AU437,$Q$3:Q437,"S")</f>
        <v>5775.9999999999945</v>
      </c>
      <c r="BK436" s="87">
        <f>SUMIFS($AU$3:AU437,$P$3:P437,"W")</f>
        <v>22893.58000000014</v>
      </c>
      <c r="BL436" s="87">
        <f>SUMIFS($AU$3:AU437,$P$3:P437,"R")</f>
        <v>7677.9999999998608</v>
      </c>
      <c r="BM436" s="87">
        <f>SUMIFS($AU$3:AU437,$AQ$3:AQ437,"M")</f>
        <v>6379.7799999998615</v>
      </c>
      <c r="BN436" s="87">
        <f>SUMIFS($AU$3:AU437,$AQ$3:AQ437,"H")</f>
        <v>5159.2000000002827</v>
      </c>
      <c r="BO436" s="87">
        <f>SUMIFS($AU$3:AU437,$AQ$3:AQ437,"D")</f>
        <v>9270</v>
      </c>
      <c r="BP436" s="87">
        <f>SUMIFS($AU$3:AU524,$AQ$3:AQ524,"W")</f>
        <v>13472.599999999982</v>
      </c>
      <c r="BQ436" s="87">
        <f>SUMIFS($AU$3:AU437,$Q$3:Q437,"O")</f>
        <v>2058.980000000161</v>
      </c>
      <c r="BR436" s="87">
        <f>SUMIFS($AU$3:AU437,$AA$3:AA437,"*")</f>
        <v>24248.200000000041</v>
      </c>
      <c r="BS436" s="87">
        <f>SUMIFS($AU$3:AU437,$AB$3:AB437,"*")</f>
        <v>8775.1799999999312</v>
      </c>
      <c r="BT436" s="87">
        <f>SUMIFS($AU$3:AU437,$AC$3:AC437,"*")</f>
        <v>18548.400000000001</v>
      </c>
      <c r="BU436" s="87">
        <f>SUMIFS($AU$3:AU437,$AA$3:AA437,"*",$AB$3:AB437,"*")</f>
        <v>5759.9999999998217</v>
      </c>
      <c r="BV436" s="87">
        <f>SUMIFS($AU$3:AU437,$AA$3:AA437,"*",$AC$3:AC437,"*")</f>
        <v>13124.400000000001</v>
      </c>
      <c r="BW436" s="87">
        <f>SUMIFS($AU$3:AU437,$AB$3:AB437,"*",$AC$3:AC437,"*")</f>
        <v>3759.9999999999982</v>
      </c>
      <c r="BX436" s="87">
        <f>SUMIFS($AV$3:AV437,$Q$3:Q437,"F")</f>
        <v>424.63675319849239</v>
      </c>
      <c r="BY436" s="87">
        <f>SUMIFS($AV$3:AV437,$Q$3:Q437,"S")</f>
        <v>353.77638392253402</v>
      </c>
      <c r="BZ436" s="87">
        <f>SUMIFS($AV$3:AV437,$Q$3:Q437,"O")</f>
        <v>678.63999999984833</v>
      </c>
    </row>
    <row r="437" spans="1:78" ht="15.75" customHeight="1">
      <c r="A437" s="45" t="s">
        <v>1310</v>
      </c>
      <c r="B437" s="59">
        <v>45398</v>
      </c>
      <c r="C437" s="46" t="s">
        <v>1530</v>
      </c>
      <c r="D437" s="46" t="s">
        <v>98</v>
      </c>
      <c r="E437" s="66"/>
      <c r="F437" s="47"/>
      <c r="G437" s="48" t="s">
        <v>1169</v>
      </c>
      <c r="H437" s="49"/>
      <c r="I437" s="49"/>
      <c r="J437" s="49">
        <v>1</v>
      </c>
      <c r="K437" s="50"/>
      <c r="L437" s="49">
        <v>3</v>
      </c>
      <c r="M437" s="49"/>
      <c r="N437" s="49"/>
      <c r="O437" s="50" t="s">
        <v>196</v>
      </c>
      <c r="P437" s="50" t="s">
        <v>197</v>
      </c>
      <c r="Q437" s="50" t="s">
        <v>198</v>
      </c>
      <c r="R437" s="50">
        <v>1</v>
      </c>
      <c r="S437" s="50">
        <v>0</v>
      </c>
      <c r="T437" s="50">
        <v>1</v>
      </c>
      <c r="U437" s="50" t="s">
        <v>22</v>
      </c>
      <c r="V437" s="50"/>
      <c r="W437" s="50"/>
      <c r="X437" s="50"/>
      <c r="Y437" s="51">
        <f>IF(ISBLANK(O437),"",(IF(O437=UPPER("IB"),0.005,0.01)))</f>
        <v>0.01</v>
      </c>
      <c r="Z437" s="52">
        <f>IF(ISBLANK(O437),"",IF(O437="IB",8.63*200,IF(O437="IR",16*100,IF(O437="YT",20*100,IF(O437="YT-XT",24*200,IF(O437="TED",80*100,IF(O437="XT",29*200)))))))</f>
        <v>5800</v>
      </c>
      <c r="AA437" s="52" t="s">
        <v>1590</v>
      </c>
      <c r="AB437" s="52"/>
      <c r="AC437" s="52"/>
      <c r="AD437" s="231">
        <v>95.665000000000006</v>
      </c>
      <c r="AE437" s="49"/>
      <c r="AF437" s="84"/>
      <c r="AG437" s="49"/>
      <c r="AH437" s="49"/>
      <c r="AI437" s="49"/>
      <c r="AJ437" s="226"/>
      <c r="AK437" s="49"/>
      <c r="AL437" s="113">
        <f t="shared" si="190"/>
        <v>-116</v>
      </c>
      <c r="AM437" s="113">
        <f t="shared" si="176"/>
        <v>-116</v>
      </c>
      <c r="AN437" s="218"/>
      <c r="AO437" s="49"/>
      <c r="AP437" s="49" t="s">
        <v>218</v>
      </c>
      <c r="AQ437" s="84" t="s">
        <v>350</v>
      </c>
      <c r="AR437" s="49"/>
      <c r="AS437" s="55">
        <v>95.66</v>
      </c>
      <c r="AT437" s="55">
        <f>IF(ISBLANK(AS437),,IF(U437="S",AD437-AS437,AS437-AD437))</f>
        <v>-5.0000000000096634E-3</v>
      </c>
      <c r="AU437" s="54">
        <f>AV437*R437</f>
        <v>-29.000000000056048</v>
      </c>
      <c r="AV437" s="56">
        <f t="shared" si="189"/>
        <v>-29.000000000056048</v>
      </c>
      <c r="AW437" s="57" t="s">
        <v>121</v>
      </c>
      <c r="AX437" s="153" t="s">
        <v>1591</v>
      </c>
      <c r="AY437" s="153" t="s">
        <v>1592</v>
      </c>
      <c r="AZ437" s="153"/>
      <c r="BA437" s="153"/>
      <c r="BB437" s="153"/>
      <c r="BC437" s="153"/>
      <c r="BD437" s="151"/>
      <c r="BE437" s="152"/>
      <c r="BF437" s="151"/>
      <c r="BG437" s="94">
        <f>SUM($AV$4:AV437)</f>
        <v>3405.0531371208795</v>
      </c>
      <c r="BH437" s="95">
        <f>SUM($AU$4:AU437)</f>
        <v>32207.380000000154</v>
      </c>
      <c r="BI437" s="80">
        <f>SUMIFS($AU$3:AU438,$Q$3:Q438,"F")</f>
        <v>22948.400000000001</v>
      </c>
      <c r="BJ437" s="80">
        <f>SUMIFS($AU$3:AU438,$Q$3:Q438,"S")</f>
        <v>5775.9999999999945</v>
      </c>
      <c r="BK437" s="87">
        <f>SUMIFS($AU$3:AU438,$P$3:P438,"W")</f>
        <v>22893.58000000014</v>
      </c>
      <c r="BL437" s="87">
        <f>SUMIFS($AU$3:AU438,$P$3:P438,"R")</f>
        <v>7677.9999999998608</v>
      </c>
      <c r="BM437" s="87">
        <f>SUMIFS($AU$3:AU438,$AQ$3:AQ438,"M")</f>
        <v>6379.7799999998615</v>
      </c>
      <c r="BN437" s="87">
        <f>SUMIFS($AU$3:AU438,$AQ$3:AQ438,"H")</f>
        <v>5159.2000000002827</v>
      </c>
      <c r="BO437" s="87">
        <f>SUMIFS($AU$3:AU438,$AQ$3:AQ438,"D")</f>
        <v>9270</v>
      </c>
      <c r="BP437" s="87">
        <f>SUMIFS($AU$3:AU525,$AQ$3:AQ525,"W")</f>
        <v>13472.599999999982</v>
      </c>
      <c r="BQ437" s="87">
        <f>SUMIFS($AU$3:AU438,$Q$3:Q438,"O")</f>
        <v>2058.980000000161</v>
      </c>
      <c r="BR437" s="87">
        <f>SUMIFS($AU$3:AU438,$AA$3:AA438,"*")</f>
        <v>24248.200000000041</v>
      </c>
      <c r="BS437" s="87">
        <f>SUMIFS($AU$3:AU438,$AB$3:AB438,"*")</f>
        <v>8775.1799999999312</v>
      </c>
      <c r="BT437" s="87">
        <f>SUMIFS($AU$3:AU438,$AC$3:AC438,"*")</f>
        <v>18548.400000000001</v>
      </c>
      <c r="BU437" s="87">
        <f>SUMIFS($AU$3:AU438,$AA$3:AA438,"*",$AB$3:AB438,"*")</f>
        <v>5759.9999999998217</v>
      </c>
      <c r="BV437" s="87">
        <f>SUMIFS($AU$3:AU438,$AA$3:AA438,"*",$AC$3:AC438,"*")</f>
        <v>13124.400000000001</v>
      </c>
      <c r="BW437" s="87">
        <f>SUMIFS($AU$3:AU438,$AB$3:AB438,"*",$AC$3:AC438,"*")</f>
        <v>3759.9999999999982</v>
      </c>
      <c r="BX437" s="87">
        <f>SUMIFS($AV$3:AV438,$Q$3:Q438,"F")</f>
        <v>424.63675319849239</v>
      </c>
      <c r="BY437" s="87">
        <f>SUMIFS($AV$3:AV438,$Q$3:Q438,"S")</f>
        <v>353.77638392253402</v>
      </c>
      <c r="BZ437" s="87">
        <f>SUMIFS($AV$3:AV438,$Q$3:Q438,"O")</f>
        <v>678.63999999984833</v>
      </c>
    </row>
    <row r="438" spans="1:78" ht="15.75" customHeight="1">
      <c r="A438" s="45" t="s">
        <v>1310</v>
      </c>
      <c r="B438" s="59">
        <v>45398</v>
      </c>
      <c r="C438" s="46" t="s">
        <v>1593</v>
      </c>
      <c r="D438" s="46" t="s">
        <v>98</v>
      </c>
      <c r="E438" s="66" t="s">
        <v>1594</v>
      </c>
      <c r="F438" s="47"/>
      <c r="G438" s="48"/>
      <c r="H438" s="49"/>
      <c r="I438" s="49"/>
      <c r="J438" s="49"/>
      <c r="K438" s="50"/>
      <c r="L438" s="49"/>
      <c r="M438" s="49"/>
      <c r="N438" s="49"/>
      <c r="O438" s="50"/>
      <c r="P438" s="50"/>
      <c r="Q438" s="50"/>
      <c r="R438" s="50"/>
      <c r="S438" s="50"/>
      <c r="T438" s="50"/>
      <c r="U438" s="50"/>
      <c r="V438" s="50"/>
      <c r="W438" s="50"/>
      <c r="X438" s="50"/>
      <c r="Y438" s="50"/>
      <c r="Z438" s="50"/>
      <c r="AA438" s="52"/>
      <c r="AB438" s="52"/>
      <c r="AC438" s="52"/>
      <c r="AD438" s="231"/>
      <c r="AE438" s="49"/>
      <c r="AF438" s="84"/>
      <c r="AG438" s="49"/>
      <c r="AH438" s="49"/>
      <c r="AI438" s="49"/>
      <c r="AJ438" s="226"/>
      <c r="AK438" s="49"/>
      <c r="AL438" s="113">
        <f t="shared" ref="AL438:AL441" si="191">-0.02*Z438</f>
        <v>0</v>
      </c>
      <c r="AM438" s="113">
        <f t="shared" si="176"/>
        <v>0</v>
      </c>
      <c r="AN438" s="218"/>
      <c r="AO438" s="49"/>
      <c r="AP438" s="49"/>
      <c r="AQ438" s="84" t="str">
        <f>UPPER(RIGHT(Journal_Live[[#This Row],[DURATION ]]))</f>
        <v/>
      </c>
      <c r="AR438" s="49"/>
      <c r="AS438" s="55"/>
      <c r="AT438" s="55"/>
      <c r="AU438" s="54"/>
      <c r="AV438" s="56"/>
      <c r="AW438" s="57"/>
      <c r="AX438" s="153"/>
      <c r="AY438" s="153"/>
      <c r="AZ438" s="153"/>
      <c r="BA438" s="153"/>
      <c r="BB438" s="153"/>
      <c r="BC438" s="153"/>
      <c r="BD438" s="151"/>
      <c r="BE438" s="152"/>
      <c r="BF438" s="151"/>
      <c r="BG438" s="94">
        <f>SUM($AV$4:AV438)</f>
        <v>3405.0531371208795</v>
      </c>
      <c r="BH438" s="95">
        <f>SUM($AU$4:AU438)</f>
        <v>32207.380000000154</v>
      </c>
      <c r="BI438" s="80">
        <f>SUMIFS($AU$3:AU439,$Q$3:Q439,"F")</f>
        <v>22948.400000000001</v>
      </c>
      <c r="BJ438" s="80">
        <f>SUMIFS($AU$3:AU439,$Q$3:Q439,"S")</f>
        <v>5775.9999999999945</v>
      </c>
      <c r="BK438" s="87">
        <f>SUMIFS($AU$3:AU439,$P$3:P439,"W")</f>
        <v>22893.58000000014</v>
      </c>
      <c r="BL438" s="87">
        <f>SUMIFS($AU$3:AU439,$P$3:P439,"R")</f>
        <v>7677.9999999998608</v>
      </c>
      <c r="BM438" s="87">
        <f>SUMIFS($AU$3:AU439,$AQ$3:AQ439,"M")</f>
        <v>6379.7799999998615</v>
      </c>
      <c r="BN438" s="87">
        <f>SUMIFS($AU$3:AU439,$AQ$3:AQ439,"H")</f>
        <v>5159.2000000002827</v>
      </c>
      <c r="BO438" s="87">
        <f>SUMIFS($AU$3:AU439,$AQ$3:AQ439,"D")</f>
        <v>9270</v>
      </c>
      <c r="BP438" s="87">
        <f>SUMIFS($AU$3:AU526,$AQ$3:AQ526,"W")</f>
        <v>13472.599999999982</v>
      </c>
      <c r="BQ438" s="87">
        <f>SUMIFS($AU$3:AU439,$Q$3:Q439,"O")</f>
        <v>2058.980000000161</v>
      </c>
      <c r="BR438" s="87">
        <f>SUMIFS($AU$3:AU439,$AA$3:AA439,"*")</f>
        <v>24248.200000000041</v>
      </c>
      <c r="BS438" s="87">
        <f>SUMIFS($AU$3:AU439,$AB$3:AB439,"*")</f>
        <v>8775.1799999999312</v>
      </c>
      <c r="BT438" s="87">
        <f>SUMIFS($AU$3:AU439,$AC$3:AC439,"*")</f>
        <v>18548.400000000001</v>
      </c>
      <c r="BU438" s="87">
        <f>SUMIFS($AU$3:AU439,$AA$3:AA439,"*",$AB$3:AB439,"*")</f>
        <v>5759.9999999998217</v>
      </c>
      <c r="BV438" s="87">
        <f>SUMIFS($AU$3:AU439,$AA$3:AA439,"*",$AC$3:AC439,"*")</f>
        <v>13124.400000000001</v>
      </c>
      <c r="BW438" s="87">
        <f>SUMIFS($AU$3:AU439,$AB$3:AB439,"*",$AC$3:AC439,"*")</f>
        <v>3759.9999999999982</v>
      </c>
      <c r="BX438" s="87">
        <f>SUMIFS($AV$3:AV439,$Q$3:Q439,"F")</f>
        <v>424.63675319849239</v>
      </c>
      <c r="BY438" s="87">
        <f>SUMIFS($AV$3:AV439,$Q$3:Q439,"S")</f>
        <v>353.77638392253402</v>
      </c>
      <c r="BZ438" s="87">
        <f>SUMIFS($AV$3:AV439,$Q$3:Q439,"O")</f>
        <v>678.63999999984833</v>
      </c>
    </row>
    <row r="439" spans="1:78" ht="15.75" customHeight="1">
      <c r="A439" s="45" t="s">
        <v>1310</v>
      </c>
      <c r="B439" s="59">
        <v>45398</v>
      </c>
      <c r="C439" s="46" t="s">
        <v>1595</v>
      </c>
      <c r="D439" s="46" t="s">
        <v>98</v>
      </c>
      <c r="E439" s="66"/>
      <c r="F439" s="47"/>
      <c r="G439" s="48" t="s">
        <v>227</v>
      </c>
      <c r="H439" s="49"/>
      <c r="I439" s="49"/>
      <c r="J439" s="49"/>
      <c r="K439" s="50"/>
      <c r="L439" s="49"/>
      <c r="M439" s="49"/>
      <c r="N439" s="49"/>
      <c r="O439" s="50"/>
      <c r="P439" s="50"/>
      <c r="Q439" s="50"/>
      <c r="R439" s="50"/>
      <c r="S439" s="161"/>
      <c r="T439" s="50"/>
      <c r="U439" s="50"/>
      <c r="V439" s="50"/>
      <c r="W439" s="50"/>
      <c r="X439" s="50"/>
      <c r="Y439" s="51"/>
      <c r="Z439" s="52"/>
      <c r="AA439" s="52"/>
      <c r="AB439" s="52"/>
      <c r="AC439" s="52"/>
      <c r="AD439" s="231"/>
      <c r="AE439" s="49"/>
      <c r="AF439" s="84"/>
      <c r="AG439" s="49"/>
      <c r="AH439" s="49"/>
      <c r="AI439" s="49"/>
      <c r="AJ439" s="226"/>
      <c r="AK439" s="49"/>
      <c r="AL439" s="113">
        <f t="shared" si="191"/>
        <v>0</v>
      </c>
      <c r="AM439" s="113">
        <f t="shared" si="176"/>
        <v>0</v>
      </c>
      <c r="AN439" s="218"/>
      <c r="AO439" s="49"/>
      <c r="AP439" s="49"/>
      <c r="AQ439" s="84" t="str">
        <f>UPPER(RIGHT(Journal_Live[[#This Row],[DURATION ]]))</f>
        <v/>
      </c>
      <c r="AR439" s="49"/>
      <c r="AS439" s="55"/>
      <c r="AT439" s="55"/>
      <c r="AU439" s="54"/>
      <c r="AV439" s="56"/>
      <c r="AW439" s="57"/>
      <c r="AX439" s="153" t="s">
        <v>1596</v>
      </c>
      <c r="AY439" s="153"/>
      <c r="AZ439" s="153"/>
      <c r="BA439" s="153"/>
      <c r="BB439" s="153"/>
      <c r="BC439" s="153"/>
      <c r="BD439" s="151"/>
      <c r="BE439" s="152"/>
      <c r="BF439" s="151"/>
      <c r="BG439" s="94">
        <f>SUM($AV$4:AV439)</f>
        <v>3405.0531371208795</v>
      </c>
      <c r="BH439" s="95">
        <f>SUM($AU$4:AU439)</f>
        <v>32207.380000000154</v>
      </c>
      <c r="BI439" s="80">
        <f>SUMIFS($AU$3:AU440,$Q$3:Q440,"F")</f>
        <v>22948.400000000001</v>
      </c>
      <c r="BJ439" s="80">
        <f>SUMIFS($AU$3:AU440,$Q$3:Q440,"S")</f>
        <v>5775.9999999999945</v>
      </c>
      <c r="BK439" s="87">
        <f>SUMIFS($AU$3:AU440,$P$3:P440,"W")</f>
        <v>22893.58000000014</v>
      </c>
      <c r="BL439" s="87">
        <f>SUMIFS($AU$3:AU440,$P$3:P440,"R")</f>
        <v>7677.9999999998608</v>
      </c>
      <c r="BM439" s="87">
        <f>SUMIFS($AU$3:AU440,$AQ$3:AQ440,"M")</f>
        <v>6379.7799999998615</v>
      </c>
      <c r="BN439" s="87">
        <f>SUMIFS($AU$3:AU440,$AQ$3:AQ440,"H")</f>
        <v>5159.2000000002827</v>
      </c>
      <c r="BO439" s="87">
        <f>SUMIFS($AU$3:AU440,$AQ$3:AQ440,"D")</f>
        <v>9270</v>
      </c>
      <c r="BP439" s="87">
        <f>SUMIFS($AU$3:AU527,$AQ$3:AQ527,"W")</f>
        <v>13472.599999999982</v>
      </c>
      <c r="BQ439" s="87">
        <f>SUMIFS($AU$3:AU440,$Q$3:Q440,"O")</f>
        <v>2058.980000000161</v>
      </c>
      <c r="BR439" s="87">
        <f>SUMIFS($AU$3:AU440,$AA$3:AA440,"*")</f>
        <v>24248.200000000041</v>
      </c>
      <c r="BS439" s="87">
        <f>SUMIFS($AU$3:AU440,$AB$3:AB440,"*")</f>
        <v>8775.1799999999312</v>
      </c>
      <c r="BT439" s="87">
        <f>SUMIFS($AU$3:AU440,$AC$3:AC440,"*")</f>
        <v>18548.400000000001</v>
      </c>
      <c r="BU439" s="87">
        <f>SUMIFS($AU$3:AU440,$AA$3:AA440,"*",$AB$3:AB440,"*")</f>
        <v>5759.9999999998217</v>
      </c>
      <c r="BV439" s="87">
        <f>SUMIFS($AU$3:AU440,$AA$3:AA440,"*",$AC$3:AC440,"*")</f>
        <v>13124.400000000001</v>
      </c>
      <c r="BW439" s="87">
        <f>SUMIFS($AU$3:AU440,$AB$3:AB440,"*",$AC$3:AC440,"*")</f>
        <v>3759.9999999999982</v>
      </c>
      <c r="BX439" s="87">
        <f>SUMIFS($AV$3:AV440,$Q$3:Q440,"F")</f>
        <v>424.63675319849239</v>
      </c>
      <c r="BY439" s="87">
        <f>SUMIFS($AV$3:AV440,$Q$3:Q440,"S")</f>
        <v>353.77638392253402</v>
      </c>
      <c r="BZ439" s="87">
        <f>SUMIFS($AV$3:AV440,$Q$3:Q440,"O")</f>
        <v>678.63999999984833</v>
      </c>
    </row>
    <row r="440" spans="1:78" ht="15.75" customHeight="1">
      <c r="A440" s="45" t="s">
        <v>1310</v>
      </c>
      <c r="B440" s="59">
        <v>45398</v>
      </c>
      <c r="C440" s="46" t="s">
        <v>1593</v>
      </c>
      <c r="D440" s="46" t="s">
        <v>98</v>
      </c>
      <c r="E440" s="66"/>
      <c r="F440" s="47"/>
      <c r="G440" s="104" t="s">
        <v>111</v>
      </c>
      <c r="H440" s="49"/>
      <c r="I440" s="49"/>
      <c r="J440" s="49"/>
      <c r="K440" s="50"/>
      <c r="L440" s="49">
        <v>1</v>
      </c>
      <c r="M440" s="49"/>
      <c r="N440" s="49"/>
      <c r="O440" s="50" t="s">
        <v>100</v>
      </c>
      <c r="P440" s="50" t="s">
        <v>101</v>
      </c>
      <c r="Q440" s="50" t="s">
        <v>102</v>
      </c>
      <c r="R440" s="50">
        <v>90</v>
      </c>
      <c r="S440" s="161">
        <v>45</v>
      </c>
      <c r="T440" s="50">
        <v>90</v>
      </c>
      <c r="U440" s="50" t="s">
        <v>102</v>
      </c>
      <c r="V440" s="50"/>
      <c r="W440" s="50"/>
      <c r="X440" s="50"/>
      <c r="Y440" s="51">
        <f>IF(ISBLANK(O440),"",(IF(O440=UPPER("IB"),0.005,0.01)))</f>
        <v>0.01</v>
      </c>
      <c r="Z440" s="52">
        <f>IF(ISBLANK(O440),"",IF(O440="IB",8.63*200,IF(O440="IR",16*100,IF(O440="YT",20*100,IF(O440="YT-XT",24*200,IF(O440="TED",80*100,IF(O440="XT",29*200)))))))</f>
        <v>1600</v>
      </c>
      <c r="AA440" s="52" t="s">
        <v>1597</v>
      </c>
      <c r="AB440" s="52"/>
      <c r="AC440" s="52"/>
      <c r="AD440" s="231">
        <v>-0.02</v>
      </c>
      <c r="AE440" s="49"/>
      <c r="AF440" s="84"/>
      <c r="AG440" s="49"/>
      <c r="AH440" s="49"/>
      <c r="AI440" s="49"/>
      <c r="AJ440" s="226"/>
      <c r="AK440" s="49"/>
      <c r="AL440" s="113">
        <f t="shared" si="191"/>
        <v>-32</v>
      </c>
      <c r="AM440" s="113">
        <f t="shared" si="176"/>
        <v>-1440</v>
      </c>
      <c r="AN440" s="218"/>
      <c r="AO440" s="49"/>
      <c r="AP440" s="49" t="s">
        <v>297</v>
      </c>
      <c r="AQ440" s="84" t="s">
        <v>155</v>
      </c>
      <c r="AR440" s="74">
        <v>45399</v>
      </c>
      <c r="AS440" s="55">
        <v>-0.02</v>
      </c>
      <c r="AT440" s="55">
        <f>IF(ISBLANK(AS440),,IF(U440="S",AD440-AS440,AS440-AD440))</f>
        <v>0</v>
      </c>
      <c r="AU440" s="54">
        <f>AV440*R440</f>
        <v>0</v>
      </c>
      <c r="AV440" s="56">
        <f t="shared" ref="AV440" si="192">IF(ISBLANK(AS440),,(AT440*Z440))</f>
        <v>0</v>
      </c>
      <c r="AW440" s="57" t="s">
        <v>155</v>
      </c>
      <c r="AX440" s="153"/>
      <c r="AY440" s="153"/>
      <c r="AZ440" s="153"/>
      <c r="BA440" s="153"/>
      <c r="BB440" s="153"/>
      <c r="BC440" s="153"/>
      <c r="BD440" s="151"/>
      <c r="BE440" s="152"/>
      <c r="BF440" s="151"/>
      <c r="BG440" s="94">
        <f>SUM($AV$4:AV440)</f>
        <v>3405.0531371208795</v>
      </c>
      <c r="BH440" s="95">
        <f>SUM($AU$4:AU440)</f>
        <v>32207.380000000154</v>
      </c>
      <c r="BI440" s="80">
        <f>SUMIFS($AU$3:AU441,$Q$3:Q441,"F")</f>
        <v>22948.400000000001</v>
      </c>
      <c r="BJ440" s="80">
        <f>SUMIFS($AU$3:AU441,$Q$3:Q441,"S")</f>
        <v>5775.9999999999945</v>
      </c>
      <c r="BK440" s="87">
        <f>SUMIFS($AU$3:AU441,$P$3:P441,"W")</f>
        <v>22893.58000000014</v>
      </c>
      <c r="BL440" s="87">
        <f>SUMIFS($AU$3:AU441,$P$3:P441,"R")</f>
        <v>7677.9999999998608</v>
      </c>
      <c r="BM440" s="87">
        <f>SUMIFS($AU$3:AU441,$AQ$3:AQ441,"M")</f>
        <v>6379.7799999998615</v>
      </c>
      <c r="BN440" s="87">
        <f>SUMIFS($AU$3:AU441,$AQ$3:AQ441,"H")</f>
        <v>5159.2000000002827</v>
      </c>
      <c r="BO440" s="87">
        <f>SUMIFS($AU$3:AU441,$AQ$3:AQ441,"D")</f>
        <v>9270</v>
      </c>
      <c r="BP440" s="87">
        <f>SUMIFS($AU$3:AU528,$AQ$3:AQ528,"W")</f>
        <v>13472.599999999982</v>
      </c>
      <c r="BQ440" s="87">
        <f>SUMIFS($AU$3:AU441,$Q$3:Q441,"O")</f>
        <v>2058.980000000161</v>
      </c>
      <c r="BR440" s="87">
        <f>SUMIFS($AU$3:AU441,$AA$3:AA441,"*")</f>
        <v>24248.200000000041</v>
      </c>
      <c r="BS440" s="87">
        <f>SUMIFS($AU$3:AU441,$AB$3:AB441,"*")</f>
        <v>8775.1799999999312</v>
      </c>
      <c r="BT440" s="87">
        <f>SUMIFS($AU$3:AU441,$AC$3:AC441,"*")</f>
        <v>18548.400000000001</v>
      </c>
      <c r="BU440" s="87">
        <f>SUMIFS($AU$3:AU441,$AA$3:AA441,"*",$AB$3:AB441,"*")</f>
        <v>5759.9999999998217</v>
      </c>
      <c r="BV440" s="87">
        <f>SUMIFS($AU$3:AU441,$AA$3:AA441,"*",$AC$3:AC441,"*")</f>
        <v>13124.400000000001</v>
      </c>
      <c r="BW440" s="87">
        <f>SUMIFS($AU$3:AU441,$AB$3:AB441,"*",$AC$3:AC441,"*")</f>
        <v>3759.9999999999982</v>
      </c>
      <c r="BX440" s="87">
        <f>SUMIFS($AV$3:AV441,$Q$3:Q441,"F")</f>
        <v>424.63675319849239</v>
      </c>
      <c r="BY440" s="87">
        <f>SUMIFS($AV$3:AV441,$Q$3:Q441,"S")</f>
        <v>353.77638392253402</v>
      </c>
      <c r="BZ440" s="87">
        <f>SUMIFS($AV$3:AV441,$Q$3:Q441,"O")</f>
        <v>678.63999999984833</v>
      </c>
    </row>
    <row r="441" spans="1:78" ht="15.75" customHeight="1">
      <c r="A441" s="45" t="s">
        <v>1310</v>
      </c>
      <c r="B441" s="59">
        <v>45399</v>
      </c>
      <c r="C441" s="46" t="s">
        <v>1598</v>
      </c>
      <c r="D441" s="46" t="s">
        <v>186</v>
      </c>
      <c r="E441" s="66"/>
      <c r="F441" s="47"/>
      <c r="G441" s="104" t="s">
        <v>181</v>
      </c>
      <c r="H441" s="49"/>
      <c r="I441" s="49"/>
      <c r="J441" s="49"/>
      <c r="K441" s="50"/>
      <c r="L441" s="49">
        <v>1</v>
      </c>
      <c r="M441" s="49"/>
      <c r="N441" s="49"/>
      <c r="O441" s="50" t="s">
        <v>100</v>
      </c>
      <c r="P441" s="50" t="s">
        <v>101</v>
      </c>
      <c r="Q441" s="50" t="s">
        <v>102</v>
      </c>
      <c r="R441" s="50">
        <v>2</v>
      </c>
      <c r="S441" s="161">
        <v>0</v>
      </c>
      <c r="T441" s="50">
        <v>2</v>
      </c>
      <c r="U441" s="50" t="s">
        <v>102</v>
      </c>
      <c r="V441" s="50"/>
      <c r="W441" s="50"/>
      <c r="X441" s="50"/>
      <c r="Y441" s="51">
        <f>IF(ISBLANK(O441),"",(IF(O441=UPPER("IB"),0.005,0.01)))</f>
        <v>0.01</v>
      </c>
      <c r="Z441" s="52">
        <f>IF(ISBLANK(O441),"",IF(O441="IB",8.63*200,IF(O441="IR",16*100,IF(O441="YT",20*100,IF(O441="YT-XT",24*200,IF(O441="TED",80*100,IF(O441="XT",29*200)))))))</f>
        <v>1600</v>
      </c>
      <c r="AA441" s="52" t="s">
        <v>177</v>
      </c>
      <c r="AB441" s="52"/>
      <c r="AC441" s="52"/>
      <c r="AD441" s="231">
        <v>-0.08</v>
      </c>
      <c r="AE441" s="49"/>
      <c r="AF441" s="84"/>
      <c r="AG441" s="49"/>
      <c r="AH441" s="49"/>
      <c r="AI441" s="49"/>
      <c r="AJ441" s="226"/>
      <c r="AK441" s="49"/>
      <c r="AL441" s="113">
        <f t="shared" si="191"/>
        <v>-32</v>
      </c>
      <c r="AM441" s="113">
        <f t="shared" si="176"/>
        <v>-64</v>
      </c>
      <c r="AN441" s="218"/>
      <c r="AO441" s="49"/>
      <c r="AP441" s="49"/>
      <c r="AQ441" s="84" t="s">
        <v>142</v>
      </c>
      <c r="AR441" s="74">
        <v>45399</v>
      </c>
      <c r="AS441" s="55">
        <v>-0.08</v>
      </c>
      <c r="AT441" s="55">
        <f>IF(ISBLANK(AS441),,IF(U441="S",AD441-AS441,AS441-AD441))</f>
        <v>0</v>
      </c>
      <c r="AU441" s="54">
        <f>AV441*R441</f>
        <v>0</v>
      </c>
      <c r="AV441" s="56">
        <f t="shared" ref="AV441" si="193">IF(ISBLANK(AS441),,(AT441*Z441))</f>
        <v>0</v>
      </c>
      <c r="AW441" s="57" t="s">
        <v>155</v>
      </c>
      <c r="AX441" s="153"/>
      <c r="AY441" s="153"/>
      <c r="AZ441" s="153"/>
      <c r="BA441" s="153"/>
      <c r="BB441" s="153"/>
      <c r="BC441" s="153"/>
      <c r="BD441" s="151"/>
      <c r="BE441" s="152"/>
      <c r="BF441" s="151"/>
      <c r="BG441" s="94">
        <f>SUM($AV$4:AV441)</f>
        <v>3405.0531371208795</v>
      </c>
      <c r="BH441" s="95">
        <f>SUM($AU$4:AU441)</f>
        <v>32207.380000000154</v>
      </c>
      <c r="BI441" s="80">
        <f>SUMIFS($AU$3:AU442,$Q$3:Q442,"F")</f>
        <v>22948.400000000001</v>
      </c>
      <c r="BJ441" s="80">
        <f>SUMIFS($AU$3:AU442,$Q$3:Q442,"S")</f>
        <v>5775.9999999999945</v>
      </c>
      <c r="BK441" s="87">
        <f>SUMIFS($AU$3:AU442,$P$3:P442,"W")</f>
        <v>22893.58000000014</v>
      </c>
      <c r="BL441" s="87">
        <f>SUMIFS($AU$3:AU442,$P$3:P442,"R")</f>
        <v>7677.9999999998608</v>
      </c>
      <c r="BM441" s="87">
        <f>SUMIFS($AU$3:AU442,$AQ$3:AQ442,"M")</f>
        <v>6379.7799999998615</v>
      </c>
      <c r="BN441" s="87">
        <f>SUMIFS($AU$3:AU442,$AQ$3:AQ442,"H")</f>
        <v>5159.2000000002827</v>
      </c>
      <c r="BO441" s="87">
        <f>SUMIFS($AU$3:AU442,$AQ$3:AQ442,"D")</f>
        <v>9270</v>
      </c>
      <c r="BP441" s="87">
        <f>SUMIFS($AU$3:AU529,$AQ$3:AQ529,"W")</f>
        <v>13472.599999999982</v>
      </c>
      <c r="BQ441" s="87">
        <f>SUMIFS($AU$3:AU442,$Q$3:Q442,"O")</f>
        <v>2058.980000000161</v>
      </c>
      <c r="BR441" s="87">
        <f>SUMIFS($AU$3:AU442,$AA$3:AA442,"*")</f>
        <v>24248.200000000041</v>
      </c>
      <c r="BS441" s="87">
        <f>SUMIFS($AU$3:AU442,$AB$3:AB442,"*")</f>
        <v>8775.1799999999312</v>
      </c>
      <c r="BT441" s="87">
        <f>SUMIFS($AU$3:AU442,$AC$3:AC442,"*")</f>
        <v>18548.400000000001</v>
      </c>
      <c r="BU441" s="87">
        <f>SUMIFS($AU$3:AU442,$AA$3:AA442,"*",$AB$3:AB442,"*")</f>
        <v>5759.9999999998217</v>
      </c>
      <c r="BV441" s="87">
        <f>SUMIFS($AU$3:AU442,$AA$3:AA442,"*",$AC$3:AC442,"*")</f>
        <v>13124.400000000001</v>
      </c>
      <c r="BW441" s="87">
        <f>SUMIFS($AU$3:AU442,$AB$3:AB442,"*",$AC$3:AC442,"*")</f>
        <v>3759.9999999999982</v>
      </c>
      <c r="BX441" s="87">
        <f>SUMIFS($AV$3:AV442,$Q$3:Q442,"F")</f>
        <v>424.63675319849239</v>
      </c>
      <c r="BY441" s="87">
        <f>SUMIFS($AV$3:AV442,$Q$3:Q442,"S")</f>
        <v>353.77638392253402</v>
      </c>
      <c r="BZ441" s="87">
        <f>SUMIFS($AV$3:AV442,$Q$3:Q442,"O")</f>
        <v>678.63999999984833</v>
      </c>
    </row>
    <row r="442" spans="1:78" ht="15.75" customHeight="1">
      <c r="A442" s="45" t="s">
        <v>1310</v>
      </c>
      <c r="B442" s="59"/>
      <c r="C442" s="46"/>
      <c r="D442" s="46"/>
      <c r="E442" s="66"/>
      <c r="F442" s="47"/>
      <c r="G442" s="48"/>
      <c r="H442" s="49"/>
      <c r="I442" s="49"/>
      <c r="J442" s="49"/>
      <c r="K442" s="50"/>
      <c r="L442" s="49"/>
      <c r="M442" s="49"/>
      <c r="N442" s="49"/>
      <c r="O442" s="50"/>
      <c r="P442" s="50"/>
      <c r="Q442" s="50"/>
      <c r="R442" s="50"/>
      <c r="S442" s="50"/>
      <c r="T442" s="50"/>
      <c r="U442" s="50"/>
      <c r="V442" s="50"/>
      <c r="W442" s="50"/>
      <c r="X442" s="50"/>
      <c r="Y442" s="50"/>
      <c r="Z442" s="50"/>
      <c r="AA442" s="52"/>
      <c r="AB442" s="52"/>
      <c r="AC442" s="52"/>
      <c r="AD442" s="231"/>
      <c r="AE442" s="49"/>
      <c r="AF442" s="84"/>
      <c r="AG442" s="49"/>
      <c r="AH442" s="49"/>
      <c r="AI442" s="49"/>
      <c r="AJ442" s="226"/>
      <c r="AK442" s="49"/>
      <c r="AL442" s="113">
        <f t="shared" si="190"/>
        <v>0</v>
      </c>
      <c r="AM442" s="113">
        <f t="shared" si="176"/>
        <v>0</v>
      </c>
      <c r="AN442" s="218"/>
      <c r="AO442" s="49"/>
      <c r="AP442" s="49"/>
      <c r="AQ442" s="84" t="str">
        <f>UPPER(RIGHT(Journal_Live[[#This Row],[DURATION ]]))</f>
        <v/>
      </c>
      <c r="AR442" s="49"/>
      <c r="AS442" s="55"/>
      <c r="AT442" s="55"/>
      <c r="AU442" s="54"/>
      <c r="AV442" s="56"/>
      <c r="AW442" s="57"/>
      <c r="AX442" s="153" t="s">
        <v>1599</v>
      </c>
      <c r="AY442" s="153"/>
      <c r="AZ442" s="153"/>
      <c r="BA442" s="153"/>
      <c r="BB442" s="153"/>
      <c r="BC442" s="153"/>
      <c r="BD442" s="151"/>
      <c r="BE442" s="152"/>
      <c r="BF442" s="151"/>
      <c r="BG442" s="94">
        <f>SUM($AV$4:AV442)</f>
        <v>3405.0531371208795</v>
      </c>
      <c r="BH442" s="95">
        <f>SUM($AU$4:AU442)</f>
        <v>32207.380000000154</v>
      </c>
      <c r="BI442" s="80">
        <f>SUMIFS($AU$3:AU443,$Q$3:Q443,"F")</f>
        <v>22948.400000000001</v>
      </c>
      <c r="BJ442" s="80">
        <f>SUMIFS($AU$3:AU443,$Q$3:Q443,"S")</f>
        <v>5775.9999999999945</v>
      </c>
      <c r="BK442" s="87">
        <f>SUMIFS($AU$3:AU443,$P$3:P443,"W")</f>
        <v>22893.58000000014</v>
      </c>
      <c r="BL442" s="87">
        <f>SUMIFS($AU$3:AU443,$P$3:P443,"R")</f>
        <v>7677.9999999998608</v>
      </c>
      <c r="BM442" s="87">
        <f>SUMIFS($AU$3:AU443,$AQ$3:AQ443,"M")</f>
        <v>6379.7799999998615</v>
      </c>
      <c r="BN442" s="87">
        <f>SUMIFS($AU$3:AU443,$AQ$3:AQ443,"H")</f>
        <v>5159.2000000002827</v>
      </c>
      <c r="BO442" s="87">
        <f>SUMIFS($AU$3:AU443,$AQ$3:AQ443,"D")</f>
        <v>9270</v>
      </c>
      <c r="BP442" s="87">
        <f>SUMIFS($AU$3:AU530,$AQ$3:AQ530,"W")</f>
        <v>13472.599999999982</v>
      </c>
      <c r="BQ442" s="87">
        <f>SUMIFS($AU$3:AU443,$Q$3:Q443,"O")</f>
        <v>2058.980000000161</v>
      </c>
      <c r="BR442" s="87">
        <f>SUMIFS($AU$3:AU443,$AA$3:AA443,"*")</f>
        <v>24248.200000000041</v>
      </c>
      <c r="BS442" s="87">
        <f>SUMIFS($AU$3:AU443,$AB$3:AB443,"*")</f>
        <v>8775.1799999999312</v>
      </c>
      <c r="BT442" s="87">
        <f>SUMIFS($AU$3:AU443,$AC$3:AC443,"*")</f>
        <v>18548.400000000001</v>
      </c>
      <c r="BU442" s="87">
        <f>SUMIFS($AU$3:AU443,$AA$3:AA443,"*",$AB$3:AB443,"*")</f>
        <v>5759.9999999998217</v>
      </c>
      <c r="BV442" s="87">
        <f>SUMIFS($AU$3:AU443,$AA$3:AA443,"*",$AC$3:AC443,"*")</f>
        <v>13124.400000000001</v>
      </c>
      <c r="BW442" s="87">
        <f>SUMIFS($AU$3:AU443,$AB$3:AB443,"*",$AC$3:AC443,"*")</f>
        <v>3759.9999999999982</v>
      </c>
      <c r="BX442" s="87">
        <f>SUMIFS($AV$3:AV443,$Q$3:Q443,"F")</f>
        <v>424.63675319849239</v>
      </c>
      <c r="BY442" s="87">
        <f>SUMIFS($AV$3:AV443,$Q$3:Q443,"S")</f>
        <v>353.77638392253402</v>
      </c>
      <c r="BZ442" s="87">
        <f>SUMIFS($AV$3:AV443,$Q$3:Q443,"O")</f>
        <v>678.63999999984833</v>
      </c>
    </row>
    <row r="443" spans="1:78" ht="15.75" customHeight="1">
      <c r="A443" s="45" t="s">
        <v>1310</v>
      </c>
      <c r="B443" s="59">
        <v>45399</v>
      </c>
      <c r="C443" s="46" t="s">
        <v>1600</v>
      </c>
      <c r="D443" s="46" t="s">
        <v>186</v>
      </c>
      <c r="E443" s="66" t="s">
        <v>1601</v>
      </c>
      <c r="F443" s="47"/>
      <c r="G443" s="48"/>
      <c r="H443" s="49"/>
      <c r="I443" s="49"/>
      <c r="J443" s="49"/>
      <c r="K443" s="50"/>
      <c r="L443" s="49"/>
      <c r="M443" s="49"/>
      <c r="N443" s="49"/>
      <c r="O443" s="50"/>
      <c r="P443" s="50"/>
      <c r="Q443" s="50"/>
      <c r="R443" s="50"/>
      <c r="S443" s="50"/>
      <c r="T443" s="50"/>
      <c r="U443" s="50"/>
      <c r="V443" s="50"/>
      <c r="W443" s="50"/>
      <c r="X443" s="50"/>
      <c r="Y443" s="50"/>
      <c r="Z443" s="50"/>
      <c r="AA443" s="52"/>
      <c r="AB443" s="52"/>
      <c r="AC443" s="52"/>
      <c r="AD443" s="231"/>
      <c r="AE443" s="49"/>
      <c r="AF443" s="84"/>
      <c r="AG443" s="49"/>
      <c r="AH443" s="49"/>
      <c r="AI443" s="49"/>
      <c r="AJ443" s="226"/>
      <c r="AK443" s="49"/>
      <c r="AL443" s="113">
        <f t="shared" si="144"/>
        <v>0</v>
      </c>
      <c r="AM443" s="113">
        <f t="shared" ref="AM443:AM474" si="194">AL443*(R443-S443)</f>
        <v>0</v>
      </c>
      <c r="AN443" s="218"/>
      <c r="AO443" s="49"/>
      <c r="AP443" s="49"/>
      <c r="AQ443" s="84" t="str">
        <f>UPPER(RIGHT(Journal_Live[[#This Row],[DURATION ]]))</f>
        <v/>
      </c>
      <c r="AR443" s="49"/>
      <c r="AS443" s="55"/>
      <c r="AT443" s="55"/>
      <c r="AU443" s="54"/>
      <c r="AV443" s="56"/>
      <c r="AW443" s="57"/>
      <c r="AX443" s="153"/>
      <c r="AY443" s="153"/>
      <c r="AZ443" s="153"/>
      <c r="BA443" s="153"/>
      <c r="BB443" s="153"/>
      <c r="BC443" s="153"/>
      <c r="BD443" s="151"/>
      <c r="BE443" s="152"/>
      <c r="BF443" s="151"/>
      <c r="BG443" s="94">
        <f>SUM($AV$4:AV443)</f>
        <v>3405.0531371208795</v>
      </c>
      <c r="BH443" s="95">
        <f>SUM($AU$4:AU443)</f>
        <v>32207.380000000154</v>
      </c>
      <c r="BI443" s="80">
        <f>SUMIFS($AU$3:AU444,$Q$3:Q444,"F")</f>
        <v>22948.400000000001</v>
      </c>
      <c r="BJ443" s="80">
        <f>SUMIFS($AU$3:AU444,$Q$3:Q444,"S")</f>
        <v>5775.9999999999945</v>
      </c>
      <c r="BK443" s="87">
        <f>SUMIFS($AU$3:AU444,$P$3:P444,"W")</f>
        <v>22893.58000000014</v>
      </c>
      <c r="BL443" s="87">
        <f>SUMIFS($AU$3:AU444,$P$3:P444,"R")</f>
        <v>7677.9999999998608</v>
      </c>
      <c r="BM443" s="87">
        <f>SUMIFS($AU$3:AU444,$AQ$3:AQ444,"M")</f>
        <v>6379.7799999998615</v>
      </c>
      <c r="BN443" s="87">
        <f>SUMIFS($AU$3:AU444,$AQ$3:AQ444,"H")</f>
        <v>5159.2000000002827</v>
      </c>
      <c r="BO443" s="87">
        <f>SUMIFS($AU$3:AU444,$AQ$3:AQ444,"D")</f>
        <v>9270</v>
      </c>
      <c r="BP443" s="87">
        <f>SUMIFS($AU$3:AU531,$AQ$3:AQ531,"W")</f>
        <v>13472.599999999982</v>
      </c>
      <c r="BQ443" s="87">
        <f>SUMIFS($AU$3:AU444,$Q$3:Q444,"O")</f>
        <v>2058.980000000161</v>
      </c>
      <c r="BR443" s="87">
        <f>SUMIFS($AU$3:AU444,$AA$3:AA444,"*")</f>
        <v>24248.200000000041</v>
      </c>
      <c r="BS443" s="87">
        <f>SUMIFS($AU$3:AU444,$AB$3:AB444,"*")</f>
        <v>8775.1799999999312</v>
      </c>
      <c r="BT443" s="87">
        <f>SUMIFS($AU$3:AU444,$AC$3:AC444,"*")</f>
        <v>18548.400000000001</v>
      </c>
      <c r="BU443" s="87">
        <f>SUMIFS($AU$3:AU444,$AA$3:AA444,"*",$AB$3:AB444,"*")</f>
        <v>5759.9999999998217</v>
      </c>
      <c r="BV443" s="87">
        <f>SUMIFS($AU$3:AU444,$AA$3:AA444,"*",$AC$3:AC444,"*")</f>
        <v>13124.400000000001</v>
      </c>
      <c r="BW443" s="87">
        <f>SUMIFS($AU$3:AU444,$AB$3:AB444,"*",$AC$3:AC444,"*")</f>
        <v>3759.9999999999982</v>
      </c>
      <c r="BX443" s="87">
        <f>SUMIFS($AV$3:AV444,$Q$3:Q444,"F")</f>
        <v>424.63675319849239</v>
      </c>
      <c r="BY443" s="87">
        <f>SUMIFS($AV$3:AV444,$Q$3:Q444,"S")</f>
        <v>353.77638392253402</v>
      </c>
      <c r="BZ443" s="87">
        <f>SUMIFS($AV$3:AV444,$Q$3:Q444,"O")</f>
        <v>678.63999999984833</v>
      </c>
    </row>
    <row r="444" spans="1:78" ht="15.75" customHeight="1">
      <c r="A444" s="45" t="s">
        <v>1310</v>
      </c>
      <c r="B444" s="59"/>
      <c r="C444" s="46"/>
      <c r="D444" s="46"/>
      <c r="E444" s="66" t="s">
        <v>1602</v>
      </c>
      <c r="F444" s="47"/>
      <c r="G444" s="48"/>
      <c r="H444" s="49"/>
      <c r="I444" s="49"/>
      <c r="J444" s="49"/>
      <c r="K444" s="50"/>
      <c r="L444" s="49"/>
      <c r="M444" s="49"/>
      <c r="N444" s="49"/>
      <c r="O444" s="50"/>
      <c r="P444" s="50"/>
      <c r="Q444" s="50"/>
      <c r="R444" s="50"/>
      <c r="S444" s="50"/>
      <c r="T444" s="50"/>
      <c r="U444" s="50"/>
      <c r="V444" s="50"/>
      <c r="W444" s="50"/>
      <c r="X444" s="50"/>
      <c r="Y444" s="50"/>
      <c r="Z444" s="50"/>
      <c r="AA444" s="52"/>
      <c r="AB444" s="52"/>
      <c r="AC444" s="52"/>
      <c r="AD444" s="231"/>
      <c r="AE444" s="49"/>
      <c r="AF444" s="84"/>
      <c r="AG444" s="49"/>
      <c r="AH444" s="49"/>
      <c r="AI444" s="49"/>
      <c r="AJ444" s="226"/>
      <c r="AK444" s="49"/>
      <c r="AL444" s="113">
        <f t="shared" si="130"/>
        <v>0</v>
      </c>
      <c r="AM444" s="113">
        <f t="shared" si="194"/>
        <v>0</v>
      </c>
      <c r="AN444" s="218"/>
      <c r="AO444" s="49"/>
      <c r="AP444" s="49"/>
      <c r="AQ444" s="84" t="str">
        <f>UPPER(RIGHT(Journal_Live[[#This Row],[DURATION ]]))</f>
        <v/>
      </c>
      <c r="AR444" s="49"/>
      <c r="AS444" s="55"/>
      <c r="AT444" s="55"/>
      <c r="AU444" s="54"/>
      <c r="AV444" s="56"/>
      <c r="AW444" s="57"/>
      <c r="AX444" s="153"/>
      <c r="AY444" s="153"/>
      <c r="AZ444" s="153"/>
      <c r="BA444" s="153"/>
      <c r="BB444" s="153"/>
      <c r="BC444" s="153"/>
      <c r="BD444" s="151"/>
      <c r="BE444" s="152"/>
      <c r="BF444" s="151"/>
      <c r="BG444" s="94">
        <f>SUM($AV$4:AV444)</f>
        <v>3405.0531371208795</v>
      </c>
      <c r="BH444" s="95">
        <f>SUM($AU$4:AU444)</f>
        <v>32207.380000000154</v>
      </c>
      <c r="BI444" s="80">
        <f>SUMIFS($AU$3:AU445,$Q$3:Q445,"F")</f>
        <v>22948.400000000001</v>
      </c>
      <c r="BJ444" s="80">
        <f>SUMIFS($AU$3:AU445,$Q$3:Q445,"S")</f>
        <v>5775.9999999999945</v>
      </c>
      <c r="BK444" s="87">
        <f>SUMIFS($AU$3:AU445,$P$3:P445,"W")</f>
        <v>22893.58000000014</v>
      </c>
      <c r="BL444" s="87">
        <f>SUMIFS($AU$3:AU445,$P$3:P445,"R")</f>
        <v>7677.9999999998608</v>
      </c>
      <c r="BM444" s="87">
        <f>SUMIFS($AU$3:AU445,$AQ$3:AQ445,"M")</f>
        <v>6379.7799999998615</v>
      </c>
      <c r="BN444" s="87">
        <f>SUMIFS($AU$3:AU445,$AQ$3:AQ445,"H")</f>
        <v>5159.2000000002827</v>
      </c>
      <c r="BO444" s="87">
        <f>SUMIFS($AU$3:AU445,$AQ$3:AQ445,"D")</f>
        <v>9270</v>
      </c>
      <c r="BP444" s="87">
        <f>SUMIFS($AU$3:AU532,$AQ$3:AQ532,"W")</f>
        <v>13472.599999999982</v>
      </c>
      <c r="BQ444" s="87">
        <f>SUMIFS($AU$3:AU445,$Q$3:Q445,"O")</f>
        <v>2058.980000000161</v>
      </c>
      <c r="BR444" s="87">
        <f>SUMIFS($AU$3:AU445,$AA$3:AA445,"*")</f>
        <v>24248.200000000041</v>
      </c>
      <c r="BS444" s="87">
        <f>SUMIFS($AU$3:AU445,$AB$3:AB445,"*")</f>
        <v>8775.1799999999312</v>
      </c>
      <c r="BT444" s="87">
        <f>SUMIFS($AU$3:AU445,$AC$3:AC445,"*")</f>
        <v>18548.400000000001</v>
      </c>
      <c r="BU444" s="87">
        <f>SUMIFS($AU$3:AU445,$AA$3:AA445,"*",$AB$3:AB445,"*")</f>
        <v>5759.9999999998217</v>
      </c>
      <c r="BV444" s="87">
        <f>SUMIFS($AU$3:AU445,$AA$3:AA445,"*",$AC$3:AC445,"*")</f>
        <v>13124.400000000001</v>
      </c>
      <c r="BW444" s="87">
        <f>SUMIFS($AU$3:AU445,$AB$3:AB445,"*",$AC$3:AC445,"*")</f>
        <v>3759.9999999999982</v>
      </c>
      <c r="BX444" s="87">
        <f>SUMIFS($AV$3:AV445,$Q$3:Q445,"F")</f>
        <v>424.63675319849239</v>
      </c>
      <c r="BY444" s="87">
        <f>SUMIFS($AV$3:AV445,$Q$3:Q445,"S")</f>
        <v>353.77638392253402</v>
      </c>
      <c r="BZ444" s="87">
        <f>SUMIFS($AV$3:AV445,$Q$3:Q445,"O")</f>
        <v>678.63999999984833</v>
      </c>
    </row>
    <row r="445" spans="1:78" ht="15.75" customHeight="1">
      <c r="A445" s="45" t="s">
        <v>1310</v>
      </c>
      <c r="B445" s="59">
        <v>45399</v>
      </c>
      <c r="C445" s="46" t="s">
        <v>147</v>
      </c>
      <c r="D445" s="46" t="s">
        <v>186</v>
      </c>
      <c r="E445" s="66"/>
      <c r="F445" s="47"/>
      <c r="G445" s="48" t="s">
        <v>276</v>
      </c>
      <c r="H445" s="49"/>
      <c r="I445" s="49"/>
      <c r="J445" s="49"/>
      <c r="K445" s="50"/>
      <c r="L445" s="49"/>
      <c r="M445" s="49"/>
      <c r="N445" s="49"/>
      <c r="O445" s="50"/>
      <c r="P445" s="50"/>
      <c r="Q445" s="50"/>
      <c r="R445" s="50"/>
      <c r="S445" s="161"/>
      <c r="T445" s="50"/>
      <c r="U445" s="50"/>
      <c r="V445" s="50"/>
      <c r="W445" s="50"/>
      <c r="X445" s="50"/>
      <c r="Y445" s="51"/>
      <c r="Z445" s="52"/>
      <c r="AA445" s="52"/>
      <c r="AB445" s="52"/>
      <c r="AC445" s="52"/>
      <c r="AD445" s="231"/>
      <c r="AE445" s="49"/>
      <c r="AF445" s="84"/>
      <c r="AG445" s="49"/>
      <c r="AH445" s="49"/>
      <c r="AI445" s="49"/>
      <c r="AJ445" s="226"/>
      <c r="AK445" s="49"/>
      <c r="AL445" s="113">
        <f t="shared" si="130"/>
        <v>0</v>
      </c>
      <c r="AM445" s="113">
        <f t="shared" si="194"/>
        <v>0</v>
      </c>
      <c r="AN445" s="218"/>
      <c r="AO445" s="49"/>
      <c r="AP445" s="49"/>
      <c r="AQ445" s="84" t="str">
        <f>UPPER(RIGHT(Journal_Live[[#This Row],[DURATION ]]))</f>
        <v/>
      </c>
      <c r="AR445" s="49"/>
      <c r="AS445" s="55"/>
      <c r="AT445" s="55"/>
      <c r="AU445" s="54"/>
      <c r="AV445" s="56"/>
      <c r="AW445" s="57"/>
      <c r="AX445" s="153"/>
      <c r="AY445" s="153"/>
      <c r="AZ445" s="153"/>
      <c r="BA445" s="153"/>
      <c r="BB445" s="153"/>
      <c r="BC445" s="153"/>
      <c r="BD445" s="151"/>
      <c r="BE445" s="152"/>
      <c r="BF445" s="151"/>
      <c r="BG445" s="94">
        <f>SUM($AV$4:AV445)</f>
        <v>3405.0531371208795</v>
      </c>
      <c r="BH445" s="95">
        <f>SUM($AU$4:AU445)</f>
        <v>32207.380000000154</v>
      </c>
      <c r="BI445" s="80">
        <f>SUMIFS($AU$3:AU446,$Q$3:Q446,"F")</f>
        <v>22948.400000000001</v>
      </c>
      <c r="BJ445" s="80">
        <f>SUMIFS($AU$3:AU446,$Q$3:Q446,"S")</f>
        <v>6095.9999999999945</v>
      </c>
      <c r="BK445" s="87">
        <f>SUMIFS($AU$3:AU446,$P$3:P446,"W")</f>
        <v>22893.58000000014</v>
      </c>
      <c r="BL445" s="87">
        <f>SUMIFS($AU$3:AU446,$P$3:P446,"R")</f>
        <v>7997.9999999998608</v>
      </c>
      <c r="BM445" s="87">
        <f>SUMIFS($AU$3:AU446,$AQ$3:AQ446,"M")</f>
        <v>6699.7799999998615</v>
      </c>
      <c r="BN445" s="87">
        <f>SUMIFS($AU$3:AU446,$AQ$3:AQ446,"H")</f>
        <v>5159.2000000002827</v>
      </c>
      <c r="BO445" s="87">
        <f>SUMIFS($AU$3:AU446,$AQ$3:AQ446,"D")</f>
        <v>9270</v>
      </c>
      <c r="BP445" s="87">
        <f>SUMIFS($AU$3:AU533,$AQ$3:AQ533,"W")</f>
        <v>13472.599999999982</v>
      </c>
      <c r="BQ445" s="87">
        <f>SUMIFS($AU$3:AU446,$Q$3:Q446,"O")</f>
        <v>2058.980000000161</v>
      </c>
      <c r="BR445" s="87">
        <f>SUMIFS($AU$3:AU446,$AA$3:AA446,"*")</f>
        <v>24568.200000000041</v>
      </c>
      <c r="BS445" s="87">
        <f>SUMIFS($AU$3:AU446,$AB$3:AB446,"*")</f>
        <v>8775.1799999999312</v>
      </c>
      <c r="BT445" s="87">
        <f>SUMIFS($AU$3:AU446,$AC$3:AC446,"*")</f>
        <v>18548.400000000001</v>
      </c>
      <c r="BU445" s="87">
        <f>SUMIFS($AU$3:AU446,$AA$3:AA446,"*",$AB$3:AB446,"*")</f>
        <v>5759.9999999998217</v>
      </c>
      <c r="BV445" s="87">
        <f>SUMIFS($AU$3:AU446,$AA$3:AA446,"*",$AC$3:AC446,"*")</f>
        <v>13124.400000000001</v>
      </c>
      <c r="BW445" s="87">
        <f>SUMIFS($AU$3:AU446,$AB$3:AB446,"*",$AC$3:AC446,"*")</f>
        <v>3759.9999999999982</v>
      </c>
      <c r="BX445" s="87">
        <f>SUMIFS($AV$3:AV446,$Q$3:Q446,"F")</f>
        <v>424.63675319849239</v>
      </c>
      <c r="BY445" s="87">
        <f>SUMIFS($AV$3:AV446,$Q$3:Q446,"S")</f>
        <v>369.77638392253402</v>
      </c>
      <c r="BZ445" s="87">
        <f>SUMIFS($AV$3:AV446,$Q$3:Q446,"O")</f>
        <v>678.63999999984833</v>
      </c>
    </row>
    <row r="446" spans="1:78" ht="15.75" customHeight="1">
      <c r="A446" s="45" t="s">
        <v>1310</v>
      </c>
      <c r="B446" s="59">
        <v>45399</v>
      </c>
      <c r="C446" s="46" t="s">
        <v>1603</v>
      </c>
      <c r="D446" s="46" t="s">
        <v>186</v>
      </c>
      <c r="E446" s="66"/>
      <c r="F446" s="47"/>
      <c r="G446" s="48" t="s">
        <v>276</v>
      </c>
      <c r="H446" s="49"/>
      <c r="I446" s="49"/>
      <c r="J446" s="49"/>
      <c r="K446" s="50"/>
      <c r="L446" s="49">
        <v>1</v>
      </c>
      <c r="M446" s="49"/>
      <c r="N446" s="49"/>
      <c r="O446" s="50" t="s">
        <v>100</v>
      </c>
      <c r="P446" s="50" t="s">
        <v>126</v>
      </c>
      <c r="Q446" s="50" t="s">
        <v>102</v>
      </c>
      <c r="R446" s="50">
        <v>20</v>
      </c>
      <c r="S446" s="161">
        <v>0</v>
      </c>
      <c r="T446" s="50">
        <v>20</v>
      </c>
      <c r="U446" s="50" t="s">
        <v>102</v>
      </c>
      <c r="V446" s="50"/>
      <c r="W446" s="50"/>
      <c r="X446" s="50"/>
      <c r="Y446" s="51">
        <f>IF(ISBLANK(O446),"",(IF(O446=UPPER("IB"),0.005,0.01)))</f>
        <v>0.01</v>
      </c>
      <c r="Z446" s="52">
        <f>IF(ISBLANK(O446),"",IF(O446="IB",8.63*200,IF(O446="IR",16*100,IF(O446="YT",20*100,IF(O446="YT-XT",24*200,IF(O446="TED",80*100,IF(O446="XT",29*200)))))))</f>
        <v>1600</v>
      </c>
      <c r="AA446" s="52" t="s">
        <v>177</v>
      </c>
      <c r="AB446" s="52"/>
      <c r="AC446" s="52"/>
      <c r="AD446" s="231">
        <v>-0.06</v>
      </c>
      <c r="AE446" s="49"/>
      <c r="AF446" s="84"/>
      <c r="AG446" s="49"/>
      <c r="AH446" s="49"/>
      <c r="AI446" s="49"/>
      <c r="AJ446" s="226"/>
      <c r="AK446" s="49"/>
      <c r="AL446" s="113">
        <f t="shared" si="130"/>
        <v>-32</v>
      </c>
      <c r="AM446" s="113">
        <f t="shared" si="194"/>
        <v>-640</v>
      </c>
      <c r="AN446" s="218"/>
      <c r="AO446" s="49"/>
      <c r="AP446" s="49" t="s">
        <v>1604</v>
      </c>
      <c r="AQ446" s="84" t="s">
        <v>350</v>
      </c>
      <c r="AR446" s="49"/>
      <c r="AS446" s="55">
        <v>-7.0000000000000007E-2</v>
      </c>
      <c r="AT446" s="55">
        <f>IF(ISBLANK(AS446),,IF(U446="S",AD446-AS446,AS446-AD446))</f>
        <v>1.0000000000000009E-2</v>
      </c>
      <c r="AU446" s="54">
        <f>AV446*R446</f>
        <v>320.00000000000028</v>
      </c>
      <c r="AV446" s="56">
        <f t="shared" ref="AV446" si="195">IF(ISBLANK(AS446),,(AT446*Z446))</f>
        <v>16.000000000000014</v>
      </c>
      <c r="AW446" s="57" t="s">
        <v>101</v>
      </c>
      <c r="AX446" s="153" t="s">
        <v>443</v>
      </c>
      <c r="AY446" s="153"/>
      <c r="AZ446" s="153"/>
      <c r="BA446" s="153"/>
      <c r="BB446" s="153"/>
      <c r="BC446" s="153"/>
      <c r="BD446" s="151"/>
      <c r="BE446" s="152"/>
      <c r="BF446" s="151"/>
      <c r="BG446" s="94">
        <f>SUM($AV$4:AV446)</f>
        <v>3421.0531371208795</v>
      </c>
      <c r="BH446" s="95">
        <f>SUM($AU$4:AU446)</f>
        <v>32527.380000000154</v>
      </c>
      <c r="BI446" s="80">
        <f>SUMIFS($AU$3:AU447,$Q$3:Q447,"F")</f>
        <v>22948.400000000001</v>
      </c>
      <c r="BJ446" s="80">
        <f>SUMIFS($AU$3:AU447,$Q$3:Q447,"S")</f>
        <v>6095.9999999999945</v>
      </c>
      <c r="BK446" s="87">
        <f>SUMIFS($AU$3:AU447,$P$3:P447,"W")</f>
        <v>22893.58000000014</v>
      </c>
      <c r="BL446" s="87">
        <f>SUMIFS($AU$3:AU447,$P$3:P447,"R")</f>
        <v>7997.9999999998608</v>
      </c>
      <c r="BM446" s="87">
        <f>SUMIFS($AU$3:AU447,$AQ$3:AQ447,"M")</f>
        <v>6699.7799999998615</v>
      </c>
      <c r="BN446" s="87">
        <f>SUMIFS($AU$3:AU447,$AQ$3:AQ447,"H")</f>
        <v>5159.2000000002827</v>
      </c>
      <c r="BO446" s="87">
        <f>SUMIFS($AU$3:AU447,$AQ$3:AQ447,"D")</f>
        <v>9270</v>
      </c>
      <c r="BP446" s="87">
        <f>SUMIFS($AU$3:AU534,$AQ$3:AQ534,"W")</f>
        <v>13472.599999999982</v>
      </c>
      <c r="BQ446" s="87">
        <f>SUMIFS($AU$3:AU447,$Q$3:Q447,"O")</f>
        <v>2058.980000000161</v>
      </c>
      <c r="BR446" s="87">
        <f>SUMIFS($AU$3:AU447,$AA$3:AA447,"*")</f>
        <v>24568.200000000041</v>
      </c>
      <c r="BS446" s="87">
        <f>SUMIFS($AU$3:AU447,$AB$3:AB447,"*")</f>
        <v>8775.1799999999312</v>
      </c>
      <c r="BT446" s="87">
        <f>SUMIFS($AU$3:AU447,$AC$3:AC447,"*")</f>
        <v>18548.400000000001</v>
      </c>
      <c r="BU446" s="87">
        <f>SUMIFS($AU$3:AU447,$AA$3:AA447,"*",$AB$3:AB447,"*")</f>
        <v>5759.9999999998217</v>
      </c>
      <c r="BV446" s="87">
        <f>SUMIFS($AU$3:AU447,$AA$3:AA447,"*",$AC$3:AC447,"*")</f>
        <v>13124.400000000001</v>
      </c>
      <c r="BW446" s="87">
        <f>SUMIFS($AU$3:AU447,$AB$3:AB447,"*",$AC$3:AC447,"*")</f>
        <v>3759.9999999999982</v>
      </c>
      <c r="BX446" s="87">
        <f>SUMIFS($AV$3:AV447,$Q$3:Q447,"F")</f>
        <v>424.63675319849239</v>
      </c>
      <c r="BY446" s="87">
        <f>SUMIFS($AV$3:AV447,$Q$3:Q447,"S")</f>
        <v>369.77638392253402</v>
      </c>
      <c r="BZ446" s="87">
        <f>SUMIFS($AV$3:AV447,$Q$3:Q447,"O")</f>
        <v>678.63999999984833</v>
      </c>
    </row>
    <row r="447" spans="1:78" ht="15.75" customHeight="1">
      <c r="A447" s="45" t="s">
        <v>1310</v>
      </c>
      <c r="B447" s="59">
        <v>45399</v>
      </c>
      <c r="C447" s="46" t="s">
        <v>1605</v>
      </c>
      <c r="D447" s="46" t="s">
        <v>186</v>
      </c>
      <c r="E447" s="66"/>
      <c r="F447" s="47"/>
      <c r="G447" s="163" t="s">
        <v>1606</v>
      </c>
      <c r="H447" s="49"/>
      <c r="I447" s="49"/>
      <c r="J447" s="49"/>
      <c r="K447" s="50"/>
      <c r="L447" s="49"/>
      <c r="M447" s="49">
        <v>1</v>
      </c>
      <c r="N447" s="49"/>
      <c r="O447" s="50" t="s">
        <v>740</v>
      </c>
      <c r="P447" s="50" t="s">
        <v>126</v>
      </c>
      <c r="Q447" s="50"/>
      <c r="R447" s="50">
        <v>1</v>
      </c>
      <c r="S447" s="50">
        <v>0</v>
      </c>
      <c r="T447" s="50">
        <v>1</v>
      </c>
      <c r="U447" s="50" t="s">
        <v>22</v>
      </c>
      <c r="V447" s="50"/>
      <c r="W447" s="50"/>
      <c r="X447" s="50"/>
      <c r="Y447" s="51">
        <f>IF(ISBLANK(O447),"",(IF(O447=UPPER("IB"),0.005,0.01)))</f>
        <v>0.01</v>
      </c>
      <c r="Z447" s="52">
        <f>IF(ISBLANK(O447),"",IF(O447="IB",8.63*200,IF(O447="IR",16*100,IF(O447="YT",20*100,IF(O447="YT-XT",24*200,IF(O447="TED",80*100,IF(O447="IR|YT",300*100)))))))</f>
        <v>30000</v>
      </c>
      <c r="AA447" s="52" t="s">
        <v>1537</v>
      </c>
      <c r="AB447" s="52"/>
      <c r="AC447" s="52"/>
      <c r="AD447" s="231">
        <v>-0.1</v>
      </c>
      <c r="AE447" s="49"/>
      <c r="AF447" s="84"/>
      <c r="AG447" s="49"/>
      <c r="AH447" s="49"/>
      <c r="AI447" s="49"/>
      <c r="AJ447" s="226"/>
      <c r="AK447" s="49"/>
      <c r="AL447" s="113">
        <f t="shared" si="130"/>
        <v>-600</v>
      </c>
      <c r="AM447" s="113">
        <f t="shared" si="194"/>
        <v>-600</v>
      </c>
      <c r="AN447" s="218"/>
      <c r="AO447" s="49"/>
      <c r="AP447" s="49" t="s">
        <v>379</v>
      </c>
      <c r="AQ447" s="84" t="s">
        <v>142</v>
      </c>
      <c r="AR447" s="49" t="s">
        <v>1607</v>
      </c>
      <c r="AS447" s="55">
        <v>-0.1</v>
      </c>
      <c r="AT447" s="55">
        <f>IF(ISBLANK(AS447),,IF(U447="S",AD447-AS447,AS447-AD447))</f>
        <v>0</v>
      </c>
      <c r="AU447" s="54">
        <f>AV447*R447</f>
        <v>0</v>
      </c>
      <c r="AV447" s="56">
        <f t="shared" ref="AV447" si="196">IF(ISBLANK(AS447),,(AT447*Z447))</f>
        <v>0</v>
      </c>
      <c r="AW447" s="57" t="s">
        <v>155</v>
      </c>
      <c r="AX447" s="153" t="s">
        <v>1608</v>
      </c>
      <c r="AY447" s="153" t="s">
        <v>1609</v>
      </c>
      <c r="AZ447" s="153" t="s">
        <v>1610</v>
      </c>
      <c r="BA447" s="153" t="s">
        <v>1611</v>
      </c>
      <c r="BB447" s="153"/>
      <c r="BC447" s="153"/>
      <c r="BD447" s="151"/>
      <c r="BE447" s="152"/>
      <c r="BF447" s="151"/>
      <c r="BG447" s="94">
        <f>SUM($AV$4:AV447)</f>
        <v>3421.0531371208795</v>
      </c>
      <c r="BH447" s="95">
        <f>SUM($AU$4:AU447)</f>
        <v>32527.380000000154</v>
      </c>
      <c r="BI447" s="80">
        <f>SUMIFS($AU$3:AU448,$Q$3:Q448,"F")</f>
        <v>22948.400000000001</v>
      </c>
      <c r="BJ447" s="80">
        <f>SUMIFS($AU$3:AU448,$Q$3:Q448,"S")</f>
        <v>6095.9999999999945</v>
      </c>
      <c r="BK447" s="87">
        <f>SUMIFS($AU$3:AU448,$P$3:P448,"W")</f>
        <v>22893.58000000014</v>
      </c>
      <c r="BL447" s="87">
        <f>SUMIFS($AU$3:AU448,$P$3:P448,"R")</f>
        <v>7997.9999999998608</v>
      </c>
      <c r="BM447" s="87">
        <f>SUMIFS($AU$3:AU448,$AQ$3:AQ448,"M")</f>
        <v>6699.7799999998615</v>
      </c>
      <c r="BN447" s="87">
        <f>SUMIFS($AU$3:AU448,$AQ$3:AQ448,"H")</f>
        <v>5159.2000000002827</v>
      </c>
      <c r="BO447" s="87">
        <f>SUMIFS($AU$3:AU448,$AQ$3:AQ448,"D")</f>
        <v>9270</v>
      </c>
      <c r="BP447" s="87">
        <f>SUMIFS($AU$3:AU535,$AQ$3:AQ535,"W")</f>
        <v>13472.599999999982</v>
      </c>
      <c r="BQ447" s="87">
        <f>SUMIFS($AU$3:AU448,$Q$3:Q448,"O")</f>
        <v>2058.980000000161</v>
      </c>
      <c r="BR447" s="87">
        <f>SUMIFS($AU$3:AU448,$AA$3:AA448,"*")</f>
        <v>24568.200000000041</v>
      </c>
      <c r="BS447" s="87">
        <f>SUMIFS($AU$3:AU448,$AB$3:AB448,"*")</f>
        <v>8775.1799999999312</v>
      </c>
      <c r="BT447" s="87">
        <f>SUMIFS($AU$3:AU448,$AC$3:AC448,"*")</f>
        <v>18548.400000000001</v>
      </c>
      <c r="BU447" s="87">
        <f>SUMIFS($AU$3:AU448,$AA$3:AA448,"*",$AB$3:AB448,"*")</f>
        <v>5759.9999999998217</v>
      </c>
      <c r="BV447" s="87">
        <f>SUMIFS($AU$3:AU448,$AA$3:AA448,"*",$AC$3:AC448,"*")</f>
        <v>13124.400000000001</v>
      </c>
      <c r="BW447" s="87">
        <f>SUMIFS($AU$3:AU448,$AB$3:AB448,"*",$AC$3:AC448,"*")</f>
        <v>3759.9999999999982</v>
      </c>
      <c r="BX447" s="87">
        <f>SUMIFS($AV$3:AV448,$Q$3:Q448,"F")</f>
        <v>424.63675319849239</v>
      </c>
      <c r="BY447" s="87">
        <f>SUMIFS($AV$3:AV448,$Q$3:Q448,"S")</f>
        <v>369.77638392253402</v>
      </c>
      <c r="BZ447" s="87">
        <f>SUMIFS($AV$3:AV448,$Q$3:Q448,"O")</f>
        <v>678.63999999984833</v>
      </c>
    </row>
    <row r="448" spans="1:78" ht="15.75" customHeight="1">
      <c r="A448" s="45" t="s">
        <v>1310</v>
      </c>
      <c r="B448" s="59">
        <v>45399</v>
      </c>
      <c r="C448" s="46" t="s">
        <v>1612</v>
      </c>
      <c r="D448" s="46" t="s">
        <v>186</v>
      </c>
      <c r="E448" s="66"/>
      <c r="F448" s="47"/>
      <c r="G448" s="48" t="s">
        <v>181</v>
      </c>
      <c r="H448" s="49"/>
      <c r="I448" s="49"/>
      <c r="J448" s="49"/>
      <c r="K448" s="50"/>
      <c r="L448" s="49"/>
      <c r="M448" s="49"/>
      <c r="N448" s="49"/>
      <c r="O448" s="50"/>
      <c r="P448" s="50"/>
      <c r="Q448" s="50"/>
      <c r="R448" s="50"/>
      <c r="S448" s="161"/>
      <c r="T448" s="50"/>
      <c r="U448" s="50"/>
      <c r="V448" s="50"/>
      <c r="W448" s="50"/>
      <c r="X448" s="50"/>
      <c r="Y448" s="51"/>
      <c r="Z448" s="52"/>
      <c r="AA448" s="52"/>
      <c r="AB448" s="52"/>
      <c r="AC448" s="52"/>
      <c r="AD448" s="231"/>
      <c r="AE448" s="49"/>
      <c r="AF448" s="84"/>
      <c r="AG448" s="49"/>
      <c r="AH448" s="49"/>
      <c r="AI448" s="49"/>
      <c r="AJ448" s="226"/>
      <c r="AK448" s="49"/>
      <c r="AL448" s="113">
        <f t="shared" si="130"/>
        <v>0</v>
      </c>
      <c r="AM448" s="113">
        <f t="shared" si="194"/>
        <v>0</v>
      </c>
      <c r="AN448" s="218"/>
      <c r="AO448" s="49"/>
      <c r="AP448" s="49"/>
      <c r="AQ448" s="84" t="str">
        <f>UPPER(RIGHT(Journal_Live[[#This Row],[DURATION ]]))</f>
        <v/>
      </c>
      <c r="AR448" s="49"/>
      <c r="AS448" s="55"/>
      <c r="AT448" s="55"/>
      <c r="AU448" s="54"/>
      <c r="AV448" s="56"/>
      <c r="AW448" s="57"/>
      <c r="AX448" s="153"/>
      <c r="AY448" s="153"/>
      <c r="AZ448" s="153"/>
      <c r="BA448" s="153"/>
      <c r="BB448" s="153"/>
      <c r="BC448" s="153"/>
      <c r="BD448" s="151"/>
      <c r="BE448" s="152"/>
      <c r="BF448" s="151"/>
      <c r="BG448" s="94">
        <f>SUM($AV$4:AV448)</f>
        <v>3421.0531371208795</v>
      </c>
      <c r="BH448" s="95">
        <f>SUM($AU$4:AU448)</f>
        <v>32527.380000000154</v>
      </c>
      <c r="BI448" s="80">
        <f>SUMIFS($AU$3:AU449,$Q$3:Q449,"F")</f>
        <v>22948.400000000001</v>
      </c>
      <c r="BJ448" s="80">
        <f>SUMIFS($AU$3:AU449,$Q$3:Q449,"S")</f>
        <v>6095.9999999999945</v>
      </c>
      <c r="BK448" s="87">
        <f>SUMIFS($AU$3:AU449,$P$3:P449,"W")</f>
        <v>22893.58000000014</v>
      </c>
      <c r="BL448" s="87">
        <f>SUMIFS($AU$3:AU449,$P$3:P449,"R")</f>
        <v>7997.9999999998608</v>
      </c>
      <c r="BM448" s="87">
        <f>SUMIFS($AU$3:AU449,$AQ$3:AQ449,"M")</f>
        <v>6699.7799999998615</v>
      </c>
      <c r="BN448" s="87">
        <f>SUMIFS($AU$3:AU449,$AQ$3:AQ449,"H")</f>
        <v>5159.2000000002827</v>
      </c>
      <c r="BO448" s="87">
        <f>SUMIFS($AU$3:AU449,$AQ$3:AQ449,"D")</f>
        <v>9270</v>
      </c>
      <c r="BP448" s="87">
        <f>SUMIFS($AU$3:AU536,$AQ$3:AQ536,"W")</f>
        <v>13472.599999999982</v>
      </c>
      <c r="BQ448" s="87">
        <f>SUMIFS($AU$3:AU449,$Q$3:Q449,"O")</f>
        <v>2058.980000000161</v>
      </c>
      <c r="BR448" s="87">
        <f>SUMIFS($AU$3:AU449,$AA$3:AA449,"*")</f>
        <v>24568.200000000041</v>
      </c>
      <c r="BS448" s="87">
        <f>SUMIFS($AU$3:AU449,$AB$3:AB449,"*")</f>
        <v>8775.1799999999312</v>
      </c>
      <c r="BT448" s="87">
        <f>SUMIFS($AU$3:AU449,$AC$3:AC449,"*")</f>
        <v>18548.400000000001</v>
      </c>
      <c r="BU448" s="87">
        <f>SUMIFS($AU$3:AU449,$AA$3:AA449,"*",$AB$3:AB449,"*")</f>
        <v>5759.9999999998217</v>
      </c>
      <c r="BV448" s="87">
        <f>SUMIFS($AU$3:AU449,$AA$3:AA449,"*",$AC$3:AC449,"*")</f>
        <v>13124.400000000001</v>
      </c>
      <c r="BW448" s="87">
        <f>SUMIFS($AU$3:AU449,$AB$3:AB449,"*",$AC$3:AC449,"*")</f>
        <v>3759.9999999999982</v>
      </c>
      <c r="BX448" s="87">
        <f>SUMIFS($AV$3:AV449,$Q$3:Q449,"F")</f>
        <v>424.63675319849239</v>
      </c>
      <c r="BY448" s="87">
        <f>SUMIFS($AV$3:AV449,$Q$3:Q449,"S")</f>
        <v>369.77638392253402</v>
      </c>
      <c r="BZ448" s="87">
        <f>SUMIFS($AV$3:AV449,$Q$3:Q449,"O")</f>
        <v>678.63999999984833</v>
      </c>
    </row>
    <row r="449" spans="1:78" ht="15.75" customHeight="1">
      <c r="A449" s="45" t="s">
        <v>1310</v>
      </c>
      <c r="B449" s="59">
        <v>45399</v>
      </c>
      <c r="C449" s="46" t="s">
        <v>1612</v>
      </c>
      <c r="D449" s="46" t="s">
        <v>186</v>
      </c>
      <c r="E449" s="66"/>
      <c r="F449" s="47"/>
      <c r="G449" s="104" t="s">
        <v>181</v>
      </c>
      <c r="H449" s="49"/>
      <c r="I449" s="49"/>
      <c r="J449" s="49"/>
      <c r="K449" s="50"/>
      <c r="L449" s="49"/>
      <c r="M449" s="49">
        <v>1</v>
      </c>
      <c r="N449" s="49"/>
      <c r="O449" s="50" t="s">
        <v>100</v>
      </c>
      <c r="P449" s="50" t="s">
        <v>101</v>
      </c>
      <c r="Q449" s="50" t="s">
        <v>102</v>
      </c>
      <c r="R449" s="50">
        <v>15</v>
      </c>
      <c r="S449" s="161">
        <v>0</v>
      </c>
      <c r="T449" s="50">
        <v>15</v>
      </c>
      <c r="U449" s="50" t="s">
        <v>102</v>
      </c>
      <c r="V449" s="50"/>
      <c r="W449" s="50"/>
      <c r="X449" s="50"/>
      <c r="Y449" s="51">
        <f>IF(ISBLANK(O449),"",(IF(O449=UPPER("IB"),0.005,0.01)))</f>
        <v>0.01</v>
      </c>
      <c r="Z449" s="52">
        <f>IF(ISBLANK(O449),"",IF(O449="IB",8.63*200,IF(O449="IR",16*100,IF(O449="YT",20*100,IF(O449="YT-XT",24*200,IF(O449="TED",80*100,IF(O449="XT",29*200)))))))</f>
        <v>1600</v>
      </c>
      <c r="AA449" s="52" t="s">
        <v>177</v>
      </c>
      <c r="AB449" s="52"/>
      <c r="AC449" s="52" t="s">
        <v>1613</v>
      </c>
      <c r="AD449" s="231">
        <v>-7.0000000000000007E-2</v>
      </c>
      <c r="AE449" s="49"/>
      <c r="AF449" s="84"/>
      <c r="AG449" s="49"/>
      <c r="AH449" s="49"/>
      <c r="AI449" s="49"/>
      <c r="AJ449" s="226"/>
      <c r="AK449" s="49"/>
      <c r="AL449" s="113">
        <f t="shared" ref="AL449" si="197">-0.02*Z449</f>
        <v>-32</v>
      </c>
      <c r="AM449" s="113">
        <f t="shared" si="194"/>
        <v>-480</v>
      </c>
      <c r="AN449" s="218"/>
      <c r="AO449" s="49"/>
      <c r="AP449" s="49"/>
      <c r="AQ449" s="84" t="s">
        <v>350</v>
      </c>
      <c r="AR449" s="49"/>
      <c r="AS449" s="55">
        <v>-7.0000000000000007E-2</v>
      </c>
      <c r="AT449" s="55">
        <f>IF(ISBLANK(AS449),,IF(U449="S",AD449-AS449,AS449-AD449))</f>
        <v>0</v>
      </c>
      <c r="AU449" s="54">
        <f>AV449*R449</f>
        <v>0</v>
      </c>
      <c r="AV449" s="56">
        <f t="shared" ref="AV449" si="198">IF(ISBLANK(AS449),,(AT449*Z449))</f>
        <v>0</v>
      </c>
      <c r="AW449" s="57" t="s">
        <v>155</v>
      </c>
      <c r="AX449" s="153" t="s">
        <v>1614</v>
      </c>
      <c r="AY449" s="153"/>
      <c r="AZ449" s="153"/>
      <c r="BA449" s="153"/>
      <c r="BB449" s="153"/>
      <c r="BC449" s="153"/>
      <c r="BD449" s="151"/>
      <c r="BE449" s="152"/>
      <c r="BF449" s="151"/>
      <c r="BG449" s="94">
        <f>SUM($AV$4:AV449)</f>
        <v>3421.0531371208795</v>
      </c>
      <c r="BH449" s="95">
        <f>SUM($AU$4:AU449)</f>
        <v>32527.380000000154</v>
      </c>
      <c r="BI449" s="80">
        <f>SUMIFS($AU$3:AU450,$Q$3:Q450,"F")</f>
        <v>22948.400000000001</v>
      </c>
      <c r="BJ449" s="80">
        <f>SUMIFS($AU$3:AU450,$Q$3:Q450,"S")</f>
        <v>6095.9999999999945</v>
      </c>
      <c r="BK449" s="87">
        <f>SUMIFS($AU$3:AU450,$P$3:P450,"W")</f>
        <v>22893.58000000014</v>
      </c>
      <c r="BL449" s="87">
        <f>SUMIFS($AU$3:AU450,$P$3:P450,"R")</f>
        <v>7997.9999999998608</v>
      </c>
      <c r="BM449" s="87">
        <f>SUMIFS($AU$3:AU450,$AQ$3:AQ450,"M")</f>
        <v>6699.7799999998615</v>
      </c>
      <c r="BN449" s="87">
        <f>SUMIFS($AU$3:AU450,$AQ$3:AQ450,"H")</f>
        <v>5159.2000000002827</v>
      </c>
      <c r="BO449" s="87">
        <f>SUMIFS($AU$3:AU450,$AQ$3:AQ450,"D")</f>
        <v>9270</v>
      </c>
      <c r="BP449" s="87">
        <f>SUMIFS($AU$3:AU537,$AQ$3:AQ537,"W")</f>
        <v>13472.599999999982</v>
      </c>
      <c r="BQ449" s="87">
        <f>SUMIFS($AU$3:AU450,$Q$3:Q450,"O")</f>
        <v>2058.980000000161</v>
      </c>
      <c r="BR449" s="87">
        <f>SUMIFS($AU$3:AU450,$AA$3:AA450,"*")</f>
        <v>24568.200000000041</v>
      </c>
      <c r="BS449" s="87">
        <f>SUMIFS($AU$3:AU450,$AB$3:AB450,"*")</f>
        <v>8775.1799999999312</v>
      </c>
      <c r="BT449" s="87">
        <f>SUMIFS($AU$3:AU450,$AC$3:AC450,"*")</f>
        <v>18548.400000000001</v>
      </c>
      <c r="BU449" s="87">
        <f>SUMIFS($AU$3:AU450,$AA$3:AA450,"*",$AB$3:AB450,"*")</f>
        <v>5759.9999999998217</v>
      </c>
      <c r="BV449" s="87">
        <f>SUMIFS($AU$3:AU450,$AA$3:AA450,"*",$AC$3:AC450,"*")</f>
        <v>13124.400000000001</v>
      </c>
      <c r="BW449" s="87">
        <f>SUMIFS($AU$3:AU450,$AB$3:AB450,"*",$AC$3:AC450,"*")</f>
        <v>3759.9999999999982</v>
      </c>
      <c r="BX449" s="87">
        <f>SUMIFS($AV$3:AV450,$Q$3:Q450,"F")</f>
        <v>424.63675319849239</v>
      </c>
      <c r="BY449" s="87">
        <f>SUMIFS($AV$3:AV450,$Q$3:Q450,"S")</f>
        <v>369.77638392253402</v>
      </c>
      <c r="BZ449" s="87">
        <f>SUMIFS($AV$3:AV450,$Q$3:Q450,"O")</f>
        <v>678.63999999984833</v>
      </c>
    </row>
    <row r="450" spans="1:78" ht="15.75" customHeight="1">
      <c r="A450" s="45" t="s">
        <v>1310</v>
      </c>
      <c r="B450" s="59">
        <v>45399</v>
      </c>
      <c r="C450" s="46" t="s">
        <v>1615</v>
      </c>
      <c r="D450" s="46" t="s">
        <v>186</v>
      </c>
      <c r="E450" s="66"/>
      <c r="F450" s="47"/>
      <c r="G450" s="48" t="s">
        <v>1516</v>
      </c>
      <c r="H450" s="49"/>
      <c r="I450" s="49"/>
      <c r="J450" s="49"/>
      <c r="K450" s="50"/>
      <c r="L450" s="49"/>
      <c r="M450" s="49"/>
      <c r="N450" s="49"/>
      <c r="O450" s="50"/>
      <c r="P450" s="50"/>
      <c r="Q450" s="50"/>
      <c r="R450" s="50"/>
      <c r="S450" s="161"/>
      <c r="T450" s="50"/>
      <c r="U450" s="50"/>
      <c r="V450" s="50"/>
      <c r="W450" s="50"/>
      <c r="X450" s="50"/>
      <c r="Y450" s="51"/>
      <c r="Z450" s="52"/>
      <c r="AA450" s="52"/>
      <c r="AB450" s="52"/>
      <c r="AC450" s="52"/>
      <c r="AD450" s="231"/>
      <c r="AE450" s="49"/>
      <c r="AF450" s="84"/>
      <c r="AG450" s="49"/>
      <c r="AH450" s="49"/>
      <c r="AI450" s="49"/>
      <c r="AJ450" s="226"/>
      <c r="AK450" s="49"/>
      <c r="AL450" s="113">
        <f t="shared" ref="AL450" si="199">-0.02*Z450</f>
        <v>0</v>
      </c>
      <c r="AM450" s="113">
        <f t="shared" si="194"/>
        <v>0</v>
      </c>
      <c r="AN450" s="218"/>
      <c r="AO450" s="49"/>
      <c r="AP450" s="49"/>
      <c r="AQ450" s="84" t="str">
        <f>UPPER(RIGHT(Journal_Live[[#This Row],[DURATION ]]))</f>
        <v/>
      </c>
      <c r="AR450" s="49"/>
      <c r="AS450" s="55"/>
      <c r="AT450" s="55"/>
      <c r="AU450" s="54"/>
      <c r="AV450" s="56"/>
      <c r="AW450" s="57"/>
      <c r="AX450" s="153"/>
      <c r="AY450" s="153"/>
      <c r="AZ450" s="153"/>
      <c r="BA450" s="153"/>
      <c r="BB450" s="153"/>
      <c r="BC450" s="153"/>
      <c r="BD450" s="151"/>
      <c r="BE450" s="152"/>
      <c r="BF450" s="151"/>
      <c r="BG450" s="94">
        <f>SUM($AV$4:AV450)</f>
        <v>3421.0531371208795</v>
      </c>
      <c r="BH450" s="95">
        <f>SUM($AU$4:AU450)</f>
        <v>32527.380000000154</v>
      </c>
      <c r="BI450" s="80">
        <f>SUMIFS($AU$3:AU451,$Q$3:Q451,"F")</f>
        <v>23748.400000000001</v>
      </c>
      <c r="BJ450" s="80">
        <f>SUMIFS($AU$3:AU451,$Q$3:Q451,"S")</f>
        <v>6095.9999999999945</v>
      </c>
      <c r="BK450" s="87">
        <f>SUMIFS($AU$3:AU451,$P$3:P451,"W")</f>
        <v>23693.58000000014</v>
      </c>
      <c r="BL450" s="87">
        <f>SUMIFS($AU$3:AU451,$P$3:P451,"R")</f>
        <v>7997.9999999998608</v>
      </c>
      <c r="BM450" s="87">
        <f>SUMIFS($AU$3:AU451,$AQ$3:AQ451,"M")</f>
        <v>6699.7799999998615</v>
      </c>
      <c r="BN450" s="87">
        <f>SUMIFS($AU$3:AU451,$AQ$3:AQ451,"H")</f>
        <v>5159.2000000002827</v>
      </c>
      <c r="BO450" s="87">
        <f>SUMIFS($AU$3:AU451,$AQ$3:AQ451,"D")</f>
        <v>10070</v>
      </c>
      <c r="BP450" s="87">
        <f>SUMIFS($AU$3:AU538,$AQ$3:AQ538,"W")</f>
        <v>13472.599999999982</v>
      </c>
      <c r="BQ450" s="87">
        <f>SUMIFS($AU$3:AU451,$Q$3:Q451,"O")</f>
        <v>2058.980000000161</v>
      </c>
      <c r="BR450" s="87">
        <f>SUMIFS($AU$3:AU451,$AA$3:AA451,"*")</f>
        <v>24568.200000000041</v>
      </c>
      <c r="BS450" s="87">
        <f>SUMIFS($AU$3:AU451,$AB$3:AB451,"*")</f>
        <v>8775.1799999999312</v>
      </c>
      <c r="BT450" s="87">
        <f>SUMIFS($AU$3:AU451,$AC$3:AC451,"*")</f>
        <v>19348.400000000001</v>
      </c>
      <c r="BU450" s="87">
        <f>SUMIFS($AU$3:AU451,$AA$3:AA451,"*",$AB$3:AB451,"*")</f>
        <v>5759.9999999998217</v>
      </c>
      <c r="BV450" s="87">
        <f>SUMIFS($AU$3:AU451,$AA$3:AA451,"*",$AC$3:AC451,"*")</f>
        <v>13124.400000000001</v>
      </c>
      <c r="BW450" s="87">
        <f>SUMIFS($AU$3:AU451,$AB$3:AB451,"*",$AC$3:AC451,"*")</f>
        <v>3759.9999999999982</v>
      </c>
      <c r="BX450" s="87">
        <f>SUMIFS($AV$3:AV451,$Q$3:Q451,"F")</f>
        <v>456.63675319849239</v>
      </c>
      <c r="BY450" s="87">
        <f>SUMIFS($AV$3:AV451,$Q$3:Q451,"S")</f>
        <v>369.77638392253402</v>
      </c>
      <c r="BZ450" s="87">
        <f>SUMIFS($AV$3:AV451,$Q$3:Q451,"O")</f>
        <v>678.63999999984833</v>
      </c>
    </row>
    <row r="451" spans="1:78" ht="15.75" customHeight="1">
      <c r="A451" s="45" t="s">
        <v>1310</v>
      </c>
      <c r="B451" s="59">
        <v>45399</v>
      </c>
      <c r="C451" s="46" t="s">
        <v>1265</v>
      </c>
      <c r="D451" s="46" t="s">
        <v>186</v>
      </c>
      <c r="E451" s="66"/>
      <c r="F451" s="47"/>
      <c r="G451" s="106" t="s">
        <v>1616</v>
      </c>
      <c r="H451" s="49"/>
      <c r="I451" s="49"/>
      <c r="J451" s="49"/>
      <c r="K451" s="50"/>
      <c r="L451" s="49">
        <v>1</v>
      </c>
      <c r="M451" s="49"/>
      <c r="N451" s="49"/>
      <c r="O451" s="50" t="s">
        <v>100</v>
      </c>
      <c r="P451" s="50" t="s">
        <v>101</v>
      </c>
      <c r="Q451" s="50" t="s">
        <v>127</v>
      </c>
      <c r="R451" s="50">
        <v>25</v>
      </c>
      <c r="S451" s="161">
        <v>0</v>
      </c>
      <c r="T451" s="50">
        <v>25</v>
      </c>
      <c r="U451" s="50" t="s">
        <v>22</v>
      </c>
      <c r="V451" s="50"/>
      <c r="W451" s="50"/>
      <c r="X451" s="50"/>
      <c r="Y451" s="51">
        <f>IF(ISBLANK(O451),"",(IF(O451=UPPER("IB"),0.005,0.01)))</f>
        <v>0.01</v>
      </c>
      <c r="Z451" s="52">
        <f>IF(ISBLANK(O451),"",IF(O451="IB",8.63*200,IF(O451="IR",16*100,IF(O451="YT",20*100,IF(O451="YT-XT",24*200,IF(O451="TED",80*100,IF(O451="XT",29*200)))))))</f>
        <v>1600</v>
      </c>
      <c r="AA451" s="52"/>
      <c r="AB451" s="52"/>
      <c r="AC451" s="52" t="s">
        <v>1617</v>
      </c>
      <c r="AD451" s="231">
        <v>0.05</v>
      </c>
      <c r="AE451" s="49"/>
      <c r="AF451" s="84"/>
      <c r="AG451" s="49"/>
      <c r="AH451" s="49"/>
      <c r="AI451" s="49"/>
      <c r="AJ451" s="226"/>
      <c r="AK451" s="49"/>
      <c r="AL451" s="113">
        <f t="shared" si="130"/>
        <v>-32</v>
      </c>
      <c r="AM451" s="113">
        <f t="shared" si="194"/>
        <v>-800</v>
      </c>
      <c r="AN451" s="218"/>
      <c r="AO451" s="49"/>
      <c r="AP451" s="49" t="s">
        <v>247</v>
      </c>
      <c r="AQ451" s="84" t="s">
        <v>155</v>
      </c>
      <c r="AR451" s="49" t="s">
        <v>1526</v>
      </c>
      <c r="AS451" s="55">
        <v>7.0000000000000007E-2</v>
      </c>
      <c r="AT451" s="55">
        <f>IF(ISBLANK(AS451),,IF(U451="S",AD451-AS451,AS451-AD451))</f>
        <v>2.0000000000000004E-2</v>
      </c>
      <c r="AU451" s="54">
        <f>AV451*R451</f>
        <v>800.00000000000023</v>
      </c>
      <c r="AV451" s="56">
        <f t="shared" ref="AV451:AV453" si="200">IF(ISBLANK(AS451),,(AT451*Z451))</f>
        <v>32.000000000000007</v>
      </c>
      <c r="AW451" s="57" t="s">
        <v>101</v>
      </c>
      <c r="AX451" s="153" t="s">
        <v>1618</v>
      </c>
      <c r="AY451" s="153"/>
      <c r="AZ451" s="153"/>
      <c r="BA451" s="153"/>
      <c r="BB451" s="153" t="s">
        <v>1619</v>
      </c>
      <c r="BC451" s="153"/>
      <c r="BD451" s="151"/>
      <c r="BE451" s="152"/>
      <c r="BF451" s="151"/>
      <c r="BG451" s="94">
        <f>SUM($AV$4:AV451)</f>
        <v>3453.0531371208795</v>
      </c>
      <c r="BH451" s="95">
        <f>SUM($AU$4:AU451)</f>
        <v>33327.380000000157</v>
      </c>
      <c r="BI451" s="80">
        <f>SUMIFS($AU$3:AU452,$Q$3:Q452,"F")</f>
        <v>23748.400000000001</v>
      </c>
      <c r="BJ451" s="80">
        <f>SUMIFS($AU$3:AU452,$Q$3:Q452,"S")</f>
        <v>6095.9999999999945</v>
      </c>
      <c r="BK451" s="87">
        <f>SUMIFS($AU$3:AU452,$P$3:P452,"W")</f>
        <v>23693.58000000014</v>
      </c>
      <c r="BL451" s="87">
        <f>SUMIFS($AU$3:AU452,$P$3:P452,"R")</f>
        <v>7997.9999999998608</v>
      </c>
      <c r="BM451" s="87">
        <f>SUMIFS($AU$3:AU452,$AQ$3:AQ452,"M")</f>
        <v>6699.7799999998615</v>
      </c>
      <c r="BN451" s="87">
        <f>SUMIFS($AU$3:AU452,$AQ$3:AQ452,"H")</f>
        <v>5159.2000000002827</v>
      </c>
      <c r="BO451" s="87">
        <f>SUMIFS($AU$3:AU452,$AQ$3:AQ452,"D")</f>
        <v>10070</v>
      </c>
      <c r="BP451" s="87">
        <f>SUMIFS($AU$3:AU539,$AQ$3:AQ539,"W")</f>
        <v>13472.599999999982</v>
      </c>
      <c r="BQ451" s="87">
        <f>SUMIFS($AU$3:AU452,$Q$3:Q452,"O")</f>
        <v>2058.980000000161</v>
      </c>
      <c r="BR451" s="87">
        <f>SUMIFS($AU$3:AU452,$AA$3:AA452,"*")</f>
        <v>24568.200000000041</v>
      </c>
      <c r="BS451" s="87">
        <f>SUMIFS($AU$3:AU452,$AB$3:AB452,"*")</f>
        <v>8775.1799999999312</v>
      </c>
      <c r="BT451" s="87">
        <f>SUMIFS($AU$3:AU452,$AC$3:AC452,"*")</f>
        <v>19348.400000000001</v>
      </c>
      <c r="BU451" s="87">
        <f>SUMIFS($AU$3:AU452,$AA$3:AA452,"*",$AB$3:AB452,"*")</f>
        <v>5759.9999999998217</v>
      </c>
      <c r="BV451" s="87">
        <f>SUMIFS($AU$3:AU452,$AA$3:AA452,"*",$AC$3:AC452,"*")</f>
        <v>13124.400000000001</v>
      </c>
      <c r="BW451" s="87">
        <f>SUMIFS($AU$3:AU452,$AB$3:AB452,"*",$AC$3:AC452,"*")</f>
        <v>3759.9999999999982</v>
      </c>
      <c r="BX451" s="87">
        <f>SUMIFS($AV$3:AV452,$Q$3:Q452,"F")</f>
        <v>456.63675319849239</v>
      </c>
      <c r="BY451" s="87">
        <f>SUMIFS($AV$3:AV452,$Q$3:Q452,"S")</f>
        <v>369.77638392253402</v>
      </c>
      <c r="BZ451" s="87">
        <f>SUMIFS($AV$3:AV452,$Q$3:Q452,"O")</f>
        <v>678.63999999984833</v>
      </c>
    </row>
    <row r="452" spans="1:78" ht="15.75" customHeight="1">
      <c r="A452" s="45" t="s">
        <v>1310</v>
      </c>
      <c r="B452" s="59">
        <v>45399</v>
      </c>
      <c r="C452" s="46" t="s">
        <v>1620</v>
      </c>
      <c r="D452" s="46" t="s">
        <v>186</v>
      </c>
      <c r="E452" s="66"/>
      <c r="F452" s="47"/>
      <c r="G452" s="106" t="s">
        <v>227</v>
      </c>
      <c r="H452" s="49"/>
      <c r="I452" s="49"/>
      <c r="J452" s="49"/>
      <c r="K452" s="50"/>
      <c r="L452" s="49">
        <v>1</v>
      </c>
      <c r="M452" s="49"/>
      <c r="N452" s="49"/>
      <c r="O452" s="50" t="s">
        <v>100</v>
      </c>
      <c r="P452" s="50" t="s">
        <v>101</v>
      </c>
      <c r="Q452" s="50" t="s">
        <v>102</v>
      </c>
      <c r="R452" s="50">
        <v>15</v>
      </c>
      <c r="S452" s="161">
        <v>15</v>
      </c>
      <c r="T452" s="50">
        <v>15</v>
      </c>
      <c r="U452" s="50" t="s">
        <v>22</v>
      </c>
      <c r="V452" s="50"/>
      <c r="W452" s="50"/>
      <c r="X452" s="50"/>
      <c r="Y452" s="51">
        <f>IF(ISBLANK(O452),"",(IF(O452=UPPER("IB"),0.005,0.01)))</f>
        <v>0.01</v>
      </c>
      <c r="Z452" s="52">
        <f>IF(ISBLANK(O452),"",IF(O452="IB",8.63*200,IF(O452="IR",16*100,IF(O452="YT",20*100,IF(O452="YT-XT",24*200,IF(O452="TED",80*100,IF(O452="XT",29*200)))))))</f>
        <v>1600</v>
      </c>
      <c r="AA452" s="52"/>
      <c r="AB452" s="52" t="s">
        <v>1572</v>
      </c>
      <c r="AC452" s="52"/>
      <c r="AD452" s="231">
        <v>-0.06</v>
      </c>
      <c r="AE452" s="49"/>
      <c r="AF452" s="84"/>
      <c r="AG452" s="49"/>
      <c r="AH452" s="49"/>
      <c r="AI452" s="49"/>
      <c r="AJ452" s="226"/>
      <c r="AK452" s="49"/>
      <c r="AL452" s="113">
        <f t="shared" si="130"/>
        <v>-32</v>
      </c>
      <c r="AM452" s="113">
        <f t="shared" si="194"/>
        <v>0</v>
      </c>
      <c r="AN452" s="218"/>
      <c r="AO452" s="49"/>
      <c r="AP452" s="49"/>
      <c r="AQ452" s="84" t="s">
        <v>142</v>
      </c>
      <c r="AR452" s="49" t="s">
        <v>1621</v>
      </c>
      <c r="AS452" s="55">
        <v>-0.06</v>
      </c>
      <c r="AT452" s="55">
        <f>IF(ISBLANK(AS452),,IF(U452="S",AD452-AS452,AS452-AD452))</f>
        <v>0</v>
      </c>
      <c r="AU452" s="54">
        <f>AV452*R452</f>
        <v>0</v>
      </c>
      <c r="AV452" s="56">
        <f t="shared" si="200"/>
        <v>0</v>
      </c>
      <c r="AW452" s="57" t="s">
        <v>155</v>
      </c>
      <c r="AX452" s="153"/>
      <c r="AY452" s="153"/>
      <c r="AZ452" s="153"/>
      <c r="BA452" s="153"/>
      <c r="BB452" s="153"/>
      <c r="BC452" s="153"/>
      <c r="BD452" s="151"/>
      <c r="BE452" s="152"/>
      <c r="BF452" s="151"/>
      <c r="BG452" s="94">
        <f>SUM($AV$4:AV452)</f>
        <v>3453.0531371208795</v>
      </c>
      <c r="BH452" s="95">
        <f>SUM($AU$4:AU452)</f>
        <v>33327.380000000157</v>
      </c>
      <c r="BI452" s="80">
        <f>SUMIFS($AU$3:AU453,$Q$3:Q453,"F")</f>
        <v>23748.400000000001</v>
      </c>
      <c r="BJ452" s="80">
        <f>SUMIFS($AU$3:AU453,$Q$3:Q453,"S")</f>
        <v>6975.9999999999945</v>
      </c>
      <c r="BK452" s="87">
        <f>SUMIFS($AU$3:AU453,$P$3:P453,"W")</f>
        <v>24573.58000000014</v>
      </c>
      <c r="BL452" s="87">
        <f>SUMIFS($AU$3:AU453,$P$3:P453,"R")</f>
        <v>7997.9999999998608</v>
      </c>
      <c r="BM452" s="87">
        <f>SUMIFS($AU$3:AU453,$AQ$3:AQ453,"M")</f>
        <v>6699.7799999998615</v>
      </c>
      <c r="BN452" s="87">
        <f>SUMIFS($AU$3:AU453,$AQ$3:AQ453,"H")</f>
        <v>5159.2000000002827</v>
      </c>
      <c r="BO452" s="87">
        <f>SUMIFS($AU$3:AU453,$AQ$3:AQ453,"D")</f>
        <v>10950</v>
      </c>
      <c r="BP452" s="87">
        <f>SUMIFS($AU$3:AU540,$AQ$3:AQ540,"W")</f>
        <v>13472.599999999982</v>
      </c>
      <c r="BQ452" s="87">
        <f>SUMIFS($AU$3:AU453,$Q$3:Q453,"O")</f>
        <v>2058.980000000161</v>
      </c>
      <c r="BR452" s="87">
        <f>SUMIFS($AU$3:AU453,$AA$3:AA453,"*")</f>
        <v>24568.200000000041</v>
      </c>
      <c r="BS452" s="87">
        <f>SUMIFS($AU$3:AU453,$AB$3:AB453,"*")</f>
        <v>9655.1799999999312</v>
      </c>
      <c r="BT452" s="87">
        <f>SUMIFS($AU$3:AU453,$AC$3:AC453,"*")</f>
        <v>20228.400000000001</v>
      </c>
      <c r="BU452" s="87">
        <f>SUMIFS($AU$3:AU453,$AA$3:AA453,"*",$AB$3:AB453,"*")</f>
        <v>5759.9999999998217</v>
      </c>
      <c r="BV452" s="87">
        <f>SUMIFS($AU$3:AU453,$AA$3:AA453,"*",$AC$3:AC453,"*")</f>
        <v>13124.400000000001</v>
      </c>
      <c r="BW452" s="87">
        <f>SUMIFS($AU$3:AU453,$AB$3:AB453,"*",$AC$3:AC453,"*")</f>
        <v>4639.9999999999982</v>
      </c>
      <c r="BX452" s="87">
        <f>SUMIFS($AV$3:AV453,$Q$3:Q453,"F")</f>
        <v>456.63675319849239</v>
      </c>
      <c r="BY452" s="87">
        <f>SUMIFS($AV$3:AV453,$Q$3:Q453,"S")</f>
        <v>376.81638392253404</v>
      </c>
      <c r="BZ452" s="87">
        <f>SUMIFS($AV$3:AV453,$Q$3:Q453,"O")</f>
        <v>678.63999999984833</v>
      </c>
    </row>
    <row r="453" spans="1:78" ht="15.75" customHeight="1">
      <c r="A453" s="45" t="s">
        <v>1310</v>
      </c>
      <c r="B453" s="59">
        <v>45399</v>
      </c>
      <c r="C453" s="46" t="s">
        <v>1620</v>
      </c>
      <c r="D453" s="46" t="s">
        <v>186</v>
      </c>
      <c r="E453" s="66"/>
      <c r="F453" s="47"/>
      <c r="G453" s="106" t="s">
        <v>1516</v>
      </c>
      <c r="H453" s="49"/>
      <c r="I453" s="49"/>
      <c r="J453" s="49"/>
      <c r="K453" s="50"/>
      <c r="L453" s="49">
        <v>1</v>
      </c>
      <c r="M453" s="49"/>
      <c r="N453" s="49"/>
      <c r="O453" s="50" t="s">
        <v>100</v>
      </c>
      <c r="P453" s="50" t="s">
        <v>101</v>
      </c>
      <c r="Q453" s="50" t="s">
        <v>102</v>
      </c>
      <c r="R453" s="50">
        <v>125</v>
      </c>
      <c r="S453" s="161">
        <v>60</v>
      </c>
      <c r="T453" s="50">
        <v>45</v>
      </c>
      <c r="U453" s="50" t="s">
        <v>22</v>
      </c>
      <c r="V453" s="50"/>
      <c r="W453" s="50"/>
      <c r="X453" s="50"/>
      <c r="Y453" s="51">
        <f>IF(ISBLANK(O453),"",(IF(O453=UPPER("IB"),0.005,0.01)))</f>
        <v>0.01</v>
      </c>
      <c r="Z453" s="52">
        <f>IF(ISBLANK(O453),"",IF(O453="IB",8.63*200,IF(O453="IR",16*100,IF(O453="YT",20*100,IF(O453="YT-XT",24*200,IF(O453="TED",80*100,IF(O453="XT",29*200)))))))</f>
        <v>1600</v>
      </c>
      <c r="AA453" s="52"/>
      <c r="AB453" s="52" t="s">
        <v>1572</v>
      </c>
      <c r="AC453" s="52" t="s">
        <v>1622</v>
      </c>
      <c r="AD453" s="231">
        <f>(0.01*75+0.02*50)/125</f>
        <v>1.4E-2</v>
      </c>
      <c r="AE453" s="49"/>
      <c r="AF453" s="84"/>
      <c r="AG453" s="49"/>
      <c r="AH453" s="49"/>
      <c r="AI453" s="49"/>
      <c r="AJ453" s="226"/>
      <c r="AK453" s="49"/>
      <c r="AL453" s="113">
        <f t="shared" ref="AL453" si="201">-0.02*Z453</f>
        <v>-32</v>
      </c>
      <c r="AM453" s="113">
        <f t="shared" si="194"/>
        <v>-2080</v>
      </c>
      <c r="AN453" s="218"/>
      <c r="AO453" s="49"/>
      <c r="AP453" s="49" t="s">
        <v>265</v>
      </c>
      <c r="AQ453" s="84" t="s">
        <v>155</v>
      </c>
      <c r="AR453" s="49" t="s">
        <v>1623</v>
      </c>
      <c r="AS453" s="55">
        <f>(0.01*20+0.02*20+0.02*20+0.02*65)/125</f>
        <v>1.84E-2</v>
      </c>
      <c r="AT453" s="55">
        <f>IF(ISBLANK(AS453),,IF(U453="S",AD453-AS453,AS453-AD453))</f>
        <v>4.3999999999999994E-3</v>
      </c>
      <c r="AU453" s="54">
        <f>AV453*R453</f>
        <v>879.99999999999989</v>
      </c>
      <c r="AV453" s="56">
        <f t="shared" si="200"/>
        <v>7.0399999999999991</v>
      </c>
      <c r="AW453" s="57" t="s">
        <v>101</v>
      </c>
      <c r="AX453" s="153"/>
      <c r="AY453" s="153"/>
      <c r="AZ453" s="153"/>
      <c r="BA453" s="153"/>
      <c r="BB453" s="153"/>
      <c r="BC453" s="153"/>
      <c r="BD453" s="151"/>
      <c r="BE453" s="152"/>
      <c r="BF453" s="151"/>
      <c r="BG453" s="94">
        <f>SUM($AV$4:AV453)</f>
        <v>3460.0931371208794</v>
      </c>
      <c r="BH453" s="95">
        <f>SUM($AU$4:AU453)</f>
        <v>34207.380000000157</v>
      </c>
      <c r="BI453" s="80">
        <f>SUMIFS($AU$3:AU454,$Q$3:Q454,"F")</f>
        <v>23748.400000000001</v>
      </c>
      <c r="BJ453" s="80">
        <f>SUMIFS($AU$3:AU454,$Q$3:Q454,"S")</f>
        <v>6975.9999999999945</v>
      </c>
      <c r="BK453" s="87">
        <f>SUMIFS($AU$3:AU454,$P$3:P454,"W")</f>
        <v>24573.58000000014</v>
      </c>
      <c r="BL453" s="87">
        <f>SUMIFS($AU$3:AU454,$P$3:P454,"R")</f>
        <v>7997.9999999998608</v>
      </c>
      <c r="BM453" s="87">
        <f>SUMIFS($AU$3:AU454,$AQ$3:AQ454,"M")</f>
        <v>6699.7799999998615</v>
      </c>
      <c r="BN453" s="87">
        <f>SUMIFS($AU$3:AU454,$AQ$3:AQ454,"H")</f>
        <v>5159.2000000002827</v>
      </c>
      <c r="BO453" s="87">
        <f>SUMIFS($AU$3:AU454,$AQ$3:AQ454,"D")</f>
        <v>10950</v>
      </c>
      <c r="BP453" s="87">
        <f>SUMIFS($AU$3:AU541,$AQ$3:AQ541,"W")</f>
        <v>13472.599999999982</v>
      </c>
      <c r="BQ453" s="87">
        <f>SUMIFS($AU$3:AU454,$Q$3:Q454,"O")</f>
        <v>2058.980000000161</v>
      </c>
      <c r="BR453" s="87">
        <f>SUMIFS($AU$3:AU454,$AA$3:AA454,"*")</f>
        <v>24568.200000000041</v>
      </c>
      <c r="BS453" s="87">
        <f>SUMIFS($AU$3:AU454,$AB$3:AB454,"*")</f>
        <v>9655.1799999999312</v>
      </c>
      <c r="BT453" s="87">
        <f>SUMIFS($AU$3:AU454,$AC$3:AC454,"*")</f>
        <v>20228.400000000001</v>
      </c>
      <c r="BU453" s="87">
        <f>SUMIFS($AU$3:AU454,$AA$3:AA454,"*",$AB$3:AB454,"*")</f>
        <v>5759.9999999998217</v>
      </c>
      <c r="BV453" s="87">
        <f>SUMIFS($AU$3:AU454,$AA$3:AA454,"*",$AC$3:AC454,"*")</f>
        <v>13124.400000000001</v>
      </c>
      <c r="BW453" s="87">
        <f>SUMIFS($AU$3:AU454,$AB$3:AB454,"*",$AC$3:AC454,"*")</f>
        <v>4639.9999999999982</v>
      </c>
      <c r="BX453" s="87">
        <f>SUMIFS($AV$3:AV454,$Q$3:Q454,"F")</f>
        <v>456.63675319849239</v>
      </c>
      <c r="BY453" s="87">
        <f>SUMIFS($AV$3:AV454,$Q$3:Q454,"S")</f>
        <v>376.81638392253404</v>
      </c>
      <c r="BZ453" s="87">
        <f>SUMIFS($AV$3:AV454,$Q$3:Q454,"O")</f>
        <v>678.63999999984833</v>
      </c>
    </row>
    <row r="454" spans="1:78" ht="15.75" customHeight="1">
      <c r="A454" s="45" t="s">
        <v>1310</v>
      </c>
      <c r="B454" s="59">
        <v>45400</v>
      </c>
      <c r="C454" s="46" t="s">
        <v>194</v>
      </c>
      <c r="D454" s="46" t="s">
        <v>107</v>
      </c>
      <c r="E454" s="66" t="s">
        <v>1624</v>
      </c>
      <c r="F454" s="47"/>
      <c r="G454" s="48"/>
      <c r="H454" s="49"/>
      <c r="I454" s="49"/>
      <c r="J454" s="49"/>
      <c r="K454" s="50"/>
      <c r="L454" s="49"/>
      <c r="M454" s="49"/>
      <c r="N454" s="49"/>
      <c r="O454" s="50"/>
      <c r="P454" s="50"/>
      <c r="Q454" s="50"/>
      <c r="R454" s="50"/>
      <c r="S454" s="50"/>
      <c r="T454" s="50"/>
      <c r="U454" s="50"/>
      <c r="V454" s="50"/>
      <c r="W454" s="50"/>
      <c r="X454" s="50"/>
      <c r="Y454" s="50"/>
      <c r="Z454" s="50"/>
      <c r="AA454" s="52"/>
      <c r="AB454" s="52"/>
      <c r="AC454" s="52"/>
      <c r="AD454" s="231"/>
      <c r="AE454" s="49"/>
      <c r="AF454" s="84"/>
      <c r="AG454" s="49"/>
      <c r="AH454" s="49"/>
      <c r="AI454" s="49"/>
      <c r="AJ454" s="226"/>
      <c r="AK454" s="49"/>
      <c r="AL454" s="113">
        <f t="shared" si="130"/>
        <v>0</v>
      </c>
      <c r="AM454" s="113">
        <f t="shared" si="194"/>
        <v>0</v>
      </c>
      <c r="AN454" s="218"/>
      <c r="AO454" s="49"/>
      <c r="AP454" s="49"/>
      <c r="AQ454" s="84" t="str">
        <f>UPPER(RIGHT(Journal_Live[[#This Row],[DURATION ]]))</f>
        <v/>
      </c>
      <c r="AR454" s="49"/>
      <c r="AS454" s="55"/>
      <c r="AT454" s="55"/>
      <c r="AU454" s="54"/>
      <c r="AV454" s="56"/>
      <c r="AW454" s="57"/>
      <c r="AX454" s="153"/>
      <c r="AY454" s="153"/>
      <c r="AZ454" s="153"/>
      <c r="BA454" s="153"/>
      <c r="BB454" s="153"/>
      <c r="BC454" s="153"/>
      <c r="BD454" s="151"/>
      <c r="BE454" s="152"/>
      <c r="BF454" s="151"/>
      <c r="BG454" s="94">
        <f>SUM($AV$4:AV454)</f>
        <v>3460.0931371208794</v>
      </c>
      <c r="BH454" s="95">
        <f>SUM($AU$4:AU454)</f>
        <v>34207.380000000157</v>
      </c>
      <c r="BI454" s="80">
        <f>SUMIFS($AU$3:AU455,$Q$3:Q455,"F")</f>
        <v>23748.400000000001</v>
      </c>
      <c r="BJ454" s="80">
        <f>SUMIFS($AU$3:AU455,$Q$3:Q455,"S")</f>
        <v>6975.9999999999945</v>
      </c>
      <c r="BK454" s="87">
        <f>SUMIFS($AU$3:AU455,$P$3:P455,"W")</f>
        <v>24573.58000000014</v>
      </c>
      <c r="BL454" s="87">
        <f>SUMIFS($AU$3:AU455,$P$3:P455,"R")</f>
        <v>7997.9999999998608</v>
      </c>
      <c r="BM454" s="87">
        <f>SUMIFS($AU$3:AU455,$AQ$3:AQ455,"M")</f>
        <v>6699.7799999998615</v>
      </c>
      <c r="BN454" s="87">
        <f>SUMIFS($AU$3:AU455,$AQ$3:AQ455,"H")</f>
        <v>5159.2000000002827</v>
      </c>
      <c r="BO454" s="87">
        <f>SUMIFS($AU$3:AU455,$AQ$3:AQ455,"D")</f>
        <v>10950</v>
      </c>
      <c r="BP454" s="87">
        <f>SUMIFS($AU$3:AU542,$AQ$3:AQ542,"W")</f>
        <v>13472.599999999982</v>
      </c>
      <c r="BQ454" s="87">
        <f>SUMIFS($AU$3:AU455,$Q$3:Q455,"O")</f>
        <v>2058.980000000161</v>
      </c>
      <c r="BR454" s="87">
        <f>SUMIFS($AU$3:AU455,$AA$3:AA455,"*")</f>
        <v>24568.200000000041</v>
      </c>
      <c r="BS454" s="87">
        <f>SUMIFS($AU$3:AU455,$AB$3:AB455,"*")</f>
        <v>9655.1799999999312</v>
      </c>
      <c r="BT454" s="87">
        <f>SUMIFS($AU$3:AU455,$AC$3:AC455,"*")</f>
        <v>20228.400000000001</v>
      </c>
      <c r="BU454" s="87">
        <f>SUMIFS($AU$3:AU455,$AA$3:AA455,"*",$AB$3:AB455,"*")</f>
        <v>5759.9999999998217</v>
      </c>
      <c r="BV454" s="87">
        <f>SUMIFS($AU$3:AU455,$AA$3:AA455,"*",$AC$3:AC455,"*")</f>
        <v>13124.400000000001</v>
      </c>
      <c r="BW454" s="87">
        <f>SUMIFS($AU$3:AU455,$AB$3:AB455,"*",$AC$3:AC455,"*")</f>
        <v>4639.9999999999982</v>
      </c>
      <c r="BX454" s="87">
        <f>SUMIFS($AV$3:AV455,$Q$3:Q455,"F")</f>
        <v>456.63675319849239</v>
      </c>
      <c r="BY454" s="87">
        <f>SUMIFS($AV$3:AV455,$Q$3:Q455,"S")</f>
        <v>376.81638392253404</v>
      </c>
      <c r="BZ454" s="87">
        <f>SUMIFS($AV$3:AV455,$Q$3:Q455,"O")</f>
        <v>678.63999999984833</v>
      </c>
    </row>
    <row r="455" spans="1:78" ht="15.75" customHeight="1">
      <c r="A455" s="45" t="s">
        <v>1310</v>
      </c>
      <c r="B455" s="59"/>
      <c r="C455" s="46"/>
      <c r="D455" s="46"/>
      <c r="E455" s="66" t="s">
        <v>1625</v>
      </c>
      <c r="F455" s="47"/>
      <c r="G455" s="48"/>
      <c r="H455" s="49"/>
      <c r="I455" s="49"/>
      <c r="J455" s="49"/>
      <c r="K455" s="50"/>
      <c r="L455" s="49"/>
      <c r="M455" s="49"/>
      <c r="N455" s="49"/>
      <c r="O455" s="50"/>
      <c r="P455" s="50"/>
      <c r="Q455" s="50"/>
      <c r="R455" s="50"/>
      <c r="S455" s="50"/>
      <c r="T455" s="50"/>
      <c r="U455" s="50"/>
      <c r="V455" s="50"/>
      <c r="W455" s="50"/>
      <c r="X455" s="50"/>
      <c r="Y455" s="50"/>
      <c r="Z455" s="50"/>
      <c r="AA455" s="52"/>
      <c r="AB455" s="52"/>
      <c r="AC455" s="52"/>
      <c r="AD455" s="231"/>
      <c r="AE455" s="49"/>
      <c r="AF455" s="84"/>
      <c r="AG455" s="49"/>
      <c r="AH455" s="49"/>
      <c r="AI455" s="49"/>
      <c r="AJ455" s="226"/>
      <c r="AK455" s="49"/>
      <c r="AL455" s="113">
        <f t="shared" si="130"/>
        <v>0</v>
      </c>
      <c r="AM455" s="113">
        <f t="shared" si="194"/>
        <v>0</v>
      </c>
      <c r="AN455" s="218"/>
      <c r="AO455" s="49"/>
      <c r="AP455" s="49"/>
      <c r="AQ455" s="84" t="str">
        <f>UPPER(RIGHT(Journal_Live[[#This Row],[DURATION ]]))</f>
        <v/>
      </c>
      <c r="AR455" s="49"/>
      <c r="AS455" s="55"/>
      <c r="AT455" s="55"/>
      <c r="AU455" s="54"/>
      <c r="AV455" s="56"/>
      <c r="AW455" s="57"/>
      <c r="AX455" s="153"/>
      <c r="AY455" s="153"/>
      <c r="AZ455" s="153"/>
      <c r="BA455" s="153"/>
      <c r="BB455" s="153"/>
      <c r="BC455" s="153"/>
      <c r="BD455" s="151"/>
      <c r="BE455" s="152"/>
      <c r="BF455" s="151"/>
      <c r="BG455" s="94">
        <f>SUM($AV$4:AV455)</f>
        <v>3460.0931371208794</v>
      </c>
      <c r="BH455" s="95">
        <f>SUM($AU$4:AU455)</f>
        <v>34207.380000000157</v>
      </c>
      <c r="BI455" s="80">
        <f>SUMIFS($AU$3:AU456,$Q$3:Q456,"F")</f>
        <v>23748.400000000001</v>
      </c>
      <c r="BJ455" s="80">
        <f>SUMIFS($AU$3:AU456,$Q$3:Q456,"S")</f>
        <v>8175.9999999999945</v>
      </c>
      <c r="BK455" s="87">
        <f>SUMIFS($AU$3:AU456,$P$3:P456,"W")</f>
        <v>24573.58000000014</v>
      </c>
      <c r="BL455" s="87">
        <f>SUMIFS($AU$3:AU456,$P$3:P456,"R")</f>
        <v>9197.9999999998618</v>
      </c>
      <c r="BM455" s="87">
        <f>SUMIFS($AU$3:AU456,$AQ$3:AQ456,"M")</f>
        <v>6699.7799999998615</v>
      </c>
      <c r="BN455" s="87">
        <f>SUMIFS($AU$3:AU456,$AQ$3:AQ456,"H")</f>
        <v>5159.2000000002827</v>
      </c>
      <c r="BO455" s="87">
        <f>SUMIFS($AU$3:AU456,$AQ$3:AQ456,"D")</f>
        <v>12150</v>
      </c>
      <c r="BP455" s="87">
        <f>SUMIFS($AU$3:AU543,$AQ$3:AQ543,"W")</f>
        <v>13472.599999999982</v>
      </c>
      <c r="BQ455" s="87">
        <f>SUMIFS($AU$3:AU456,$Q$3:Q456,"O")</f>
        <v>2058.980000000161</v>
      </c>
      <c r="BR455" s="87">
        <f>SUMIFS($AU$3:AU456,$AA$3:AA456,"*")</f>
        <v>25768.200000000041</v>
      </c>
      <c r="BS455" s="87">
        <f>SUMIFS($AU$3:AU456,$AB$3:AB456,"*")</f>
        <v>9655.1799999999312</v>
      </c>
      <c r="BT455" s="87">
        <f>SUMIFS($AU$3:AU456,$AC$3:AC456,"*")</f>
        <v>21428.400000000001</v>
      </c>
      <c r="BU455" s="87">
        <f>SUMIFS($AU$3:AU456,$AA$3:AA456,"*",$AB$3:AB456,"*")</f>
        <v>5759.9999999998217</v>
      </c>
      <c r="BV455" s="87">
        <f>SUMIFS($AU$3:AU456,$AA$3:AA456,"*",$AC$3:AC456,"*")</f>
        <v>14324.400000000001</v>
      </c>
      <c r="BW455" s="87">
        <f>SUMIFS($AU$3:AU456,$AB$3:AB456,"*",$AC$3:AC456,"*")</f>
        <v>4639.9999999999982</v>
      </c>
      <c r="BX455" s="87">
        <f>SUMIFS($AV$3:AV456,$Q$3:Q456,"F")</f>
        <v>456.63675319849239</v>
      </c>
      <c r="BY455" s="87">
        <f>SUMIFS($AV$3:AV456,$Q$3:Q456,"S")</f>
        <v>392.81638392253404</v>
      </c>
      <c r="BZ455" s="87">
        <f>SUMIFS($AV$3:AV456,$Q$3:Q456,"O")</f>
        <v>678.63999999984833</v>
      </c>
    </row>
    <row r="456" spans="1:78" ht="15.75" customHeight="1">
      <c r="A456" s="45" t="s">
        <v>1310</v>
      </c>
      <c r="B456" s="59">
        <v>45400</v>
      </c>
      <c r="C456" s="46" t="s">
        <v>1626</v>
      </c>
      <c r="D456" s="46" t="s">
        <v>107</v>
      </c>
      <c r="E456" s="66"/>
      <c r="F456" s="47"/>
      <c r="G456" s="104" t="s">
        <v>1069</v>
      </c>
      <c r="H456" s="49"/>
      <c r="I456" s="49"/>
      <c r="J456" s="49"/>
      <c r="K456" s="50"/>
      <c r="L456" s="49">
        <v>1</v>
      </c>
      <c r="M456" s="49"/>
      <c r="N456" s="49"/>
      <c r="O456" s="50" t="s">
        <v>100</v>
      </c>
      <c r="P456" s="50" t="s">
        <v>126</v>
      </c>
      <c r="Q456" s="50" t="s">
        <v>102</v>
      </c>
      <c r="R456" s="50">
        <v>75</v>
      </c>
      <c r="S456" s="161">
        <v>0</v>
      </c>
      <c r="T456" s="50">
        <v>75</v>
      </c>
      <c r="U456" s="50" t="s">
        <v>22</v>
      </c>
      <c r="V456" s="50"/>
      <c r="W456" s="50"/>
      <c r="X456" s="50"/>
      <c r="Y456" s="51">
        <f>IF(ISBLANK(O456),"",(IF(O456=UPPER("IB"),0.005,0.01)))</f>
        <v>0.01</v>
      </c>
      <c r="Z456" s="52">
        <f>IF(ISBLANK(O456),"",IF(O456="IB",8.63*200,IF(O456="IR",16*100,IF(O456="YT",20*100,IF(O456="YT-XT",24*200,IF(O456="TED",80*100,IF(O456="XT",29*200)))))))</f>
        <v>1600</v>
      </c>
      <c r="AA456" s="52" t="s">
        <v>1627</v>
      </c>
      <c r="AB456" s="52"/>
      <c r="AC456" s="52" t="s">
        <v>1281</v>
      </c>
      <c r="AD456" s="231">
        <v>-0.04</v>
      </c>
      <c r="AE456" s="49"/>
      <c r="AF456" s="84"/>
      <c r="AG456" s="49"/>
      <c r="AH456" s="49"/>
      <c r="AI456" s="49"/>
      <c r="AJ456" s="226"/>
      <c r="AK456" s="49"/>
      <c r="AL456" s="113">
        <f t="shared" si="130"/>
        <v>-32</v>
      </c>
      <c r="AM456" s="113">
        <f t="shared" si="194"/>
        <v>-2400</v>
      </c>
      <c r="AN456" s="218"/>
      <c r="AO456" s="49"/>
      <c r="AP456" s="49" t="s">
        <v>297</v>
      </c>
      <c r="AQ456" s="84" t="s">
        <v>155</v>
      </c>
      <c r="AR456" s="49"/>
      <c r="AS456" s="55">
        <v>-0.03</v>
      </c>
      <c r="AT456" s="55">
        <f>IF(ISBLANK(AS456),,IF(U456="S",AD456-AS456,AS456-AD456))</f>
        <v>1.0000000000000002E-2</v>
      </c>
      <c r="AU456" s="54">
        <f>AV456*R456</f>
        <v>1200.0000000000002</v>
      </c>
      <c r="AV456" s="56">
        <f t="shared" ref="AV456:AV457" si="202">IF(ISBLANK(AS456),,(AT456*Z456))</f>
        <v>16.000000000000004</v>
      </c>
      <c r="AW456" s="57" t="s">
        <v>101</v>
      </c>
      <c r="AX456" s="153"/>
      <c r="AY456" s="153"/>
      <c r="AZ456" s="153"/>
      <c r="BA456" s="153"/>
      <c r="BB456" s="153"/>
      <c r="BC456" s="153"/>
      <c r="BD456" s="151"/>
      <c r="BE456" s="152"/>
      <c r="BF456" s="151"/>
      <c r="BG456" s="94">
        <f>SUM($AV$4:AV456)</f>
        <v>3476.0931371208794</v>
      </c>
      <c r="BH456" s="95">
        <f>SUM($AU$4:AU456)</f>
        <v>35407.380000000157</v>
      </c>
      <c r="BI456" s="80">
        <f>SUMIFS($AU$3:AU457,$Q$3:Q457,"F")</f>
        <v>23748.400000000001</v>
      </c>
      <c r="BJ456" s="80">
        <f>SUMIFS($AU$3:AU457,$Q$3:Q457,"S")</f>
        <v>8175.9999999999945</v>
      </c>
      <c r="BK456" s="87">
        <f>SUMIFS($AU$3:AU457,$P$3:P457,"W")</f>
        <v>24573.58000000014</v>
      </c>
      <c r="BL456" s="87">
        <f>SUMIFS($AU$3:AU457,$P$3:P457,"R")</f>
        <v>9197.9999999998618</v>
      </c>
      <c r="BM456" s="87">
        <f>SUMIFS($AU$3:AU457,$AQ$3:AQ457,"M")</f>
        <v>6525.7799999998551</v>
      </c>
      <c r="BN456" s="87">
        <f>SUMIFS($AU$3:AU457,$AQ$3:AQ457,"H")</f>
        <v>5159.2000000002827</v>
      </c>
      <c r="BO456" s="87">
        <f>SUMIFS($AU$3:AU457,$AQ$3:AQ457,"D")</f>
        <v>12150</v>
      </c>
      <c r="BP456" s="87">
        <f>SUMIFS($AU$3:AU544,$AQ$3:AQ544,"W")</f>
        <v>13472.599999999982</v>
      </c>
      <c r="BQ456" s="87">
        <f>SUMIFS($AU$3:AU457,$Q$3:Q457,"O")</f>
        <v>1884.9800000001544</v>
      </c>
      <c r="BR456" s="87">
        <f>SUMIFS($AU$3:AU457,$AA$3:AA457,"*")</f>
        <v>25594.200000000033</v>
      </c>
      <c r="BS456" s="87">
        <f>SUMIFS($AU$3:AU457,$AB$3:AB457,"*")</f>
        <v>9655.1799999999312</v>
      </c>
      <c r="BT456" s="87">
        <f>SUMIFS($AU$3:AU457,$AC$3:AC457,"*")</f>
        <v>21428.400000000001</v>
      </c>
      <c r="BU456" s="87">
        <f>SUMIFS($AU$3:AU457,$AA$3:AA457,"*",$AB$3:AB457,"*")</f>
        <v>5759.9999999998217</v>
      </c>
      <c r="BV456" s="87">
        <f>SUMIFS($AU$3:AU457,$AA$3:AA457,"*",$AC$3:AC457,"*")</f>
        <v>14324.400000000001</v>
      </c>
      <c r="BW456" s="87">
        <f>SUMIFS($AU$3:AU457,$AB$3:AB457,"*",$AC$3:AC457,"*")</f>
        <v>4639.9999999999982</v>
      </c>
      <c r="BX456" s="87">
        <f>SUMIFS($AV$3:AV457,$Q$3:Q457,"F")</f>
        <v>456.63675319849239</v>
      </c>
      <c r="BY456" s="87">
        <f>SUMIFS($AV$3:AV457,$Q$3:Q457,"S")</f>
        <v>392.81638392253404</v>
      </c>
      <c r="BZ456" s="87">
        <f>SUMIFS($AV$3:AV457,$Q$3:Q457,"O")</f>
        <v>591.63999999984503</v>
      </c>
    </row>
    <row r="457" spans="1:78" ht="15.75" customHeight="1">
      <c r="A457" s="45" t="s">
        <v>1310</v>
      </c>
      <c r="B457" s="59">
        <v>45400</v>
      </c>
      <c r="C457" s="46" t="s">
        <v>147</v>
      </c>
      <c r="D457" s="46" t="s">
        <v>107</v>
      </c>
      <c r="E457" s="66"/>
      <c r="F457" s="47"/>
      <c r="G457" s="48" t="s">
        <v>1169</v>
      </c>
      <c r="H457" s="49"/>
      <c r="I457" s="49"/>
      <c r="J457" s="49">
        <v>1</v>
      </c>
      <c r="K457" s="50"/>
      <c r="L457" s="49">
        <v>3</v>
      </c>
      <c r="M457" s="49"/>
      <c r="N457" s="49"/>
      <c r="O457" s="50" t="s">
        <v>196</v>
      </c>
      <c r="P457" s="50" t="s">
        <v>197</v>
      </c>
      <c r="Q457" s="50" t="s">
        <v>198</v>
      </c>
      <c r="R457" s="50">
        <v>2</v>
      </c>
      <c r="S457" s="50">
        <v>0</v>
      </c>
      <c r="T457" s="50">
        <v>2</v>
      </c>
      <c r="U457" s="50" t="s">
        <v>22</v>
      </c>
      <c r="V457" s="50"/>
      <c r="W457" s="50"/>
      <c r="X457" s="50"/>
      <c r="Y457" s="51">
        <f>IF(ISBLANK(O457),"",(IF(O457=UPPER("IB"),0.005,0.01)))</f>
        <v>0.01</v>
      </c>
      <c r="Z457" s="52">
        <f>IF(ISBLANK(O457),"",IF(O457="IB",8.63*200,IF(O457="IR",16*100,IF(O457="YT",20*100,IF(O457="YT-XT",24*200,IF(O457="TED",80*100,IF(O457="XT",29*200)))))))</f>
        <v>5800</v>
      </c>
      <c r="AA457" s="52" t="s">
        <v>1208</v>
      </c>
      <c r="AB457" s="52"/>
      <c r="AC457" s="52"/>
      <c r="AD457" s="231">
        <v>95.65</v>
      </c>
      <c r="AE457" s="49"/>
      <c r="AF457" s="84"/>
      <c r="AG457" s="49"/>
      <c r="AH457" s="49"/>
      <c r="AI457" s="49"/>
      <c r="AJ457" s="226"/>
      <c r="AK457" s="49"/>
      <c r="AL457" s="113">
        <f t="shared" ref="AL457:AL474" si="203">-0.02*Z457</f>
        <v>-116</v>
      </c>
      <c r="AM457" s="113">
        <f t="shared" si="194"/>
        <v>-232</v>
      </c>
      <c r="AN457" s="218"/>
      <c r="AO457" s="49"/>
      <c r="AP457" s="49"/>
      <c r="AQ457" s="84" t="s">
        <v>350</v>
      </c>
      <c r="AR457" s="49"/>
      <c r="AS457" s="55">
        <v>95.635000000000005</v>
      </c>
      <c r="AT457" s="55">
        <f>IF(ISBLANK(AS457),,IF(U457="S",AD457-AS457,AS457-AD457))</f>
        <v>-1.5000000000000568E-2</v>
      </c>
      <c r="AU457" s="54">
        <f>AV457*R457</f>
        <v>-174.00000000000659</v>
      </c>
      <c r="AV457" s="56">
        <f t="shared" si="202"/>
        <v>-87.000000000003297</v>
      </c>
      <c r="AW457" s="57" t="s">
        <v>121</v>
      </c>
      <c r="AX457" s="153" t="s">
        <v>1628</v>
      </c>
      <c r="AY457" s="153" t="s">
        <v>1629</v>
      </c>
      <c r="AZ457" s="153" t="s">
        <v>1630</v>
      </c>
      <c r="BA457" s="153"/>
      <c r="BB457" s="153"/>
      <c r="BC457" s="153"/>
      <c r="BD457" s="151"/>
      <c r="BE457" s="152"/>
      <c r="BF457" s="151"/>
      <c r="BG457" s="94">
        <f>SUM($AV$4:AV457)</f>
        <v>3389.0931371208762</v>
      </c>
      <c r="BH457" s="95">
        <f>SUM($AU$4:AU457)</f>
        <v>35233.38000000015</v>
      </c>
      <c r="BI457" s="80">
        <f>SUMIFS($AU$3:AU458,$Q$3:Q458,"F")</f>
        <v>23748.400000000001</v>
      </c>
      <c r="BJ457" s="80">
        <f>SUMIFS($AU$3:AU458,$Q$3:Q458,"S")</f>
        <v>8175.9999999999945</v>
      </c>
      <c r="BK457" s="87">
        <f>SUMIFS($AU$3:AU458,$P$3:P458,"W")</f>
        <v>24573.58000000014</v>
      </c>
      <c r="BL457" s="87">
        <f>SUMIFS($AU$3:AU458,$P$3:P458,"R")</f>
        <v>9197.9999999998618</v>
      </c>
      <c r="BM457" s="87">
        <f>SUMIFS($AU$3:AU458,$AQ$3:AQ458,"M")</f>
        <v>6525.7799999998551</v>
      </c>
      <c r="BN457" s="87">
        <f>SUMIFS($AU$3:AU458,$AQ$3:AQ458,"H")</f>
        <v>5159.2000000002827</v>
      </c>
      <c r="BO457" s="87">
        <f>SUMIFS($AU$3:AU458,$AQ$3:AQ458,"D")</f>
        <v>12150</v>
      </c>
      <c r="BP457" s="87">
        <f>SUMIFS($AU$3:AU545,$AQ$3:AQ545,"W")</f>
        <v>13472.599999999982</v>
      </c>
      <c r="BQ457" s="87">
        <f>SUMIFS($AU$3:AU458,$Q$3:Q458,"O")</f>
        <v>1884.9800000001544</v>
      </c>
      <c r="BR457" s="87">
        <f>SUMIFS($AU$3:AU458,$AA$3:AA458,"*")</f>
        <v>25594.200000000033</v>
      </c>
      <c r="BS457" s="87">
        <f>SUMIFS($AU$3:AU458,$AB$3:AB458,"*")</f>
        <v>9655.1799999999312</v>
      </c>
      <c r="BT457" s="87">
        <f>SUMIFS($AU$3:AU458,$AC$3:AC458,"*")</f>
        <v>21428.400000000001</v>
      </c>
      <c r="BU457" s="87">
        <f>SUMIFS($AU$3:AU458,$AA$3:AA458,"*",$AB$3:AB458,"*")</f>
        <v>5759.9999999998217</v>
      </c>
      <c r="BV457" s="87">
        <f>SUMIFS($AU$3:AU458,$AA$3:AA458,"*",$AC$3:AC458,"*")</f>
        <v>14324.400000000001</v>
      </c>
      <c r="BW457" s="87">
        <f>SUMIFS($AU$3:AU458,$AB$3:AB458,"*",$AC$3:AC458,"*")</f>
        <v>4639.9999999999982</v>
      </c>
      <c r="BX457" s="87">
        <f>SUMIFS($AV$3:AV458,$Q$3:Q458,"F")</f>
        <v>456.63675319849239</v>
      </c>
      <c r="BY457" s="87">
        <f>SUMIFS($AV$3:AV458,$Q$3:Q458,"S")</f>
        <v>392.81638392253404</v>
      </c>
      <c r="BZ457" s="87">
        <f>SUMIFS($AV$3:AV458,$Q$3:Q458,"O")</f>
        <v>591.63999999984503</v>
      </c>
    </row>
    <row r="458" spans="1:78" ht="15.75" customHeight="1">
      <c r="A458" s="45" t="s">
        <v>1310</v>
      </c>
      <c r="B458" s="59"/>
      <c r="C458" s="46"/>
      <c r="D458" s="46"/>
      <c r="E458" s="66"/>
      <c r="F458" s="47"/>
      <c r="G458" s="48"/>
      <c r="H458" s="49"/>
      <c r="I458" s="49"/>
      <c r="J458" s="49"/>
      <c r="K458" s="50"/>
      <c r="L458" s="49"/>
      <c r="M458" s="49"/>
      <c r="N458" s="49"/>
      <c r="O458" s="50"/>
      <c r="P458" s="50"/>
      <c r="Q458" s="50"/>
      <c r="R458" s="50"/>
      <c r="S458" s="50"/>
      <c r="T458" s="50"/>
      <c r="U458" s="50"/>
      <c r="V458" s="50"/>
      <c r="W458" s="50"/>
      <c r="X458" s="50"/>
      <c r="Y458" s="50"/>
      <c r="Z458" s="50"/>
      <c r="AA458" s="52"/>
      <c r="AB458" s="52"/>
      <c r="AC458" s="52"/>
      <c r="AD458" s="231"/>
      <c r="AE458" s="49"/>
      <c r="AF458" s="84"/>
      <c r="AG458" s="49"/>
      <c r="AH458" s="49"/>
      <c r="AI458" s="49"/>
      <c r="AJ458" s="226"/>
      <c r="AK458" s="49"/>
      <c r="AL458" s="113">
        <f t="shared" si="203"/>
        <v>0</v>
      </c>
      <c r="AM458" s="113">
        <f t="shared" si="194"/>
        <v>0</v>
      </c>
      <c r="AN458" s="218"/>
      <c r="AO458" s="49"/>
      <c r="AP458" s="49"/>
      <c r="AQ458" s="84" t="str">
        <f>UPPER(RIGHT(Journal_Live[[#This Row],[DURATION ]]))</f>
        <v/>
      </c>
      <c r="AR458" s="49"/>
      <c r="AS458" s="55"/>
      <c r="AT458" s="55"/>
      <c r="AU458" s="54"/>
      <c r="AV458" s="56"/>
      <c r="AW458" s="57"/>
      <c r="AX458" s="153" t="s">
        <v>1631</v>
      </c>
      <c r="AY458" s="153" t="s">
        <v>1632</v>
      </c>
      <c r="AZ458" s="153" t="s">
        <v>1633</v>
      </c>
      <c r="BA458" s="153"/>
      <c r="BB458" s="153"/>
      <c r="BC458" s="153"/>
      <c r="BD458" s="151"/>
      <c r="BE458" s="152"/>
      <c r="BF458" s="151"/>
      <c r="BG458" s="94">
        <f>SUM($AV$4:AV458)</f>
        <v>3389.0931371208762</v>
      </c>
      <c r="BH458" s="95">
        <f>SUM($AU$4:AU458)</f>
        <v>35233.38000000015</v>
      </c>
      <c r="BI458" s="80">
        <f>SUMIFS($AU$3:AU459,$Q$3:Q459,"F")</f>
        <v>23748.400000000001</v>
      </c>
      <c r="BJ458" s="80">
        <f>SUMIFS($AU$3:AU459,$Q$3:Q459,"S")</f>
        <v>8175.9999999999945</v>
      </c>
      <c r="BK458" s="87">
        <f>SUMIFS($AU$3:AU459,$P$3:P459,"W")</f>
        <v>24573.58000000014</v>
      </c>
      <c r="BL458" s="87">
        <f>SUMIFS($AU$3:AU459,$P$3:P459,"R")</f>
        <v>9197.9999999998618</v>
      </c>
      <c r="BM458" s="87">
        <f>SUMIFS($AU$3:AU459,$AQ$3:AQ459,"M")</f>
        <v>6525.7799999998551</v>
      </c>
      <c r="BN458" s="87">
        <f>SUMIFS($AU$3:AU459,$AQ$3:AQ459,"H")</f>
        <v>5159.2000000002827</v>
      </c>
      <c r="BO458" s="87">
        <f>SUMIFS($AU$3:AU459,$AQ$3:AQ459,"D")</f>
        <v>12150</v>
      </c>
      <c r="BP458" s="87">
        <f>SUMIFS($AU$3:AU546,$AQ$3:AQ546,"W")</f>
        <v>13472.599999999982</v>
      </c>
      <c r="BQ458" s="87">
        <f>SUMIFS($AU$3:AU459,$Q$3:Q459,"O")</f>
        <v>1884.9800000001544</v>
      </c>
      <c r="BR458" s="87">
        <f>SUMIFS($AU$3:AU459,$AA$3:AA459,"*")</f>
        <v>25594.200000000033</v>
      </c>
      <c r="BS458" s="87">
        <f>SUMIFS($AU$3:AU459,$AB$3:AB459,"*")</f>
        <v>9655.1799999999312</v>
      </c>
      <c r="BT458" s="87">
        <f>SUMIFS($AU$3:AU459,$AC$3:AC459,"*")</f>
        <v>21428.400000000001</v>
      </c>
      <c r="BU458" s="87">
        <f>SUMIFS($AU$3:AU459,$AA$3:AA459,"*",$AB$3:AB459,"*")</f>
        <v>5759.9999999998217</v>
      </c>
      <c r="BV458" s="87">
        <f>SUMIFS($AU$3:AU459,$AA$3:AA459,"*",$AC$3:AC459,"*")</f>
        <v>14324.400000000001</v>
      </c>
      <c r="BW458" s="87">
        <f>SUMIFS($AU$3:AU459,$AB$3:AB459,"*",$AC$3:AC459,"*")</f>
        <v>4639.9999999999982</v>
      </c>
      <c r="BX458" s="87">
        <f>SUMIFS($AV$3:AV459,$Q$3:Q459,"F")</f>
        <v>456.63675319849239</v>
      </c>
      <c r="BY458" s="87">
        <f>SUMIFS($AV$3:AV459,$Q$3:Q459,"S")</f>
        <v>392.81638392253404</v>
      </c>
      <c r="BZ458" s="87">
        <f>SUMIFS($AV$3:AV459,$Q$3:Q459,"O")</f>
        <v>591.63999999984503</v>
      </c>
    </row>
    <row r="459" spans="1:78" ht="15.75" customHeight="1">
      <c r="A459" s="45" t="s">
        <v>1310</v>
      </c>
      <c r="B459" s="59"/>
      <c r="C459" s="46"/>
      <c r="D459" s="46"/>
      <c r="E459" s="66"/>
      <c r="F459" s="47"/>
      <c r="G459" s="48"/>
      <c r="H459" s="49"/>
      <c r="I459" s="49"/>
      <c r="J459" s="49"/>
      <c r="K459" s="50"/>
      <c r="L459" s="49"/>
      <c r="M459" s="49"/>
      <c r="N459" s="49"/>
      <c r="O459" s="50"/>
      <c r="P459" s="50"/>
      <c r="Q459" s="50"/>
      <c r="R459" s="50"/>
      <c r="S459" s="50"/>
      <c r="T459" s="50"/>
      <c r="U459" s="50"/>
      <c r="V459" s="50"/>
      <c r="W459" s="50"/>
      <c r="X459" s="50"/>
      <c r="Y459" s="50"/>
      <c r="Z459" s="50"/>
      <c r="AA459" s="52"/>
      <c r="AB459" s="52"/>
      <c r="AC459" s="52"/>
      <c r="AD459" s="231"/>
      <c r="AE459" s="49"/>
      <c r="AF459" s="84"/>
      <c r="AG459" s="49"/>
      <c r="AH459" s="49"/>
      <c r="AI459" s="49"/>
      <c r="AJ459" s="226"/>
      <c r="AK459" s="49"/>
      <c r="AL459" s="113">
        <f t="shared" si="203"/>
        <v>0</v>
      </c>
      <c r="AM459" s="113">
        <f t="shared" si="194"/>
        <v>0</v>
      </c>
      <c r="AN459" s="218"/>
      <c r="AO459" s="49"/>
      <c r="AP459" s="49"/>
      <c r="AQ459" s="84" t="str">
        <f>UPPER(RIGHT(Journal_Live[[#This Row],[DURATION ]]))</f>
        <v/>
      </c>
      <c r="AR459" s="49"/>
      <c r="AS459" s="55"/>
      <c r="AT459" s="55"/>
      <c r="AU459" s="54"/>
      <c r="AV459" s="56"/>
      <c r="AW459" s="57"/>
      <c r="AX459" s="168" t="s">
        <v>1634</v>
      </c>
      <c r="AY459" s="167" t="s">
        <v>1635</v>
      </c>
      <c r="AZ459" s="167" t="s">
        <v>1636</v>
      </c>
      <c r="BA459" s="153" t="s">
        <v>1637</v>
      </c>
      <c r="BB459" s="153"/>
      <c r="BC459" s="153"/>
      <c r="BD459" s="151"/>
      <c r="BE459" s="152"/>
      <c r="BF459" s="151"/>
      <c r="BG459" s="94">
        <f>SUM($AV$4:AV459)</f>
        <v>3389.0931371208762</v>
      </c>
      <c r="BH459" s="95">
        <f>SUM($AU$4:AU459)</f>
        <v>35233.38000000015</v>
      </c>
      <c r="BI459" s="80">
        <f>SUMIFS($AU$3:AU460,$Q$3:Q460,"F")</f>
        <v>23748.400000000001</v>
      </c>
      <c r="BJ459" s="80">
        <f>SUMIFS($AU$3:AU460,$Q$3:Q460,"S")</f>
        <v>8175.9999999999945</v>
      </c>
      <c r="BK459" s="87">
        <f>SUMIFS($AU$3:AU460,$P$3:P460,"W")</f>
        <v>24573.58000000014</v>
      </c>
      <c r="BL459" s="87">
        <f>SUMIFS($AU$3:AU460,$P$3:P460,"R")</f>
        <v>9197.9999999998618</v>
      </c>
      <c r="BM459" s="87">
        <f>SUMIFS($AU$3:AU460,$AQ$3:AQ460,"M")</f>
        <v>6525.7799999998551</v>
      </c>
      <c r="BN459" s="87">
        <f>SUMIFS($AU$3:AU460,$AQ$3:AQ460,"H")</f>
        <v>5159.2000000002827</v>
      </c>
      <c r="BO459" s="87">
        <f>SUMIFS($AU$3:AU460,$AQ$3:AQ460,"D")</f>
        <v>12150</v>
      </c>
      <c r="BP459" s="87">
        <f>SUMIFS($AU$3:AU547,$AQ$3:AQ547,"W")</f>
        <v>13472.599999999982</v>
      </c>
      <c r="BQ459" s="87">
        <f>SUMIFS($AU$3:AU460,$Q$3:Q460,"O")</f>
        <v>1884.9800000001544</v>
      </c>
      <c r="BR459" s="87">
        <f>SUMIFS($AU$3:AU460,$AA$3:AA460,"*")</f>
        <v>25594.200000000033</v>
      </c>
      <c r="BS459" s="87">
        <f>SUMIFS($AU$3:AU460,$AB$3:AB460,"*")</f>
        <v>9655.1799999999312</v>
      </c>
      <c r="BT459" s="87">
        <f>SUMIFS($AU$3:AU460,$AC$3:AC460,"*")</f>
        <v>21428.400000000001</v>
      </c>
      <c r="BU459" s="87">
        <f>SUMIFS($AU$3:AU460,$AA$3:AA460,"*",$AB$3:AB460,"*")</f>
        <v>5759.9999999998217</v>
      </c>
      <c r="BV459" s="87">
        <f>SUMIFS($AU$3:AU460,$AA$3:AA460,"*",$AC$3:AC460,"*")</f>
        <v>14324.400000000001</v>
      </c>
      <c r="BW459" s="87">
        <f>SUMIFS($AU$3:AU460,$AB$3:AB460,"*",$AC$3:AC460,"*")</f>
        <v>4639.9999999999982</v>
      </c>
      <c r="BX459" s="87">
        <f>SUMIFS($AV$3:AV460,$Q$3:Q460,"F")</f>
        <v>456.63675319849239</v>
      </c>
      <c r="BY459" s="87">
        <f>SUMIFS($AV$3:AV460,$Q$3:Q460,"S")</f>
        <v>392.81638392253404</v>
      </c>
      <c r="BZ459" s="87">
        <f>SUMIFS($AV$3:AV460,$Q$3:Q460,"O")</f>
        <v>591.63999999984503</v>
      </c>
    </row>
    <row r="460" spans="1:78" ht="15.75" customHeight="1">
      <c r="A460" s="45" t="s">
        <v>1310</v>
      </c>
      <c r="B460" s="59"/>
      <c r="C460" s="46"/>
      <c r="D460" s="46"/>
      <c r="E460" s="66"/>
      <c r="F460" s="47"/>
      <c r="G460" s="48"/>
      <c r="H460" s="49"/>
      <c r="I460" s="49"/>
      <c r="J460" s="49"/>
      <c r="K460" s="50"/>
      <c r="L460" s="49"/>
      <c r="M460" s="49"/>
      <c r="N460" s="49"/>
      <c r="O460" s="50"/>
      <c r="P460" s="50"/>
      <c r="Q460" s="50"/>
      <c r="R460" s="50"/>
      <c r="S460" s="50"/>
      <c r="T460" s="50"/>
      <c r="U460" s="50"/>
      <c r="V460" s="50"/>
      <c r="W460" s="50"/>
      <c r="X460" s="50"/>
      <c r="Y460" s="50"/>
      <c r="Z460" s="50"/>
      <c r="AA460" s="52"/>
      <c r="AB460" s="52"/>
      <c r="AC460" s="52"/>
      <c r="AD460" s="231"/>
      <c r="AE460" s="49"/>
      <c r="AF460" s="84"/>
      <c r="AG460" s="49"/>
      <c r="AH460" s="49"/>
      <c r="AI460" s="49"/>
      <c r="AJ460" s="226"/>
      <c r="AK460" s="49"/>
      <c r="AL460" s="113">
        <f t="shared" ref="AL460:AL471" si="204">-0.02*Z460</f>
        <v>0</v>
      </c>
      <c r="AM460" s="113">
        <f t="shared" si="194"/>
        <v>0</v>
      </c>
      <c r="AN460" s="218"/>
      <c r="AO460" s="49"/>
      <c r="AP460" s="49"/>
      <c r="AQ460" s="84" t="str">
        <f>UPPER(RIGHT(Journal_Live[[#This Row],[DURATION ]]))</f>
        <v/>
      </c>
      <c r="AR460" s="49"/>
      <c r="AS460" s="55"/>
      <c r="AT460" s="55"/>
      <c r="AU460" s="54"/>
      <c r="AV460" s="56"/>
      <c r="AW460" s="57"/>
      <c r="AX460" s="153" t="s">
        <v>1638</v>
      </c>
      <c r="AY460" s="153" t="s">
        <v>1639</v>
      </c>
      <c r="AZ460" s="153"/>
      <c r="BA460" s="153"/>
      <c r="BB460" s="153"/>
      <c r="BC460" s="153"/>
      <c r="BD460" s="151"/>
      <c r="BE460" s="152"/>
      <c r="BF460" s="151"/>
      <c r="BG460" s="94">
        <f>SUM($AV$4:AV460)</f>
        <v>3389.0931371208762</v>
      </c>
      <c r="BH460" s="95">
        <f>SUM($AU$4:AU460)</f>
        <v>35233.38000000015</v>
      </c>
      <c r="BI460" s="80">
        <f>SUMIFS($AU$3:AU461,$Q$3:Q461,"F")</f>
        <v>23748.400000000001</v>
      </c>
      <c r="BJ460" s="80">
        <f>SUMIFS($AU$3:AU461,$Q$3:Q461,"S")</f>
        <v>8175.9999999999945</v>
      </c>
      <c r="BK460" s="87">
        <f>SUMIFS($AU$3:AU461,$P$3:P461,"W")</f>
        <v>24573.58000000014</v>
      </c>
      <c r="BL460" s="87">
        <f>SUMIFS($AU$3:AU461,$P$3:P461,"R")</f>
        <v>9197.9999999998618</v>
      </c>
      <c r="BM460" s="87">
        <f>SUMIFS($AU$3:AU461,$AQ$3:AQ461,"M")</f>
        <v>6525.7799999998551</v>
      </c>
      <c r="BN460" s="87">
        <f>SUMIFS($AU$3:AU461,$AQ$3:AQ461,"H")</f>
        <v>5159.2000000002827</v>
      </c>
      <c r="BO460" s="87">
        <f>SUMIFS($AU$3:AU461,$AQ$3:AQ461,"D")</f>
        <v>12150</v>
      </c>
      <c r="BP460" s="87">
        <f>SUMIFS($AU$3:AU548,$AQ$3:AQ548,"W")</f>
        <v>13472.599999999982</v>
      </c>
      <c r="BQ460" s="87">
        <f>SUMIFS($AU$3:AU461,$Q$3:Q461,"O")</f>
        <v>1884.9800000001544</v>
      </c>
      <c r="BR460" s="87">
        <f>SUMIFS($AU$3:AU461,$AA$3:AA461,"*")</f>
        <v>25594.200000000033</v>
      </c>
      <c r="BS460" s="87">
        <f>SUMIFS($AU$3:AU461,$AB$3:AB461,"*")</f>
        <v>9655.1799999999312</v>
      </c>
      <c r="BT460" s="87">
        <f>SUMIFS($AU$3:AU461,$AC$3:AC461,"*")</f>
        <v>21428.400000000001</v>
      </c>
      <c r="BU460" s="87">
        <f>SUMIFS($AU$3:AU461,$AA$3:AA461,"*",$AB$3:AB461,"*")</f>
        <v>5759.9999999998217</v>
      </c>
      <c r="BV460" s="87">
        <f>SUMIFS($AU$3:AU461,$AA$3:AA461,"*",$AC$3:AC461,"*")</f>
        <v>14324.400000000001</v>
      </c>
      <c r="BW460" s="87">
        <f>SUMIFS($AU$3:AU461,$AB$3:AB461,"*",$AC$3:AC461,"*")</f>
        <v>4639.9999999999982</v>
      </c>
      <c r="BX460" s="87">
        <f>SUMIFS($AV$3:AV461,$Q$3:Q461,"F")</f>
        <v>456.63675319849239</v>
      </c>
      <c r="BY460" s="87">
        <f>SUMIFS($AV$3:AV461,$Q$3:Q461,"S")</f>
        <v>392.81638392253404</v>
      </c>
      <c r="BZ460" s="87">
        <f>SUMIFS($AV$3:AV461,$Q$3:Q461,"O")</f>
        <v>591.63999999984503</v>
      </c>
    </row>
    <row r="461" spans="1:78" ht="15.75" customHeight="1">
      <c r="A461" s="45" t="s">
        <v>1310</v>
      </c>
      <c r="B461" s="59"/>
      <c r="C461" s="46"/>
      <c r="D461" s="46"/>
      <c r="E461" s="66"/>
      <c r="F461" s="47"/>
      <c r="G461" s="48"/>
      <c r="H461" s="49"/>
      <c r="I461" s="49"/>
      <c r="J461" s="49"/>
      <c r="K461" s="50"/>
      <c r="L461" s="49"/>
      <c r="M461" s="49"/>
      <c r="N461" s="49"/>
      <c r="O461" s="50"/>
      <c r="P461" s="50"/>
      <c r="Q461" s="50"/>
      <c r="R461" s="50"/>
      <c r="S461" s="50"/>
      <c r="T461" s="50"/>
      <c r="U461" s="50"/>
      <c r="V461" s="50"/>
      <c r="W461" s="50"/>
      <c r="X461" s="50"/>
      <c r="Y461" s="50"/>
      <c r="Z461" s="50"/>
      <c r="AA461" s="52"/>
      <c r="AB461" s="52"/>
      <c r="AC461" s="52"/>
      <c r="AD461" s="231"/>
      <c r="AE461" s="49"/>
      <c r="AF461" s="84"/>
      <c r="AG461" s="49"/>
      <c r="AH461" s="49"/>
      <c r="AI461" s="49"/>
      <c r="AJ461" s="226"/>
      <c r="AK461" s="49"/>
      <c r="AL461" s="113">
        <f t="shared" si="204"/>
        <v>0</v>
      </c>
      <c r="AM461" s="113">
        <f t="shared" si="194"/>
        <v>0</v>
      </c>
      <c r="AN461" s="218"/>
      <c r="AO461" s="49"/>
      <c r="AP461" s="49"/>
      <c r="AQ461" s="84" t="str">
        <f>UPPER(RIGHT(Journal_Live[[#This Row],[DURATION ]]))</f>
        <v/>
      </c>
      <c r="AR461" s="49"/>
      <c r="AS461" s="55"/>
      <c r="AT461" s="55"/>
      <c r="AU461" s="54"/>
      <c r="AV461" s="56"/>
      <c r="AW461" s="57"/>
      <c r="AX461" s="99" t="s">
        <v>1640</v>
      </c>
      <c r="AY461" s="153" t="s">
        <v>1399</v>
      </c>
      <c r="AZ461" s="153" t="s">
        <v>1400</v>
      </c>
      <c r="BA461" s="153" t="s">
        <v>1401</v>
      </c>
      <c r="BB461" s="153" t="s">
        <v>1402</v>
      </c>
      <c r="BC461" s="153" t="s">
        <v>1403</v>
      </c>
      <c r="BD461" s="153" t="s">
        <v>1404</v>
      </c>
      <c r="BE461" s="164" t="s">
        <v>1405</v>
      </c>
      <c r="BF461" s="153" t="s">
        <v>1406</v>
      </c>
      <c r="BG461" s="94">
        <f>SUM($AV$4:AV461)</f>
        <v>3389.0931371208762</v>
      </c>
      <c r="BH461" s="95">
        <f>SUM($AU$4:AU461)</f>
        <v>35233.38000000015</v>
      </c>
      <c r="BI461" s="80">
        <f>SUMIFS($AU$3:AU462,$Q$3:Q462,"F")</f>
        <v>23748.400000000001</v>
      </c>
      <c r="BJ461" s="80">
        <f>SUMIFS($AU$3:AU462,$Q$3:Q462,"S")</f>
        <v>8175.9999999999945</v>
      </c>
      <c r="BK461" s="87">
        <f>SUMIFS($AU$3:AU462,$P$3:P462,"W")</f>
        <v>24573.58000000014</v>
      </c>
      <c r="BL461" s="87">
        <f>SUMIFS($AU$3:AU462,$P$3:P462,"R")</f>
        <v>9197.9999999998618</v>
      </c>
      <c r="BM461" s="87">
        <f>SUMIFS($AU$3:AU462,$AQ$3:AQ462,"M")</f>
        <v>6525.7799999998551</v>
      </c>
      <c r="BN461" s="87">
        <f>SUMIFS($AU$3:AU462,$AQ$3:AQ462,"H")</f>
        <v>5159.2000000002827</v>
      </c>
      <c r="BO461" s="87">
        <f>SUMIFS($AU$3:AU462,$AQ$3:AQ462,"D")</f>
        <v>12150</v>
      </c>
      <c r="BP461" s="87">
        <f>SUMIFS($AU$3:AU549,$AQ$3:AQ549,"W")</f>
        <v>13472.599999999982</v>
      </c>
      <c r="BQ461" s="87">
        <f>SUMIFS($AU$3:AU462,$Q$3:Q462,"O")</f>
        <v>1884.9800000001544</v>
      </c>
      <c r="BR461" s="87">
        <f>SUMIFS($AU$3:AU462,$AA$3:AA462,"*")</f>
        <v>25594.200000000033</v>
      </c>
      <c r="BS461" s="87">
        <f>SUMIFS($AU$3:AU462,$AB$3:AB462,"*")</f>
        <v>9655.1799999999312</v>
      </c>
      <c r="BT461" s="87">
        <f>SUMIFS($AU$3:AU462,$AC$3:AC462,"*")</f>
        <v>21428.400000000001</v>
      </c>
      <c r="BU461" s="87">
        <f>SUMIFS($AU$3:AU462,$AA$3:AA462,"*",$AB$3:AB462,"*")</f>
        <v>5759.9999999998217</v>
      </c>
      <c r="BV461" s="87">
        <f>SUMIFS($AU$3:AU462,$AA$3:AA462,"*",$AC$3:AC462,"*")</f>
        <v>14324.400000000001</v>
      </c>
      <c r="BW461" s="87">
        <f>SUMIFS($AU$3:AU462,$AB$3:AB462,"*",$AC$3:AC462,"*")</f>
        <v>4639.9999999999982</v>
      </c>
      <c r="BX461" s="87">
        <f>SUMIFS($AV$3:AV462,$Q$3:Q462,"F")</f>
        <v>456.63675319849239</v>
      </c>
      <c r="BY461" s="87">
        <f>SUMIFS($AV$3:AV462,$Q$3:Q462,"S")</f>
        <v>392.81638392253404</v>
      </c>
      <c r="BZ461" s="87">
        <f>SUMIFS($AV$3:AV462,$Q$3:Q462,"O")</f>
        <v>591.63999999984503</v>
      </c>
    </row>
    <row r="462" spans="1:78" ht="15.75" customHeight="1">
      <c r="A462" s="45" t="s">
        <v>1310</v>
      </c>
      <c r="B462" s="59"/>
      <c r="C462" s="46"/>
      <c r="D462" s="46"/>
      <c r="E462" s="66"/>
      <c r="F462" s="47"/>
      <c r="G462" s="48"/>
      <c r="H462" s="49"/>
      <c r="I462" s="49"/>
      <c r="J462" s="49"/>
      <c r="K462" s="50"/>
      <c r="L462" s="49"/>
      <c r="M462" s="49"/>
      <c r="N462" s="49"/>
      <c r="O462" s="50"/>
      <c r="P462" s="50"/>
      <c r="Q462" s="50"/>
      <c r="R462" s="50"/>
      <c r="S462" s="50"/>
      <c r="T462" s="50"/>
      <c r="U462" s="50"/>
      <c r="V462" s="50"/>
      <c r="W462" s="50"/>
      <c r="X462" s="50"/>
      <c r="Y462" s="50"/>
      <c r="Z462" s="50"/>
      <c r="AA462" s="52"/>
      <c r="AB462" s="52"/>
      <c r="AC462" s="52"/>
      <c r="AD462" s="231"/>
      <c r="AE462" s="49"/>
      <c r="AF462" s="84"/>
      <c r="AG462" s="49"/>
      <c r="AH462" s="49"/>
      <c r="AI462" s="49"/>
      <c r="AJ462" s="226"/>
      <c r="AK462" s="49"/>
      <c r="AL462" s="113">
        <f t="shared" si="204"/>
        <v>0</v>
      </c>
      <c r="AM462" s="113">
        <f t="shared" si="194"/>
        <v>0</v>
      </c>
      <c r="AN462" s="218"/>
      <c r="AO462" s="49"/>
      <c r="AP462" s="49"/>
      <c r="AQ462" s="84" t="str">
        <f>UPPER(RIGHT(Journal_Live[[#This Row],[DURATION ]]))</f>
        <v/>
      </c>
      <c r="AR462" s="49"/>
      <c r="AS462" s="55"/>
      <c r="AT462" s="55"/>
      <c r="AU462" s="54"/>
      <c r="AV462" s="56"/>
      <c r="AW462" s="57"/>
      <c r="AX462" s="169" t="s">
        <v>1641</v>
      </c>
      <c r="AY462" s="153" t="s">
        <v>1642</v>
      </c>
      <c r="AZ462" s="153" t="s">
        <v>1643</v>
      </c>
      <c r="BA462" s="153"/>
      <c r="BB462" s="153"/>
      <c r="BC462" s="153"/>
      <c r="BD462" s="151"/>
      <c r="BE462" s="152"/>
      <c r="BF462" s="151"/>
      <c r="BG462" s="94">
        <f>SUM($AV$4:AV462)</f>
        <v>3389.0931371208762</v>
      </c>
      <c r="BH462" s="95">
        <f>SUM($AU$4:AU462)</f>
        <v>35233.38000000015</v>
      </c>
      <c r="BI462" s="80">
        <f>SUMIFS($AU$3:AU463,$Q$3:Q463,"F")</f>
        <v>23748.400000000001</v>
      </c>
      <c r="BJ462" s="80">
        <f>SUMIFS($AU$3:AU463,$Q$3:Q463,"S")</f>
        <v>8175.9999999999945</v>
      </c>
      <c r="BK462" s="87">
        <f>SUMIFS($AU$3:AU463,$P$3:P463,"W")</f>
        <v>24573.58000000014</v>
      </c>
      <c r="BL462" s="87">
        <f>SUMIFS($AU$3:AU463,$P$3:P463,"R")</f>
        <v>9197.9999999998618</v>
      </c>
      <c r="BM462" s="87">
        <f>SUMIFS($AU$3:AU463,$AQ$3:AQ463,"M")</f>
        <v>6525.7799999998551</v>
      </c>
      <c r="BN462" s="87">
        <f>SUMIFS($AU$3:AU463,$AQ$3:AQ463,"H")</f>
        <v>5159.2000000002827</v>
      </c>
      <c r="BO462" s="87">
        <f>SUMIFS($AU$3:AU463,$AQ$3:AQ463,"D")</f>
        <v>12150</v>
      </c>
      <c r="BP462" s="87">
        <f>SUMIFS($AU$3:AU550,$AQ$3:AQ550,"W")</f>
        <v>13472.599999999982</v>
      </c>
      <c r="BQ462" s="87">
        <f>SUMIFS($AU$3:AU463,$Q$3:Q463,"O")</f>
        <v>1884.9800000001544</v>
      </c>
      <c r="BR462" s="87">
        <f>SUMIFS($AU$3:AU463,$AA$3:AA463,"*")</f>
        <v>25594.200000000033</v>
      </c>
      <c r="BS462" s="87">
        <f>SUMIFS($AU$3:AU463,$AB$3:AB463,"*")</f>
        <v>9655.1799999999312</v>
      </c>
      <c r="BT462" s="87">
        <f>SUMIFS($AU$3:AU463,$AC$3:AC463,"*")</f>
        <v>21428.400000000001</v>
      </c>
      <c r="BU462" s="87">
        <f>SUMIFS($AU$3:AU463,$AA$3:AA463,"*",$AB$3:AB463,"*")</f>
        <v>5759.9999999998217</v>
      </c>
      <c r="BV462" s="87">
        <f>SUMIFS($AU$3:AU463,$AA$3:AA463,"*",$AC$3:AC463,"*")</f>
        <v>14324.400000000001</v>
      </c>
      <c r="BW462" s="87">
        <f>SUMIFS($AU$3:AU463,$AB$3:AB463,"*",$AC$3:AC463,"*")</f>
        <v>4639.9999999999982</v>
      </c>
      <c r="BX462" s="87">
        <f>SUMIFS($AV$3:AV463,$Q$3:Q463,"F")</f>
        <v>456.63675319849239</v>
      </c>
      <c r="BY462" s="87">
        <f>SUMIFS($AV$3:AV463,$Q$3:Q463,"S")</f>
        <v>392.81638392253404</v>
      </c>
      <c r="BZ462" s="87">
        <f>SUMIFS($AV$3:AV463,$Q$3:Q463,"O")</f>
        <v>591.63999999984503</v>
      </c>
    </row>
    <row r="463" spans="1:78" ht="15.75" customHeight="1">
      <c r="A463" s="45" t="s">
        <v>1310</v>
      </c>
      <c r="B463" s="59">
        <v>45401</v>
      </c>
      <c r="C463" s="46" t="s">
        <v>1644</v>
      </c>
      <c r="D463" s="46" t="s">
        <v>115</v>
      </c>
      <c r="E463" s="66" t="s">
        <v>1645</v>
      </c>
      <c r="F463" s="47"/>
      <c r="G463" s="48"/>
      <c r="H463" s="49"/>
      <c r="I463" s="49"/>
      <c r="J463" s="49"/>
      <c r="K463" s="50"/>
      <c r="L463" s="49"/>
      <c r="M463" s="49"/>
      <c r="N463" s="49"/>
      <c r="O463" s="50"/>
      <c r="P463" s="50"/>
      <c r="Q463" s="50"/>
      <c r="R463" s="50"/>
      <c r="S463" s="50"/>
      <c r="T463" s="50"/>
      <c r="U463" s="50"/>
      <c r="V463" s="50"/>
      <c r="W463" s="50"/>
      <c r="X463" s="50"/>
      <c r="Y463" s="50"/>
      <c r="Z463" s="50"/>
      <c r="AA463" s="52"/>
      <c r="AB463" s="52"/>
      <c r="AC463" s="52"/>
      <c r="AD463" s="231"/>
      <c r="AE463" s="49"/>
      <c r="AF463" s="84"/>
      <c r="AG463" s="49"/>
      <c r="AH463" s="49"/>
      <c r="AI463" s="49"/>
      <c r="AJ463" s="226"/>
      <c r="AK463" s="49"/>
      <c r="AL463" s="113">
        <f t="shared" si="204"/>
        <v>0</v>
      </c>
      <c r="AM463" s="113">
        <f t="shared" si="194"/>
        <v>0</v>
      </c>
      <c r="AN463" s="218"/>
      <c r="AO463" s="49"/>
      <c r="AP463" s="49"/>
      <c r="AQ463" s="84" t="str">
        <f>UPPER(RIGHT(Journal_Live[[#This Row],[DURATION ]]))</f>
        <v/>
      </c>
      <c r="AR463" s="49"/>
      <c r="AS463" s="55"/>
      <c r="AT463" s="55"/>
      <c r="AU463" s="54"/>
      <c r="AV463" s="56"/>
      <c r="AW463" s="57"/>
      <c r="AX463" s="153"/>
      <c r="AY463" s="96"/>
      <c r="AZ463" s="153"/>
      <c r="BA463" s="153"/>
      <c r="BB463" s="153"/>
      <c r="BC463" s="153"/>
      <c r="BD463" s="151"/>
      <c r="BE463" s="152"/>
      <c r="BF463" s="151"/>
      <c r="BG463" s="94">
        <f>SUM($AV$4:AV463)</f>
        <v>3389.0931371208762</v>
      </c>
      <c r="BH463" s="95">
        <f>SUM($AU$4:AU463)</f>
        <v>35233.38000000015</v>
      </c>
      <c r="BI463" s="80">
        <f>SUMIFS($AU$3:AU464,$Q$3:Q464,"F")</f>
        <v>23748.400000000001</v>
      </c>
      <c r="BJ463" s="80">
        <f>SUMIFS($AU$3:AU464,$Q$3:Q464,"S")</f>
        <v>8175.9999999999945</v>
      </c>
      <c r="BK463" s="87">
        <f>SUMIFS($AU$3:AU464,$P$3:P464,"W")</f>
        <v>24573.58000000014</v>
      </c>
      <c r="BL463" s="87">
        <f>SUMIFS($AU$3:AU464,$P$3:P464,"R")</f>
        <v>9197.9999999998618</v>
      </c>
      <c r="BM463" s="87">
        <f>SUMIFS($AU$3:AU464,$AQ$3:AQ464,"M")</f>
        <v>6612.7799999990339</v>
      </c>
      <c r="BN463" s="87">
        <f>SUMIFS($AU$3:AU464,$AQ$3:AQ464,"H")</f>
        <v>5159.2000000002827</v>
      </c>
      <c r="BO463" s="87">
        <f>SUMIFS($AU$3:AU464,$AQ$3:AQ464,"D")</f>
        <v>12150</v>
      </c>
      <c r="BP463" s="87">
        <f>SUMIFS($AU$3:AU551,$AQ$3:AQ551,"W")</f>
        <v>13472.599999999982</v>
      </c>
      <c r="BQ463" s="87">
        <f>SUMIFS($AU$3:AU464,$Q$3:Q464,"O")</f>
        <v>1971.9799999993334</v>
      </c>
      <c r="BR463" s="87">
        <f>SUMIFS($AU$3:AU464,$AA$3:AA464,"*")</f>
        <v>25681.199999999211</v>
      </c>
      <c r="BS463" s="87">
        <f>SUMIFS($AU$3:AU464,$AB$3:AB464,"*")</f>
        <v>9655.1799999999312</v>
      </c>
      <c r="BT463" s="87">
        <f>SUMIFS($AU$3:AU464,$AC$3:AC464,"*")</f>
        <v>21428.400000000001</v>
      </c>
      <c r="BU463" s="87">
        <f>SUMIFS($AU$3:AU464,$AA$3:AA464,"*",$AB$3:AB464,"*")</f>
        <v>5759.9999999998217</v>
      </c>
      <c r="BV463" s="87">
        <f>SUMIFS($AU$3:AU464,$AA$3:AA464,"*",$AC$3:AC464,"*")</f>
        <v>14324.400000000001</v>
      </c>
      <c r="BW463" s="87">
        <f>SUMIFS($AU$3:AU464,$AB$3:AB464,"*",$AC$3:AC464,"*")</f>
        <v>4639.9999999999982</v>
      </c>
      <c r="BX463" s="87">
        <f>SUMIFS($AV$3:AV464,$Q$3:Q464,"F")</f>
        <v>456.63675319849239</v>
      </c>
      <c r="BY463" s="87">
        <f>SUMIFS($AV$3:AV464,$Q$3:Q464,"S")</f>
        <v>392.81638392253404</v>
      </c>
      <c r="BZ463" s="87">
        <f>SUMIFS($AV$3:AV464,$Q$3:Q464,"O")</f>
        <v>597.4399999997903</v>
      </c>
    </row>
    <row r="464" spans="1:78" ht="15.75" customHeight="1">
      <c r="A464" s="45" t="s">
        <v>1310</v>
      </c>
      <c r="B464" s="59">
        <v>45401</v>
      </c>
      <c r="C464" s="46"/>
      <c r="D464" s="46" t="s">
        <v>115</v>
      </c>
      <c r="E464" s="66"/>
      <c r="F464" s="47"/>
      <c r="G464" s="48" t="s">
        <v>1169</v>
      </c>
      <c r="H464" s="49"/>
      <c r="I464" s="49"/>
      <c r="J464" s="49"/>
      <c r="K464" s="50"/>
      <c r="L464" s="49">
        <v>3</v>
      </c>
      <c r="M464" s="49"/>
      <c r="N464" s="49"/>
      <c r="O464" s="50" t="s">
        <v>196</v>
      </c>
      <c r="P464" s="50" t="s">
        <v>197</v>
      </c>
      <c r="Q464" s="50" t="s">
        <v>198</v>
      </c>
      <c r="R464" s="50">
        <v>15</v>
      </c>
      <c r="S464" s="50">
        <v>0</v>
      </c>
      <c r="T464" s="50">
        <v>15</v>
      </c>
      <c r="U464" s="50" t="s">
        <v>22</v>
      </c>
      <c r="V464" s="50"/>
      <c r="W464" s="50"/>
      <c r="X464" s="50"/>
      <c r="Y464" s="51">
        <f>IF(ISBLANK(O464),"",(IF(O464=UPPER("IB"),0.005,0.01)))</f>
        <v>0.01</v>
      </c>
      <c r="Z464" s="52">
        <f>IF(ISBLANK(O464),"",IF(O464="IB",8.63*200,IF(O464="IR",16*100,IF(O464="YT",20*100,IF(O464="YT-XT",24*200,IF(O464="TED",80*100,IF(O464="XT",29*200)))))))</f>
        <v>5800</v>
      </c>
      <c r="AA464" s="52" t="s">
        <v>1646</v>
      </c>
      <c r="AB464" s="52"/>
      <c r="AC464" s="52"/>
      <c r="AD464" s="231">
        <v>95.754000000000005</v>
      </c>
      <c r="AE464" s="49"/>
      <c r="AF464" s="84"/>
      <c r="AG464" s="49"/>
      <c r="AH464" s="49"/>
      <c r="AI464" s="49"/>
      <c r="AJ464" s="226"/>
      <c r="AK464" s="49"/>
      <c r="AL464" s="113">
        <f t="shared" si="204"/>
        <v>-116</v>
      </c>
      <c r="AM464" s="113">
        <f t="shared" si="194"/>
        <v>-1740</v>
      </c>
      <c r="AN464" s="218"/>
      <c r="AO464" s="49"/>
      <c r="AP464" s="49"/>
      <c r="AQ464" s="84" t="s">
        <v>350</v>
      </c>
      <c r="AR464" s="49"/>
      <c r="AS464" s="55">
        <v>95.754999999999995</v>
      </c>
      <c r="AT464" s="55">
        <f>IF(ISBLANK(AS464),,IF(U464="S",AD464-AS464,AS464-AD464))</f>
        <v>9.9999999999056399E-4</v>
      </c>
      <c r="AU464" s="54">
        <f>AV464*R464</f>
        <v>86.999999999179067</v>
      </c>
      <c r="AV464" s="56">
        <f t="shared" ref="AV464" si="205">IF(ISBLANK(AS464),,(AT464*Z464))</f>
        <v>5.7999999999452712</v>
      </c>
      <c r="AW464" s="57" t="s">
        <v>101</v>
      </c>
      <c r="AX464" s="153"/>
      <c r="AY464" s="153"/>
      <c r="AZ464" s="153"/>
      <c r="BA464" s="153"/>
      <c r="BB464" s="153"/>
      <c r="BC464" s="153"/>
      <c r="BD464" s="151"/>
      <c r="BE464" s="152"/>
      <c r="BF464" s="151"/>
      <c r="BG464" s="94">
        <f>SUM($AV$4:AV464)</f>
        <v>3394.8931371208214</v>
      </c>
      <c r="BH464" s="95">
        <f>SUM($AU$4:AU464)</f>
        <v>35320.379999999328</v>
      </c>
      <c r="BI464" s="80">
        <f>SUMIFS($AU$3:AU465,$Q$3:Q465,"F")</f>
        <v>23748.400000000001</v>
      </c>
      <c r="BJ464" s="80">
        <f>SUMIFS($AU$3:AU465,$Q$3:Q465,"S")</f>
        <v>8175.9999999999945</v>
      </c>
      <c r="BK464" s="87">
        <f>SUMIFS($AU$3:AU465,$P$3:P465,"W")</f>
        <v>24973.580000000344</v>
      </c>
      <c r="BL464" s="87">
        <f>SUMIFS($AU$3:AU465,$P$3:P465,"R")</f>
        <v>9197.9999999998618</v>
      </c>
      <c r="BM464" s="87">
        <f>SUMIFS($AU$3:AU465,$AQ$3:AQ465,"M")</f>
        <v>7012.7799999992385</v>
      </c>
      <c r="BN464" s="87">
        <f>SUMIFS($AU$3:AU465,$AQ$3:AQ465,"H")</f>
        <v>5159.2000000002827</v>
      </c>
      <c r="BO464" s="87">
        <f>SUMIFS($AU$3:AU465,$AQ$3:AQ465,"D")</f>
        <v>12150</v>
      </c>
      <c r="BP464" s="87">
        <f>SUMIFS($AU$3:AU552,$AQ$3:AQ552,"W")</f>
        <v>13472.599999999982</v>
      </c>
      <c r="BQ464" s="87">
        <f>SUMIFS($AU$3:AU465,$Q$3:Q465,"O")</f>
        <v>2371.979999999538</v>
      </c>
      <c r="BR464" s="87">
        <f>SUMIFS($AU$3:AU465,$AA$3:AA465,"*")</f>
        <v>26081.199999999415</v>
      </c>
      <c r="BS464" s="87">
        <f>SUMIFS($AU$3:AU465,$AB$3:AB465,"*")</f>
        <v>9655.1799999999312</v>
      </c>
      <c r="BT464" s="87">
        <f>SUMIFS($AU$3:AU465,$AC$3:AC465,"*")</f>
        <v>21428.400000000001</v>
      </c>
      <c r="BU464" s="87">
        <f>SUMIFS($AU$3:AU465,$AA$3:AA465,"*",$AB$3:AB465,"*")</f>
        <v>5759.9999999998217</v>
      </c>
      <c r="BV464" s="87">
        <f>SUMIFS($AU$3:AU465,$AA$3:AA465,"*",$AC$3:AC465,"*")</f>
        <v>14324.400000000001</v>
      </c>
      <c r="BW464" s="87">
        <f>SUMIFS($AU$3:AU465,$AB$3:AB465,"*",$AC$3:AC465,"*")</f>
        <v>4639.9999999999982</v>
      </c>
      <c r="BX464" s="87">
        <f>SUMIFS($AV$3:AV465,$Q$3:Q465,"F")</f>
        <v>456.63675319849239</v>
      </c>
      <c r="BY464" s="87">
        <f>SUMIFS($AV$3:AV465,$Q$3:Q465,"S")</f>
        <v>392.81638392253404</v>
      </c>
      <c r="BZ464" s="87">
        <f>SUMIFS($AV$3:AV465,$Q$3:Q465,"O")</f>
        <v>613.43999999979849</v>
      </c>
    </row>
    <row r="465" spans="1:78" ht="15.75" customHeight="1">
      <c r="A465" s="45" t="s">
        <v>1310</v>
      </c>
      <c r="B465" s="59">
        <v>45401</v>
      </c>
      <c r="C465" s="46" t="s">
        <v>194</v>
      </c>
      <c r="D465" s="46" t="s">
        <v>115</v>
      </c>
      <c r="E465" s="66"/>
      <c r="F465" s="47"/>
      <c r="G465" s="106" t="s">
        <v>1647</v>
      </c>
      <c r="H465" s="49"/>
      <c r="I465" s="49"/>
      <c r="J465" s="49"/>
      <c r="K465" s="50"/>
      <c r="L465" s="49">
        <v>2</v>
      </c>
      <c r="M465" s="49"/>
      <c r="N465" s="49"/>
      <c r="O465" s="50" t="s">
        <v>100</v>
      </c>
      <c r="P465" s="50" t="s">
        <v>101</v>
      </c>
      <c r="Q465" s="50" t="s">
        <v>198</v>
      </c>
      <c r="R465" s="50">
        <v>25</v>
      </c>
      <c r="S465" s="50">
        <v>0</v>
      </c>
      <c r="T465" s="50">
        <v>25</v>
      </c>
      <c r="U465" s="50" t="s">
        <v>102</v>
      </c>
      <c r="V465" s="50"/>
      <c r="W465" s="50"/>
      <c r="X465" s="50"/>
      <c r="Y465" s="51">
        <f>IF(ISBLANK(O465),"",(IF(O465=UPPER("IB"),0.005,0.01)))</f>
        <v>0.01</v>
      </c>
      <c r="Z465" s="52">
        <f>IF(ISBLANK(O465),"",IF(O465="IB",8.63*200,IF(O465="IR",16*100,IF(O465="YT",20*100,IF(O465="YT-XT",24*200,IF(O465="TED",80*100,IF(O465="XT",29*200)))))))</f>
        <v>1600</v>
      </c>
      <c r="AA465" s="52" t="s">
        <v>515</v>
      </c>
      <c r="AB465" s="52"/>
      <c r="AC465" s="52"/>
      <c r="AD465" s="231">
        <v>95.7</v>
      </c>
      <c r="AE465" s="49"/>
      <c r="AF465" s="84"/>
      <c r="AG465" s="49"/>
      <c r="AH465" s="49"/>
      <c r="AI465" s="49"/>
      <c r="AJ465" s="226"/>
      <c r="AK465" s="49"/>
      <c r="AL465" s="113">
        <f t="shared" ref="AL465:AL470" si="206">-0.02*Z465</f>
        <v>-32</v>
      </c>
      <c r="AM465" s="113">
        <f t="shared" si="194"/>
        <v>-800</v>
      </c>
      <c r="AN465" s="218"/>
      <c r="AO465" s="49"/>
      <c r="AP465" s="49"/>
      <c r="AQ465" s="84" t="s">
        <v>350</v>
      </c>
      <c r="AR465" s="49"/>
      <c r="AS465" s="55">
        <v>95.69</v>
      </c>
      <c r="AT465" s="55">
        <f>IF(ISBLANK(AS465),,IF(U465="S",AD465-AS465,AS465-AD465))</f>
        <v>1.0000000000005116E-2</v>
      </c>
      <c r="AU465" s="54">
        <f>AV465*R465</f>
        <v>400.00000000020464</v>
      </c>
      <c r="AV465" s="56">
        <f t="shared" ref="AV465" si="207">IF(ISBLANK(AS465),,(AT465*Z465))</f>
        <v>16.000000000008185</v>
      </c>
      <c r="AW465" s="57" t="s">
        <v>101</v>
      </c>
      <c r="AX465" s="153"/>
      <c r="AY465" s="153"/>
      <c r="AZ465" s="153"/>
      <c r="BA465" s="153"/>
      <c r="BB465" s="153"/>
      <c r="BC465" s="153"/>
      <c r="BD465" s="151"/>
      <c r="BE465" s="152"/>
      <c r="BF465" s="151"/>
      <c r="BG465" s="94">
        <f>SUM($AV$4:AV465)</f>
        <v>3410.8931371208296</v>
      </c>
      <c r="BH465" s="95">
        <f>SUM($AU$4:AU465)</f>
        <v>35720.379999999532</v>
      </c>
      <c r="BI465" s="80">
        <f>SUMIFS($AU$3:AU466,$Q$3:Q466,"F")</f>
        <v>23748.400000000001</v>
      </c>
      <c r="BJ465" s="80">
        <f>SUMIFS($AU$3:AU466,$Q$3:Q466,"S")</f>
        <v>8175.9999999999945</v>
      </c>
      <c r="BK465" s="87">
        <f>SUMIFS($AU$3:AU466,$P$3:P466,"W")</f>
        <v>24973.580000000344</v>
      </c>
      <c r="BL465" s="87">
        <f>SUMIFS($AU$3:AU466,$P$3:P466,"R")</f>
        <v>9197.9999999998618</v>
      </c>
      <c r="BM465" s="87">
        <f>SUMIFS($AU$3:AU466,$AQ$3:AQ466,"M")</f>
        <v>7012.7799999992385</v>
      </c>
      <c r="BN465" s="87">
        <f>SUMIFS($AU$3:AU466,$AQ$3:AQ466,"H")</f>
        <v>5159.2000000002827</v>
      </c>
      <c r="BO465" s="87">
        <f>SUMIFS($AU$3:AU466,$AQ$3:AQ466,"D")</f>
        <v>12150</v>
      </c>
      <c r="BP465" s="87">
        <f>SUMIFS($AU$3:AU553,$AQ$3:AQ553,"W")</f>
        <v>13472.599999999982</v>
      </c>
      <c r="BQ465" s="87">
        <f>SUMIFS($AU$3:AU466,$Q$3:Q466,"O")</f>
        <v>2371.979999999538</v>
      </c>
      <c r="BR465" s="87">
        <f>SUMIFS($AU$3:AU466,$AA$3:AA466,"*")</f>
        <v>26081.199999999415</v>
      </c>
      <c r="BS465" s="87">
        <f>SUMIFS($AU$3:AU466,$AB$3:AB466,"*")</f>
        <v>9655.1799999999312</v>
      </c>
      <c r="BT465" s="87">
        <f>SUMIFS($AU$3:AU466,$AC$3:AC466,"*")</f>
        <v>21428.400000000001</v>
      </c>
      <c r="BU465" s="87">
        <f>SUMIFS($AU$3:AU466,$AA$3:AA466,"*",$AB$3:AB466,"*")</f>
        <v>5759.9999999998217</v>
      </c>
      <c r="BV465" s="87">
        <f>SUMIFS($AU$3:AU466,$AA$3:AA466,"*",$AC$3:AC466,"*")</f>
        <v>14324.400000000001</v>
      </c>
      <c r="BW465" s="87">
        <f>SUMIFS($AU$3:AU466,$AB$3:AB466,"*",$AC$3:AC466,"*")</f>
        <v>4639.9999999999982</v>
      </c>
      <c r="BX465" s="87">
        <f>SUMIFS($AV$3:AV466,$Q$3:Q466,"F")</f>
        <v>456.63675319849239</v>
      </c>
      <c r="BY465" s="87">
        <f>SUMIFS($AV$3:AV466,$Q$3:Q466,"S")</f>
        <v>392.81638392253404</v>
      </c>
      <c r="BZ465" s="87">
        <f>SUMIFS($AV$3:AV466,$Q$3:Q466,"O")</f>
        <v>613.43999999979849</v>
      </c>
    </row>
    <row r="466" spans="1:78" ht="15.75" customHeight="1">
      <c r="A466" s="45" t="s">
        <v>1310</v>
      </c>
      <c r="B466" s="59">
        <v>45401</v>
      </c>
      <c r="C466" s="46"/>
      <c r="D466" s="46" t="s">
        <v>115</v>
      </c>
      <c r="E466" s="66"/>
      <c r="F466" s="47"/>
      <c r="G466" s="106" t="s">
        <v>181</v>
      </c>
      <c r="H466" s="49"/>
      <c r="I466" s="49"/>
      <c r="J466" s="49"/>
      <c r="K466" s="50"/>
      <c r="L466" s="49">
        <v>2</v>
      </c>
      <c r="M466" s="49"/>
      <c r="N466" s="49"/>
      <c r="O466" s="50" t="s">
        <v>100</v>
      </c>
      <c r="P466" s="50" t="s">
        <v>101</v>
      </c>
      <c r="Q466" s="50" t="s">
        <v>102</v>
      </c>
      <c r="R466" s="50">
        <v>5</v>
      </c>
      <c r="S466" s="161">
        <v>0</v>
      </c>
      <c r="T466" s="50">
        <v>5</v>
      </c>
      <c r="U466" s="50" t="s">
        <v>22</v>
      </c>
      <c r="V466" s="50"/>
      <c r="W466" s="50"/>
      <c r="X466" s="50"/>
      <c r="Y466" s="51">
        <f>IF(ISBLANK(O466),"",(IF(O466=UPPER("IB"),0.005,0.01)))</f>
        <v>0.01</v>
      </c>
      <c r="Z466" s="52">
        <f>IF(ISBLANK(O466),"",IF(O466="IB",8.63*200,IF(O466="IR",16*100,IF(O466="YT",20*100,IF(O466="YT-XT",24*200,IF(O466="TED",80*100,IF(O466="XT",29*200)))))))</f>
        <v>1600</v>
      </c>
      <c r="AA466" s="52"/>
      <c r="AB466" s="52"/>
      <c r="AC466" s="52" t="s">
        <v>264</v>
      </c>
      <c r="AD466" s="231">
        <v>-0.09</v>
      </c>
      <c r="AE466" s="49"/>
      <c r="AF466" s="84"/>
      <c r="AG466" s="49"/>
      <c r="AH466" s="49"/>
      <c r="AI466" s="49"/>
      <c r="AJ466" s="226"/>
      <c r="AK466" s="49"/>
      <c r="AL466" s="113">
        <f t="shared" si="206"/>
        <v>-32</v>
      </c>
      <c r="AM466" s="113">
        <f t="shared" si="194"/>
        <v>-160</v>
      </c>
      <c r="AN466" s="218"/>
      <c r="AO466" s="49"/>
      <c r="AP466" s="49"/>
      <c r="AQ466" s="84" t="s">
        <v>142</v>
      </c>
      <c r="AR466" s="49"/>
      <c r="AS466" s="55">
        <v>-0.09</v>
      </c>
      <c r="AT466" s="55">
        <f>IF(ISBLANK(AS466),,IF(U466="S",AD466-AS466,AS466-AD466))</f>
        <v>0</v>
      </c>
      <c r="AU466" s="54">
        <f>AV466*R466</f>
        <v>0</v>
      </c>
      <c r="AV466" s="56">
        <f t="shared" ref="AV466:AV467" si="208">IF(ISBLANK(AS466),,(AT466*Z466))</f>
        <v>0</v>
      </c>
      <c r="AW466" s="57" t="s">
        <v>155</v>
      </c>
      <c r="AX466" s="153" t="s">
        <v>1648</v>
      </c>
      <c r="AY466" s="153"/>
      <c r="AZ466" s="153"/>
      <c r="BA466" s="153"/>
      <c r="BB466" s="153"/>
      <c r="BC466" s="153"/>
      <c r="BD466" s="151"/>
      <c r="BE466" s="152"/>
      <c r="BF466" s="151"/>
      <c r="BG466" s="94">
        <f>SUM($AV$4:AV466)</f>
        <v>3410.8931371208296</v>
      </c>
      <c r="BH466" s="95">
        <f>SUM($AU$4:AU466)</f>
        <v>35720.379999999532</v>
      </c>
      <c r="BI466" s="80">
        <f>SUMIFS($AU$3:AU467,$Q$3:Q467,"F")</f>
        <v>23748.400000000001</v>
      </c>
      <c r="BJ466" s="80">
        <f>SUMIFS($AU$3:AU467,$Q$3:Q467,"S")</f>
        <v>8175.9999999999945</v>
      </c>
      <c r="BK466" s="87">
        <f>SUMIFS($AU$3:AU467,$P$3:P467,"W")</f>
        <v>24973.580000000344</v>
      </c>
      <c r="BL466" s="87">
        <f>SUMIFS($AU$3:AU467,$P$3:P467,"R")</f>
        <v>9197.9999999998618</v>
      </c>
      <c r="BM466" s="87">
        <f>SUMIFS($AU$3:AU467,$AQ$3:AQ467,"M")</f>
        <v>7012.7799999992385</v>
      </c>
      <c r="BN466" s="87">
        <f>SUMIFS($AU$3:AU467,$AQ$3:AQ467,"H")</f>
        <v>5159.2000000002827</v>
      </c>
      <c r="BO466" s="87">
        <f>SUMIFS($AU$3:AU467,$AQ$3:AQ467,"D")</f>
        <v>12150</v>
      </c>
      <c r="BP466" s="87">
        <f>SUMIFS($AU$3:AU554,$AQ$3:AQ554,"W")</f>
        <v>13472.599999999982</v>
      </c>
      <c r="BQ466" s="87">
        <f>SUMIFS($AU$3:AU467,$Q$3:Q467,"O")</f>
        <v>2371.979999999538</v>
      </c>
      <c r="BR466" s="87">
        <f>SUMIFS($AU$3:AU467,$AA$3:AA467,"*")</f>
        <v>26081.199999999415</v>
      </c>
      <c r="BS466" s="87">
        <f>SUMIFS($AU$3:AU467,$AB$3:AB467,"*")</f>
        <v>9655.1799999999312</v>
      </c>
      <c r="BT466" s="87">
        <f>SUMIFS($AU$3:AU467,$AC$3:AC467,"*")</f>
        <v>21428.400000000001</v>
      </c>
      <c r="BU466" s="87">
        <f>SUMIFS($AU$3:AU467,$AA$3:AA467,"*",$AB$3:AB467,"*")</f>
        <v>5759.9999999998217</v>
      </c>
      <c r="BV466" s="87">
        <f>SUMIFS($AU$3:AU467,$AA$3:AA467,"*",$AC$3:AC467,"*")</f>
        <v>14324.400000000001</v>
      </c>
      <c r="BW466" s="87">
        <f>SUMIFS($AU$3:AU467,$AB$3:AB467,"*",$AC$3:AC467,"*")</f>
        <v>4639.9999999999982</v>
      </c>
      <c r="BX466" s="87">
        <f>SUMIFS($AV$3:AV467,$Q$3:Q467,"F")</f>
        <v>456.63675319849239</v>
      </c>
      <c r="BY466" s="87">
        <f>SUMIFS($AV$3:AV467,$Q$3:Q467,"S")</f>
        <v>392.81638392253404</v>
      </c>
      <c r="BZ466" s="87">
        <f>SUMIFS($AV$3:AV467,$Q$3:Q467,"O")</f>
        <v>613.43999999979849</v>
      </c>
    </row>
    <row r="467" spans="1:78" ht="15.75" customHeight="1">
      <c r="A467" s="45" t="s">
        <v>1310</v>
      </c>
      <c r="B467" s="59">
        <v>45401</v>
      </c>
      <c r="C467" s="46"/>
      <c r="D467" s="46" t="s">
        <v>115</v>
      </c>
      <c r="E467" s="66"/>
      <c r="F467" s="47"/>
      <c r="G467" s="106" t="s">
        <v>111</v>
      </c>
      <c r="H467" s="49"/>
      <c r="I467" s="49"/>
      <c r="J467" s="49"/>
      <c r="K467" s="50"/>
      <c r="L467" s="49">
        <v>2</v>
      </c>
      <c r="M467" s="49"/>
      <c r="N467" s="49"/>
      <c r="O467" s="50" t="s">
        <v>100</v>
      </c>
      <c r="P467" s="50" t="s">
        <v>101</v>
      </c>
      <c r="Q467" s="50" t="s">
        <v>102</v>
      </c>
      <c r="R467" s="50">
        <v>10</v>
      </c>
      <c r="S467" s="161">
        <v>0</v>
      </c>
      <c r="T467" s="50">
        <v>10</v>
      </c>
      <c r="U467" s="50" t="s">
        <v>22</v>
      </c>
      <c r="V467" s="50"/>
      <c r="W467" s="50"/>
      <c r="X467" s="50"/>
      <c r="Y467" s="51">
        <f>IF(ISBLANK(O467),"",(IF(O467=UPPER("IB"),0.005,0.01)))</f>
        <v>0.01</v>
      </c>
      <c r="Z467" s="52">
        <f>IF(ISBLANK(O467),"",IF(O467="IB",8.63*200,IF(O467="IR",16*100,IF(O467="YT",20*100,IF(O467="YT-XT",24*200,IF(O467="TED",80*100,IF(O467="XT",29*200)))))))</f>
        <v>1600</v>
      </c>
      <c r="AA467" s="52" t="s">
        <v>515</v>
      </c>
      <c r="AB467" s="52"/>
      <c r="AC467" s="52"/>
      <c r="AD467" s="231">
        <v>-0.04</v>
      </c>
      <c r="AE467" s="49"/>
      <c r="AF467" s="84"/>
      <c r="AG467" s="49"/>
      <c r="AH467" s="49"/>
      <c r="AI467" s="49"/>
      <c r="AJ467" s="226"/>
      <c r="AK467" s="49"/>
      <c r="AL467" s="113">
        <f t="shared" si="206"/>
        <v>-32</v>
      </c>
      <c r="AM467" s="113">
        <f t="shared" si="194"/>
        <v>-320</v>
      </c>
      <c r="AN467" s="218"/>
      <c r="AO467" s="49"/>
      <c r="AP467" s="49"/>
      <c r="AQ467" s="84" t="s">
        <v>142</v>
      </c>
      <c r="AR467" s="49"/>
      <c r="AS467" s="55">
        <v>-0.04</v>
      </c>
      <c r="AT467" s="55">
        <f>IF(ISBLANK(AS467),,IF(U467="S",AD467-AS467,AS467-AD467))</f>
        <v>0</v>
      </c>
      <c r="AU467" s="54">
        <f>AV467*R467</f>
        <v>0</v>
      </c>
      <c r="AV467" s="56">
        <f t="shared" si="208"/>
        <v>0</v>
      </c>
      <c r="AW467" s="57" t="s">
        <v>155</v>
      </c>
      <c r="AX467" s="153"/>
      <c r="AY467" s="153"/>
      <c r="AZ467" s="153"/>
      <c r="BA467" s="153"/>
      <c r="BB467" s="153"/>
      <c r="BC467" s="153"/>
      <c r="BD467" s="151"/>
      <c r="BE467" s="152"/>
      <c r="BF467" s="151"/>
      <c r="BG467" s="94">
        <f>SUM($AV$4:AV467)</f>
        <v>3410.8931371208296</v>
      </c>
      <c r="BH467" s="95">
        <f>SUM($AU$4:AU467)</f>
        <v>35720.379999999532</v>
      </c>
      <c r="BI467" s="80">
        <f>SUMIFS($AU$3:AU468,$Q$3:Q468,"F")</f>
        <v>23748.400000000001</v>
      </c>
      <c r="BJ467" s="80">
        <f>SUMIFS($AU$3:AU468,$Q$3:Q468,"S")</f>
        <v>8175.9999999999945</v>
      </c>
      <c r="BK467" s="87">
        <f>SUMIFS($AU$3:AU468,$P$3:P468,"W")</f>
        <v>24973.580000000344</v>
      </c>
      <c r="BL467" s="87">
        <f>SUMIFS($AU$3:AU468,$P$3:P468,"R")</f>
        <v>9197.9999999998618</v>
      </c>
      <c r="BM467" s="87">
        <f>SUMIFS($AU$3:AU468,$AQ$3:AQ468,"M")</f>
        <v>7012.7799999992385</v>
      </c>
      <c r="BN467" s="87">
        <f>SUMIFS($AU$3:AU468,$AQ$3:AQ468,"H")</f>
        <v>5159.2000000002827</v>
      </c>
      <c r="BO467" s="87">
        <f>SUMIFS($AU$3:AU468,$AQ$3:AQ468,"D")</f>
        <v>12150</v>
      </c>
      <c r="BP467" s="87">
        <f>SUMIFS($AU$3:AU555,$AQ$3:AQ555,"W")</f>
        <v>13472.599999999982</v>
      </c>
      <c r="BQ467" s="87">
        <f>SUMIFS($AU$3:AU468,$Q$3:Q468,"O")</f>
        <v>2371.979999999538</v>
      </c>
      <c r="BR467" s="87">
        <f>SUMIFS($AU$3:AU468,$AA$3:AA468,"*")</f>
        <v>26081.199999999415</v>
      </c>
      <c r="BS467" s="87">
        <f>SUMIFS($AU$3:AU468,$AB$3:AB468,"*")</f>
        <v>9655.1799999999312</v>
      </c>
      <c r="BT467" s="87">
        <f>SUMIFS($AU$3:AU468,$AC$3:AC468,"*")</f>
        <v>21428.400000000001</v>
      </c>
      <c r="BU467" s="87">
        <f>SUMIFS($AU$3:AU468,$AA$3:AA468,"*",$AB$3:AB468,"*")</f>
        <v>5759.9999999998217</v>
      </c>
      <c r="BV467" s="87">
        <f>SUMIFS($AU$3:AU468,$AA$3:AA468,"*",$AC$3:AC468,"*")</f>
        <v>14324.400000000001</v>
      </c>
      <c r="BW467" s="87">
        <f>SUMIFS($AU$3:AU468,$AB$3:AB468,"*",$AC$3:AC468,"*")</f>
        <v>4639.9999999999982</v>
      </c>
      <c r="BX467" s="87">
        <f>SUMIFS($AV$3:AV468,$Q$3:Q468,"F")</f>
        <v>456.63675319849239</v>
      </c>
      <c r="BY467" s="87">
        <f>SUMIFS($AV$3:AV468,$Q$3:Q468,"S")</f>
        <v>392.81638392253404</v>
      </c>
      <c r="BZ467" s="87">
        <f>SUMIFS($AV$3:AV468,$Q$3:Q468,"O")</f>
        <v>613.43999999979849</v>
      </c>
    </row>
    <row r="468" spans="1:78" ht="15.75" customHeight="1">
      <c r="A468" s="45" t="s">
        <v>1310</v>
      </c>
      <c r="B468" s="59">
        <v>45401</v>
      </c>
      <c r="C468" s="46"/>
      <c r="D468" s="46" t="s">
        <v>115</v>
      </c>
      <c r="E468" s="66"/>
      <c r="F468" s="47"/>
      <c r="G468" s="48" t="s">
        <v>181</v>
      </c>
      <c r="H468" s="49"/>
      <c r="I468" s="49"/>
      <c r="J468" s="49"/>
      <c r="K468" s="50"/>
      <c r="L468" s="49"/>
      <c r="M468" s="49"/>
      <c r="N468" s="49"/>
      <c r="O468" s="50"/>
      <c r="P468" s="50"/>
      <c r="Q468" s="50"/>
      <c r="R468" s="50"/>
      <c r="S468" s="161"/>
      <c r="T468" s="50"/>
      <c r="U468" s="50"/>
      <c r="V468" s="50"/>
      <c r="W468" s="50"/>
      <c r="X468" s="50"/>
      <c r="Y468" s="51"/>
      <c r="Z468" s="52"/>
      <c r="AA468" s="52"/>
      <c r="AB468" s="52"/>
      <c r="AC468" s="52"/>
      <c r="AD468" s="231"/>
      <c r="AE468" s="49"/>
      <c r="AF468" s="84"/>
      <c r="AG468" s="49"/>
      <c r="AH468" s="49"/>
      <c r="AI468" s="49"/>
      <c r="AJ468" s="226"/>
      <c r="AK468" s="49"/>
      <c r="AL468" s="113">
        <f t="shared" si="206"/>
        <v>0</v>
      </c>
      <c r="AM468" s="113">
        <f t="shared" si="194"/>
        <v>0</v>
      </c>
      <c r="AN468" s="218"/>
      <c r="AO468" s="49"/>
      <c r="AP468" s="49"/>
      <c r="AQ468" s="84" t="str">
        <f>UPPER(RIGHT(Journal_Live[[#This Row],[DURATION ]]))</f>
        <v/>
      </c>
      <c r="AR468" s="49"/>
      <c r="AS468" s="55"/>
      <c r="AT468" s="55"/>
      <c r="AU468" s="54"/>
      <c r="AV468" s="56"/>
      <c r="AW468" s="57"/>
      <c r="AX468" s="153"/>
      <c r="AY468" s="153"/>
      <c r="AZ468" s="153"/>
      <c r="BA468" s="153"/>
      <c r="BB468" s="153"/>
      <c r="BC468" s="153"/>
      <c r="BD468" s="151"/>
      <c r="BE468" s="152"/>
      <c r="BF468" s="151"/>
      <c r="BG468" s="94">
        <f>SUM($AV$4:AV468)</f>
        <v>3410.8931371208296</v>
      </c>
      <c r="BH468" s="95">
        <f>SUM($AU$4:AU468)</f>
        <v>35720.379999999532</v>
      </c>
      <c r="BI468" s="80">
        <f>SUMIFS($AU$3:AU469,$Q$3:Q469,"F")</f>
        <v>23748.400000000001</v>
      </c>
      <c r="BJ468" s="80">
        <f>SUMIFS($AU$3:AU469,$Q$3:Q469,"S")</f>
        <v>8175.9999999999945</v>
      </c>
      <c r="BK468" s="87">
        <f>SUMIFS($AU$3:AU469,$P$3:P469,"W")</f>
        <v>24973.580000000344</v>
      </c>
      <c r="BL468" s="87">
        <f>SUMIFS($AU$3:AU469,$P$3:P469,"R")</f>
        <v>9197.9999999998618</v>
      </c>
      <c r="BM468" s="87">
        <f>SUMIFS($AU$3:AU469,$AQ$3:AQ469,"M")</f>
        <v>7012.7799999992385</v>
      </c>
      <c r="BN468" s="87">
        <f>SUMIFS($AU$3:AU469,$AQ$3:AQ469,"H")</f>
        <v>5159.2000000002827</v>
      </c>
      <c r="BO468" s="87">
        <f>SUMIFS($AU$3:AU469,$AQ$3:AQ469,"D")</f>
        <v>12150</v>
      </c>
      <c r="BP468" s="87">
        <f>SUMIFS($AU$3:AU561,$AQ$3:AQ561,"W")</f>
        <v>13472.599999999982</v>
      </c>
      <c r="BQ468" s="87">
        <f>SUMIFS($AU$3:AU469,$Q$3:Q469,"O")</f>
        <v>2371.979999999538</v>
      </c>
      <c r="BR468" s="87">
        <f>SUMIFS($AU$3:AU469,$AA$3:AA469,"*")</f>
        <v>26081.199999999415</v>
      </c>
      <c r="BS468" s="87">
        <f>SUMIFS($AU$3:AU469,$AB$3:AB469,"*")</f>
        <v>9655.1799999999312</v>
      </c>
      <c r="BT468" s="87">
        <f>SUMIFS($AU$3:AU469,$AC$3:AC469,"*")</f>
        <v>21428.400000000001</v>
      </c>
      <c r="BU468" s="87">
        <f>SUMIFS($AU$3:AU469,$AA$3:AA469,"*",$AB$3:AB469,"*")</f>
        <v>5759.9999999998217</v>
      </c>
      <c r="BV468" s="87">
        <f>SUMIFS($AU$3:AU469,$AA$3:AA469,"*",$AC$3:AC469,"*")</f>
        <v>14324.400000000001</v>
      </c>
      <c r="BW468" s="87">
        <f>SUMIFS($AU$3:AU469,$AB$3:AB469,"*",$AC$3:AC469,"*")</f>
        <v>4639.9999999999982</v>
      </c>
      <c r="BX468" s="87">
        <f>SUMIFS($AV$3:AV469,$Q$3:Q469,"F")</f>
        <v>456.63675319849239</v>
      </c>
      <c r="BY468" s="87">
        <f>SUMIFS($AV$3:AV469,$Q$3:Q469,"S")</f>
        <v>392.81638392253404</v>
      </c>
      <c r="BZ468" s="87">
        <f>SUMIFS($AV$3:AV469,$Q$3:Q469,"O")</f>
        <v>613.43999999979849</v>
      </c>
    </row>
    <row r="469" spans="1:78" ht="15.75" customHeight="1">
      <c r="A469" s="45" t="s">
        <v>1310</v>
      </c>
      <c r="B469" s="59">
        <v>45401</v>
      </c>
      <c r="C469" s="46" t="s">
        <v>1649</v>
      </c>
      <c r="D469" s="46" t="s">
        <v>115</v>
      </c>
      <c r="E469" s="66"/>
      <c r="F469" s="47"/>
      <c r="G469" s="106" t="s">
        <v>1193</v>
      </c>
      <c r="H469" s="49"/>
      <c r="I469" s="49"/>
      <c r="J469" s="49"/>
      <c r="K469" s="50"/>
      <c r="L469" s="49">
        <v>2</v>
      </c>
      <c r="M469" s="49"/>
      <c r="N469" s="49"/>
      <c r="O469" s="50" t="s">
        <v>100</v>
      </c>
      <c r="P469" s="50" t="s">
        <v>101</v>
      </c>
      <c r="Q469" s="50" t="s">
        <v>198</v>
      </c>
      <c r="R469" s="50">
        <v>35</v>
      </c>
      <c r="S469" s="50">
        <v>0</v>
      </c>
      <c r="T469" s="50">
        <v>35</v>
      </c>
      <c r="U469" s="50" t="s">
        <v>102</v>
      </c>
      <c r="V469" s="50"/>
      <c r="W469" s="50"/>
      <c r="X469" s="50"/>
      <c r="Y469" s="51">
        <f>IF(ISBLANK(O469),"",(IF(O469=UPPER("IB"),0.005,0.01)))</f>
        <v>0.01</v>
      </c>
      <c r="Z469" s="52">
        <f>IF(ISBLANK(O469),"",IF(O469="IB",8.63*200,IF(O469="IR",16*100,IF(O469="YT",20*100,IF(O469="YT-XT",24*200,IF(O469="TED",80*100,IF(O469="XT",29*200)))))))</f>
        <v>1600</v>
      </c>
      <c r="AA469" s="52" t="s">
        <v>515</v>
      </c>
      <c r="AB469" s="52"/>
      <c r="AC469" s="52"/>
      <c r="AD469" s="231">
        <v>95.68</v>
      </c>
      <c r="AE469" s="49"/>
      <c r="AF469" s="84"/>
      <c r="AG469" s="49"/>
      <c r="AH469" s="49"/>
      <c r="AI469" s="49"/>
      <c r="AJ469" s="226"/>
      <c r="AK469" s="49"/>
      <c r="AL469" s="113">
        <f t="shared" si="206"/>
        <v>-32</v>
      </c>
      <c r="AM469" s="113">
        <f t="shared" si="194"/>
        <v>-1120</v>
      </c>
      <c r="AN469" s="218"/>
      <c r="AO469" s="49"/>
      <c r="AP469" s="49"/>
      <c r="AQ469" s="84" t="s">
        <v>142</v>
      </c>
      <c r="AR469" s="49"/>
      <c r="AS469" s="55">
        <v>95.68</v>
      </c>
      <c r="AT469" s="55">
        <f>IF(ISBLANK(AS469),,IF(U469="S",AD469-AS469,AS469-AD469))</f>
        <v>0</v>
      </c>
      <c r="AU469" s="54">
        <f>AV469*R469</f>
        <v>0</v>
      </c>
      <c r="AV469" s="56">
        <f t="shared" ref="AV469:AV471" si="209">IF(ISBLANK(AS469),,(AT469*Z469))</f>
        <v>0</v>
      </c>
      <c r="AW469" s="57" t="s">
        <v>155</v>
      </c>
      <c r="AX469" s="153"/>
      <c r="AY469" s="153"/>
      <c r="AZ469" s="153"/>
      <c r="BA469" s="153"/>
      <c r="BB469" s="153"/>
      <c r="BC469" s="153"/>
      <c r="BD469" s="151"/>
      <c r="BE469" s="152"/>
      <c r="BF469" s="151"/>
      <c r="BG469" s="94">
        <f>SUM($AV$4:AV469)</f>
        <v>3410.8931371208296</v>
      </c>
      <c r="BH469" s="95">
        <f>SUM($AU$4:AU469)</f>
        <v>35720.379999999532</v>
      </c>
      <c r="BI469" s="80">
        <f>SUMIFS($AU$3:AU470,$Q$3:Q470,"F")</f>
        <v>23748.400000000001</v>
      </c>
      <c r="BJ469" s="80">
        <f>SUMIFS($AU$3:AU470,$Q$3:Q470,"S")</f>
        <v>8175.9999999999945</v>
      </c>
      <c r="BK469" s="87">
        <f>SUMIFS($AU$3:AU470,$P$3:P470,"W")</f>
        <v>24973.580000000344</v>
      </c>
      <c r="BL469" s="87">
        <f>SUMIFS($AU$3:AU470,$P$3:P470,"R")</f>
        <v>9197.9999999998618</v>
      </c>
      <c r="BM469" s="87">
        <f>SUMIFS($AU$3:AU470,$AQ$3:AQ470,"M")</f>
        <v>7012.7799999992385</v>
      </c>
      <c r="BN469" s="87">
        <f>SUMIFS($AU$3:AU470,$AQ$3:AQ470,"H")</f>
        <v>5159.2000000002827</v>
      </c>
      <c r="BO469" s="87">
        <f>SUMIFS($AU$3:AU470,$AQ$3:AQ470,"D")</f>
        <v>12150</v>
      </c>
      <c r="BP469" s="87">
        <f>SUMIFS($AU$3:AU562,$AQ$3:AQ562,"W")</f>
        <v>13472.599999999982</v>
      </c>
      <c r="BQ469" s="87">
        <f>SUMIFS($AU$3:AU470,$Q$3:Q470,"O")</f>
        <v>2371.979999999538</v>
      </c>
      <c r="BR469" s="87">
        <f>SUMIFS($AU$3:AU470,$AA$3:AA470,"*")</f>
        <v>26081.199999999415</v>
      </c>
      <c r="BS469" s="87">
        <f>SUMIFS($AU$3:AU470,$AB$3:AB470,"*")</f>
        <v>9655.1799999999312</v>
      </c>
      <c r="BT469" s="87">
        <f>SUMIFS($AU$3:AU470,$AC$3:AC470,"*")</f>
        <v>21428.400000000001</v>
      </c>
      <c r="BU469" s="87">
        <f>SUMIFS($AU$3:AU470,$AA$3:AA470,"*",$AB$3:AB470,"*")</f>
        <v>5759.9999999998217</v>
      </c>
      <c r="BV469" s="87">
        <f>SUMIFS($AU$3:AU470,$AA$3:AA470,"*",$AC$3:AC470,"*")</f>
        <v>14324.400000000001</v>
      </c>
      <c r="BW469" s="87">
        <f>SUMIFS($AU$3:AU470,$AB$3:AB470,"*",$AC$3:AC470,"*")</f>
        <v>4639.9999999999982</v>
      </c>
      <c r="BX469" s="87">
        <f>SUMIFS($AV$3:AV470,$Q$3:Q470,"F")</f>
        <v>456.63675319849239</v>
      </c>
      <c r="BY469" s="87">
        <f>SUMIFS($AV$3:AV470,$Q$3:Q470,"S")</f>
        <v>392.81638392253404</v>
      </c>
      <c r="BZ469" s="87">
        <f>SUMIFS($AV$3:AV470,$Q$3:Q470,"O")</f>
        <v>613.43999999979849</v>
      </c>
    </row>
    <row r="470" spans="1:78" ht="15.75" customHeight="1">
      <c r="A470" s="45" t="s">
        <v>1310</v>
      </c>
      <c r="B470" s="59">
        <v>45401</v>
      </c>
      <c r="C470" s="46" t="s">
        <v>1217</v>
      </c>
      <c r="D470" s="46" t="s">
        <v>115</v>
      </c>
      <c r="E470" s="66" t="s">
        <v>1650</v>
      </c>
      <c r="F470" s="47"/>
      <c r="G470" s="48"/>
      <c r="H470" s="49"/>
      <c r="I470" s="49"/>
      <c r="J470" s="49"/>
      <c r="K470" s="50"/>
      <c r="L470" s="49"/>
      <c r="M470" s="49"/>
      <c r="N470" s="49"/>
      <c r="O470" s="50"/>
      <c r="P470" s="50"/>
      <c r="Q470" s="50"/>
      <c r="R470" s="50"/>
      <c r="S470" s="50"/>
      <c r="T470" s="50"/>
      <c r="U470" s="50"/>
      <c r="V470" s="50"/>
      <c r="W470" s="50"/>
      <c r="X470" s="50"/>
      <c r="Y470" s="50"/>
      <c r="Z470" s="50"/>
      <c r="AA470" s="52"/>
      <c r="AB470" s="52"/>
      <c r="AC470" s="52"/>
      <c r="AD470" s="231"/>
      <c r="AE470" s="49"/>
      <c r="AF470" s="84"/>
      <c r="AG470" s="49"/>
      <c r="AH470" s="49"/>
      <c r="AI470" s="49"/>
      <c r="AJ470" s="226"/>
      <c r="AK470" s="49"/>
      <c r="AL470" s="113">
        <f t="shared" si="206"/>
        <v>0</v>
      </c>
      <c r="AM470" s="113">
        <f t="shared" si="194"/>
        <v>0</v>
      </c>
      <c r="AN470" s="218"/>
      <c r="AO470" s="49"/>
      <c r="AP470" s="49"/>
      <c r="AQ470" s="84" t="str">
        <f>UPPER(RIGHT(Journal_Live[[#This Row],[DURATION ]]))</f>
        <v/>
      </c>
      <c r="AR470" s="49"/>
      <c r="AS470" s="55"/>
      <c r="AT470" s="55"/>
      <c r="AU470" s="54"/>
      <c r="AV470" s="56"/>
      <c r="AW470" s="57"/>
      <c r="AX470" s="153"/>
      <c r="AY470" s="153"/>
      <c r="AZ470" s="153"/>
      <c r="BA470" s="153"/>
      <c r="BB470" s="153"/>
      <c r="BC470" s="153"/>
      <c r="BD470" s="151"/>
      <c r="BE470" s="152"/>
      <c r="BF470" s="151"/>
      <c r="BG470" s="94">
        <f>SUM($AV$4:AV470)</f>
        <v>3410.8931371208296</v>
      </c>
      <c r="BH470" s="95">
        <f>SUM($AU$4:AU470)</f>
        <v>35720.379999999532</v>
      </c>
      <c r="BI470" s="80">
        <f>SUMIFS($AU$3:AU471,$Q$3:Q471,"F")</f>
        <v>23748.400000000001</v>
      </c>
      <c r="BJ470" s="80">
        <f>SUMIFS($AU$3:AU471,$Q$3:Q471,"S")</f>
        <v>8175.9999999999945</v>
      </c>
      <c r="BK470" s="87">
        <f>SUMIFS($AU$3:AU471,$P$3:P471,"W")</f>
        <v>24973.580000000344</v>
      </c>
      <c r="BL470" s="87">
        <f>SUMIFS($AU$3:AU471,$P$3:P471,"R")</f>
        <v>9197.9999999998618</v>
      </c>
      <c r="BM470" s="87">
        <f>SUMIFS($AU$3:AU471,$AQ$3:AQ471,"M")</f>
        <v>7128.779999999133</v>
      </c>
      <c r="BN470" s="87">
        <f>SUMIFS($AU$3:AU471,$AQ$3:AQ471,"H")</f>
        <v>5159.2000000002827</v>
      </c>
      <c r="BO470" s="87">
        <f>SUMIFS($AU$3:AU471,$AQ$3:AQ471,"D")</f>
        <v>12150</v>
      </c>
      <c r="BP470" s="87">
        <f>SUMIFS($AU$3:AU563,$AQ$3:AQ563,"W")</f>
        <v>13472.599999999982</v>
      </c>
      <c r="BQ470" s="87">
        <f>SUMIFS($AU$3:AU471,$Q$3:Q471,"O")</f>
        <v>2487.9799999994325</v>
      </c>
      <c r="BR470" s="87">
        <f>SUMIFS($AU$3:AU471,$AA$3:AA471,"*")</f>
        <v>26197.19999999931</v>
      </c>
      <c r="BS470" s="87">
        <f>SUMIFS($AU$3:AU471,$AB$3:AB471,"*")</f>
        <v>9655.1799999999312</v>
      </c>
      <c r="BT470" s="87">
        <f>SUMIFS($AU$3:AU471,$AC$3:AC471,"*")</f>
        <v>21428.400000000001</v>
      </c>
      <c r="BU470" s="87">
        <f>SUMIFS($AU$3:AU471,$AA$3:AA471,"*",$AB$3:AB471,"*")</f>
        <v>5759.9999999998217</v>
      </c>
      <c r="BV470" s="87">
        <f>SUMIFS($AU$3:AU471,$AA$3:AA471,"*",$AC$3:AC471,"*")</f>
        <v>14324.400000000001</v>
      </c>
      <c r="BW470" s="87">
        <f>SUMIFS($AU$3:AU471,$AB$3:AB471,"*",$AC$3:AC471,"*")</f>
        <v>4639.9999999999982</v>
      </c>
      <c r="BX470" s="87">
        <f>SUMIFS($AV$3:AV471,$Q$3:Q471,"F")</f>
        <v>456.63675319849239</v>
      </c>
      <c r="BY470" s="87">
        <f>SUMIFS($AV$3:AV471,$Q$3:Q471,"S")</f>
        <v>392.81638392253404</v>
      </c>
      <c r="BZ470" s="87">
        <f>SUMIFS($AV$3:AV471,$Q$3:Q471,"O")</f>
        <v>642.43999999977211</v>
      </c>
    </row>
    <row r="471" spans="1:78" ht="15.75" customHeight="1">
      <c r="A471" s="45" t="s">
        <v>1310</v>
      </c>
      <c r="B471" s="59">
        <v>45401</v>
      </c>
      <c r="C471" s="46" t="s">
        <v>1185</v>
      </c>
      <c r="D471" s="46" t="s">
        <v>115</v>
      </c>
      <c r="E471" s="66"/>
      <c r="F471" s="47"/>
      <c r="G471" s="48" t="s">
        <v>1169</v>
      </c>
      <c r="H471" s="49"/>
      <c r="I471" s="49"/>
      <c r="J471" s="49"/>
      <c r="K471" s="50"/>
      <c r="L471" s="49">
        <v>3</v>
      </c>
      <c r="M471" s="49"/>
      <c r="N471" s="49"/>
      <c r="O471" s="50" t="s">
        <v>196</v>
      </c>
      <c r="P471" s="50" t="s">
        <v>197</v>
      </c>
      <c r="Q471" s="50" t="s">
        <v>198</v>
      </c>
      <c r="R471" s="50">
        <v>4</v>
      </c>
      <c r="S471" s="50">
        <v>0</v>
      </c>
      <c r="T471" s="50">
        <v>2</v>
      </c>
      <c r="U471" s="50" t="s">
        <v>102</v>
      </c>
      <c r="V471" s="50"/>
      <c r="W471" s="50"/>
      <c r="X471" s="50"/>
      <c r="Y471" s="51">
        <f>IF(ISBLANK(O471),"",(IF(O471=UPPER("IB"),0.005,0.01)))</f>
        <v>0.01</v>
      </c>
      <c r="Z471" s="52">
        <f>IF(ISBLANK(O471),"",IF(O471="IB",8.63*200,IF(O471="IR",16*100,IF(O471="YT",20*100,IF(O471="YT-XT",24*200,IF(O471="TED",80*100,IF(O471="XT",29*200)))))))</f>
        <v>5800</v>
      </c>
      <c r="AA471" s="52" t="s">
        <v>1651</v>
      </c>
      <c r="AB471" s="52"/>
      <c r="AC471" s="52"/>
      <c r="AD471" s="231">
        <v>95.74</v>
      </c>
      <c r="AE471" s="49"/>
      <c r="AF471" s="84"/>
      <c r="AG471" s="49"/>
      <c r="AH471" s="49"/>
      <c r="AI471" s="49"/>
      <c r="AJ471" s="226"/>
      <c r="AK471" s="49"/>
      <c r="AL471" s="113">
        <f t="shared" si="204"/>
        <v>-116</v>
      </c>
      <c r="AM471" s="113">
        <f t="shared" si="194"/>
        <v>-464</v>
      </c>
      <c r="AN471" s="218"/>
      <c r="AO471" s="49"/>
      <c r="AP471" s="49" t="s">
        <v>1348</v>
      </c>
      <c r="AQ471" s="84" t="s">
        <v>350</v>
      </c>
      <c r="AR471" s="49"/>
      <c r="AS471" s="55">
        <v>95.734999999999999</v>
      </c>
      <c r="AT471" s="55">
        <f>IF(ISBLANK(AS471),,IF(U471="S",AD471-AS471,AS471-AD471))</f>
        <v>4.9999999999954525E-3</v>
      </c>
      <c r="AU471" s="54">
        <f>AV471*R471</f>
        <v>115.9999999998945</v>
      </c>
      <c r="AV471" s="56">
        <f t="shared" si="209"/>
        <v>28.999999999973625</v>
      </c>
      <c r="AW471" s="57" t="s">
        <v>101</v>
      </c>
      <c r="AX471" s="153"/>
      <c r="AY471" s="153"/>
      <c r="AZ471" s="153"/>
      <c r="BA471" s="153"/>
      <c r="BB471" s="153"/>
      <c r="BC471" s="153"/>
      <c r="BD471" s="151"/>
      <c r="BE471" s="152"/>
      <c r="BF471" s="151"/>
      <c r="BG471" s="94">
        <f>SUM($AV$4:AV471)</f>
        <v>3439.8931371208032</v>
      </c>
      <c r="BH471" s="95">
        <f>SUM($AU$4:AU471)</f>
        <v>35836.379999999423</v>
      </c>
      <c r="BI471" s="80">
        <f>SUMIFS($AU$3:AU472,$Q$3:Q472,"F")</f>
        <v>23748.400000000001</v>
      </c>
      <c r="BJ471" s="80">
        <f>SUMIFS($AU$3:AU472,$Q$3:Q472,"S")</f>
        <v>8175.9999999999945</v>
      </c>
      <c r="BK471" s="87">
        <f>SUMIFS($AU$3:AU472,$P$3:P472,"W")</f>
        <v>24973.580000000344</v>
      </c>
      <c r="BL471" s="87">
        <f>SUMIFS($AU$3:AU472,$P$3:P472,"R")</f>
        <v>9197.9999999998618</v>
      </c>
      <c r="BM471" s="87">
        <f>SUMIFS($AU$3:AU472,$AQ$3:AQ472,"M")</f>
        <v>7128.779999999133</v>
      </c>
      <c r="BN471" s="87">
        <f>SUMIFS($AU$3:AU472,$AQ$3:AQ472,"H")</f>
        <v>5159.2000000002827</v>
      </c>
      <c r="BO471" s="87">
        <f>SUMIFS($AU$3:AU472,$AQ$3:AQ472,"D")</f>
        <v>12150</v>
      </c>
      <c r="BP471" s="87">
        <f>SUMIFS($AU$3:AU1090,$AQ$3:AQ1090,"W")</f>
        <v>11236.946363636598</v>
      </c>
      <c r="BQ471" s="87">
        <f>SUMIFS($AU$3:AU472,$Q$3:Q472,"O")</f>
        <v>2487.9799999994325</v>
      </c>
      <c r="BR471" s="87">
        <f>SUMIFS($AU$3:AU472,$AA$3:AA472,"*")</f>
        <v>26197.19999999931</v>
      </c>
      <c r="BS471" s="87">
        <f>SUMIFS($AU$3:AU472,$AB$3:AB472,"*")</f>
        <v>9655.1799999999312</v>
      </c>
      <c r="BT471" s="87">
        <f>SUMIFS($AU$3:AU472,$AC$3:AC472,"*")</f>
        <v>21428.400000000001</v>
      </c>
      <c r="BU471" s="87">
        <f>SUMIFS($AU$3:AU472,$AA$3:AA472,"*",$AB$3:AB472,"*")</f>
        <v>5759.9999999998217</v>
      </c>
      <c r="BV471" s="87">
        <f>SUMIFS($AU$3:AU472,$AA$3:AA472,"*",$AC$3:AC472,"*")</f>
        <v>14324.400000000001</v>
      </c>
      <c r="BW471" s="87">
        <f>SUMIFS($AU$3:AU472,$AB$3:AB472,"*",$AC$3:AC472,"*")</f>
        <v>4639.9999999999982</v>
      </c>
      <c r="BX471" s="87">
        <f>SUMIFS($AV$3:AV472,$Q$3:Q472,"F")</f>
        <v>456.63675319849239</v>
      </c>
      <c r="BY471" s="87">
        <f>SUMIFS($AV$3:AV472,$Q$3:Q472,"S")</f>
        <v>392.81638392253404</v>
      </c>
      <c r="BZ471" s="87">
        <f>SUMIFS($AV$3:AV472,$Q$3:Q472,"O")</f>
        <v>642.43999999977211</v>
      </c>
    </row>
    <row r="472" spans="1:78" ht="15.75" customHeight="1">
      <c r="A472" s="45" t="s">
        <v>1310</v>
      </c>
      <c r="B472" s="59"/>
      <c r="C472" s="46"/>
      <c r="D472" s="46"/>
      <c r="E472" s="66"/>
      <c r="F472" s="47"/>
      <c r="G472" s="48"/>
      <c r="H472" s="49"/>
      <c r="I472" s="49"/>
      <c r="J472" s="49"/>
      <c r="K472" s="50"/>
      <c r="L472" s="49"/>
      <c r="M472" s="49"/>
      <c r="N472" s="49"/>
      <c r="O472" s="50"/>
      <c r="P472" s="50"/>
      <c r="Q472" s="50"/>
      <c r="R472" s="50"/>
      <c r="S472" s="50"/>
      <c r="T472" s="50"/>
      <c r="U472" s="50"/>
      <c r="V472" s="50"/>
      <c r="W472" s="50"/>
      <c r="X472" s="50"/>
      <c r="Y472" s="50"/>
      <c r="Z472" s="50"/>
      <c r="AA472" s="52"/>
      <c r="AB472" s="52"/>
      <c r="AC472" s="52"/>
      <c r="AD472" s="231"/>
      <c r="AE472" s="49"/>
      <c r="AF472" s="84"/>
      <c r="AG472" s="49"/>
      <c r="AH472" s="49"/>
      <c r="AI472" s="49"/>
      <c r="AJ472" s="226"/>
      <c r="AK472" s="49"/>
      <c r="AL472" s="113">
        <f t="shared" si="203"/>
        <v>0</v>
      </c>
      <c r="AM472" s="113">
        <f t="shared" si="194"/>
        <v>0</v>
      </c>
      <c r="AN472" s="218"/>
      <c r="AO472" s="49"/>
      <c r="AP472" s="49"/>
      <c r="AQ472" s="84" t="str">
        <f>UPPER(RIGHT(Journal_Live[[#This Row],[DURATION ]]))</f>
        <v/>
      </c>
      <c r="AR472" s="49"/>
      <c r="AS472" s="55"/>
      <c r="AT472" s="55"/>
      <c r="AU472" s="54"/>
      <c r="AV472" s="56"/>
      <c r="AW472" s="57"/>
      <c r="AX472" s="153" t="s">
        <v>1652</v>
      </c>
      <c r="AY472" s="153" t="s">
        <v>1653</v>
      </c>
      <c r="AZ472" s="153" t="s">
        <v>1654</v>
      </c>
      <c r="BA472" s="153"/>
      <c r="BB472" s="153"/>
      <c r="BC472" s="153"/>
      <c r="BD472" s="151"/>
      <c r="BE472" s="152"/>
      <c r="BF472" s="151"/>
      <c r="BG472" s="94">
        <f>SUM($AV$4:AV472)</f>
        <v>3439.8931371208032</v>
      </c>
      <c r="BH472" s="95">
        <f>SUM($AU$4:AU472)</f>
        <v>35836.379999999423</v>
      </c>
      <c r="BI472" s="80">
        <f>SUMIFS($AU$3:AU473,$Q$3:Q473,"F")</f>
        <v>23748.400000000001</v>
      </c>
      <c r="BJ472" s="80">
        <f>SUMIFS($AU$3:AU473,$Q$3:Q473,"S")</f>
        <v>8175.9999999999945</v>
      </c>
      <c r="BK472" s="87">
        <f>SUMIFS($AU$3:AU473,$P$3:P473,"W")</f>
        <v>24973.580000000344</v>
      </c>
      <c r="BL472" s="87">
        <f>SUMIFS($AU$3:AU473,$P$3:P473,"R")</f>
        <v>9197.9999999998618</v>
      </c>
      <c r="BM472" s="87">
        <f>SUMIFS($AU$3:AU473,$AQ$3:AQ473,"M")</f>
        <v>7128.779999999133</v>
      </c>
      <c r="BN472" s="87">
        <f>SUMIFS($AU$3:AU473,$AQ$3:AQ473,"H")</f>
        <v>5159.2000000002827</v>
      </c>
      <c r="BO472" s="87">
        <f>SUMIFS($AU$3:AU473,$AQ$3:AQ473,"D")</f>
        <v>12150</v>
      </c>
      <c r="BP472" s="87">
        <f>SUMIFS($AU$3:AU1232,$AQ$3:AQ1232,"W")</f>
        <v>11236.946363636598</v>
      </c>
      <c r="BQ472" s="87">
        <f>SUMIFS($AU$3:AU473,$Q$3:Q473,"O")</f>
        <v>2487.9799999994325</v>
      </c>
      <c r="BR472" s="87">
        <f>SUMIFS($AU$3:AU473,$AA$3:AA473,"*")</f>
        <v>26197.19999999931</v>
      </c>
      <c r="BS472" s="87">
        <f>SUMIFS($AU$3:AU473,$AB$3:AB473,"*")</f>
        <v>9655.1799999999312</v>
      </c>
      <c r="BT472" s="87">
        <f>SUMIFS($AU$3:AU473,$AC$3:AC473,"*")</f>
        <v>21428.400000000001</v>
      </c>
      <c r="BU472" s="87">
        <f>SUMIFS($AU$3:AU473,$AA$3:AA473,"*",$AB$3:AB473,"*")</f>
        <v>5759.9999999998217</v>
      </c>
      <c r="BV472" s="87">
        <f>SUMIFS($AU$3:AU473,$AA$3:AA473,"*",$AC$3:AC473,"*")</f>
        <v>14324.400000000001</v>
      </c>
      <c r="BW472" s="87">
        <f>SUMIFS($AU$3:AU473,$AB$3:AB473,"*",$AC$3:AC473,"*")</f>
        <v>4639.9999999999982</v>
      </c>
      <c r="BX472" s="87">
        <f>SUMIFS($AV$3:AV473,$Q$3:Q473,"F")</f>
        <v>456.63675319849239</v>
      </c>
      <c r="BY472" s="87">
        <f>SUMIFS($AV$3:AV473,$Q$3:Q473,"S")</f>
        <v>392.81638392253404</v>
      </c>
      <c r="BZ472" s="87">
        <f>SUMIFS($AV$3:AV473,$Q$3:Q473,"O")</f>
        <v>642.43999999977211</v>
      </c>
    </row>
    <row r="473" spans="1:78" ht="15.75" customHeight="1">
      <c r="A473" s="45" t="s">
        <v>1310</v>
      </c>
      <c r="B473" s="59"/>
      <c r="C473" s="46"/>
      <c r="D473" s="46"/>
      <c r="E473" s="66"/>
      <c r="F473" s="47"/>
      <c r="G473" s="48"/>
      <c r="H473" s="49"/>
      <c r="I473" s="49"/>
      <c r="J473" s="49"/>
      <c r="K473" s="50"/>
      <c r="L473" s="49"/>
      <c r="M473" s="49"/>
      <c r="N473" s="49"/>
      <c r="O473" s="50"/>
      <c r="P473" s="50"/>
      <c r="Q473" s="50"/>
      <c r="R473" s="50"/>
      <c r="S473" s="50"/>
      <c r="T473" s="50"/>
      <c r="U473" s="50"/>
      <c r="V473" s="50"/>
      <c r="W473" s="50"/>
      <c r="X473" s="50"/>
      <c r="Y473" s="50"/>
      <c r="Z473" s="50"/>
      <c r="AA473" s="52"/>
      <c r="AB473" s="52"/>
      <c r="AC473" s="52"/>
      <c r="AD473" s="231"/>
      <c r="AE473" s="49"/>
      <c r="AF473" s="84"/>
      <c r="AG473" s="49"/>
      <c r="AH473" s="49"/>
      <c r="AI473" s="49"/>
      <c r="AJ473" s="226"/>
      <c r="AK473" s="49"/>
      <c r="AL473" s="113">
        <f t="shared" si="203"/>
        <v>0</v>
      </c>
      <c r="AM473" s="113">
        <f t="shared" si="194"/>
        <v>0</v>
      </c>
      <c r="AN473" s="218"/>
      <c r="AO473" s="49"/>
      <c r="AP473" s="49"/>
      <c r="AQ473" s="84" t="str">
        <f>UPPER(RIGHT(Journal_Live[[#This Row],[DURATION ]]))</f>
        <v/>
      </c>
      <c r="AR473" s="49"/>
      <c r="AS473" s="55"/>
      <c r="AT473" s="55"/>
      <c r="AU473" s="54"/>
      <c r="AV473" s="56"/>
      <c r="AW473" s="57"/>
      <c r="AX473" s="153" t="s">
        <v>1655</v>
      </c>
      <c r="AY473" s="153"/>
      <c r="AZ473" s="153"/>
      <c r="BA473" s="153"/>
      <c r="BB473" s="153"/>
      <c r="BC473" s="153"/>
      <c r="BD473" s="151"/>
      <c r="BE473" s="152"/>
      <c r="BF473" s="151"/>
      <c r="BG473" s="94">
        <f>SUM($AV$4:AV473)</f>
        <v>3439.8931371208032</v>
      </c>
      <c r="BH473" s="95">
        <f>SUM($AU$4:AU473)</f>
        <v>35836.379999999423</v>
      </c>
      <c r="BI473" s="80">
        <f>SUMIFS($AU$3:AU474,$Q$3:Q474,"F")</f>
        <v>23748.400000000001</v>
      </c>
      <c r="BJ473" s="80">
        <f>SUMIFS($AU$3:AU474,$Q$3:Q474,"S")</f>
        <v>8175.9999999999945</v>
      </c>
      <c r="BK473" s="87">
        <f>SUMIFS($AU$3:AU474,$P$3:P474,"W")</f>
        <v>24973.580000000344</v>
      </c>
      <c r="BL473" s="87">
        <f>SUMIFS($AU$3:AU474,$P$3:P474,"R")</f>
        <v>9197.9999999998618</v>
      </c>
      <c r="BM473" s="87">
        <f>SUMIFS($AU$3:AU474,$AQ$3:AQ474,"M")</f>
        <v>7128.779999999133</v>
      </c>
      <c r="BN473" s="87">
        <f>SUMIFS($AU$3:AU474,$AQ$3:AQ474,"H")</f>
        <v>5159.2000000002827</v>
      </c>
      <c r="BO473" s="87">
        <f>SUMIFS($AU$3:AU474,$AQ$3:AQ474,"D")</f>
        <v>12150</v>
      </c>
      <c r="BP473" s="87">
        <f>SUMIFS($AU$3:AU1234,$AQ$3:AQ1234,"W")</f>
        <v>11236.946363636598</v>
      </c>
      <c r="BQ473" s="87">
        <f>SUMIFS($AU$3:AU474,$Q$3:Q474,"O")</f>
        <v>2487.9799999994325</v>
      </c>
      <c r="BR473" s="87">
        <f>SUMIFS($AU$3:AU474,$AA$3:AA474,"*")</f>
        <v>26197.19999999931</v>
      </c>
      <c r="BS473" s="87">
        <f>SUMIFS($AU$3:AU474,$AB$3:AB474,"*")</f>
        <v>9655.1799999999312</v>
      </c>
      <c r="BT473" s="87">
        <f>SUMIFS($AU$3:AU474,$AC$3:AC474,"*")</f>
        <v>21428.400000000001</v>
      </c>
      <c r="BU473" s="87">
        <f>SUMIFS($AU$3:AU474,$AA$3:AA474,"*",$AB$3:AB474,"*")</f>
        <v>5759.9999999998217</v>
      </c>
      <c r="BV473" s="87">
        <f>SUMIFS($AU$3:AU474,$AA$3:AA474,"*",$AC$3:AC474,"*")</f>
        <v>14324.400000000001</v>
      </c>
      <c r="BW473" s="87">
        <f>SUMIFS($AU$3:AU474,$AB$3:AB474,"*",$AC$3:AC474,"*")</f>
        <v>4639.9999999999982</v>
      </c>
      <c r="BX473" s="87">
        <f>SUMIFS($AV$3:AV474,$Q$3:Q474,"F")</f>
        <v>456.63675319849239</v>
      </c>
      <c r="BY473" s="87">
        <f>SUMIFS($AV$3:AV474,$Q$3:Q474,"S")</f>
        <v>392.81638392253404</v>
      </c>
      <c r="BZ473" s="87">
        <f>SUMIFS($AV$3:AV474,$Q$3:Q474,"O")</f>
        <v>642.43999999977211</v>
      </c>
    </row>
    <row r="474" spans="1:78" ht="15.75" customHeight="1">
      <c r="A474" s="45" t="s">
        <v>1310</v>
      </c>
      <c r="B474" s="59">
        <v>45404</v>
      </c>
      <c r="C474" s="46" t="s">
        <v>470</v>
      </c>
      <c r="D474" s="46" t="s">
        <v>176</v>
      </c>
      <c r="E474" s="66"/>
      <c r="F474" s="47"/>
      <c r="G474" s="106" t="s">
        <v>1580</v>
      </c>
      <c r="H474" s="49"/>
      <c r="I474" s="49"/>
      <c r="J474" s="49"/>
      <c r="K474" s="50"/>
      <c r="L474" s="49"/>
      <c r="M474" s="49">
        <v>1</v>
      </c>
      <c r="N474" s="49"/>
      <c r="O474" s="50" t="s">
        <v>100</v>
      </c>
      <c r="P474" s="50" t="s">
        <v>101</v>
      </c>
      <c r="Q474" s="50" t="s">
        <v>127</v>
      </c>
      <c r="R474" s="50">
        <v>100</v>
      </c>
      <c r="S474" s="161">
        <v>0</v>
      </c>
      <c r="T474" s="50">
        <v>60</v>
      </c>
      <c r="U474" s="50" t="s">
        <v>102</v>
      </c>
      <c r="V474" s="50"/>
      <c r="W474" s="50"/>
      <c r="X474" s="50"/>
      <c r="Y474" s="51">
        <f>IF(ISBLANK(O474),"",(IF(O474=UPPER("IB"),0.005,0.01)))</f>
        <v>0.01</v>
      </c>
      <c r="Z474" s="52">
        <f>IF(ISBLANK(O474),"",IF(O474="IB",8.63*200,IF(O474="IR",16*100,IF(O474="YT",20*100,IF(O474="YT-XT",24*200,IF(O474="TED",80*100,IF(O474="XT",29*200)))))))</f>
        <v>1600</v>
      </c>
      <c r="AA474" s="52" t="s">
        <v>1656</v>
      </c>
      <c r="AB474" s="52"/>
      <c r="AC474" s="52" t="s">
        <v>1657</v>
      </c>
      <c r="AD474" s="231">
        <v>0</v>
      </c>
      <c r="AE474" s="49"/>
      <c r="AF474" s="84"/>
      <c r="AG474" s="49"/>
      <c r="AH474" s="49"/>
      <c r="AI474" s="49"/>
      <c r="AJ474" s="226" t="s">
        <v>1658</v>
      </c>
      <c r="AK474" s="49"/>
      <c r="AL474" s="113">
        <f t="shared" si="203"/>
        <v>-32</v>
      </c>
      <c r="AM474" s="113">
        <f t="shared" si="194"/>
        <v>-3200</v>
      </c>
      <c r="AN474" s="218"/>
      <c r="AO474" s="49"/>
      <c r="AP474" s="49" t="s">
        <v>279</v>
      </c>
      <c r="AQ474" s="84" t="s">
        <v>155</v>
      </c>
      <c r="AR474" s="49"/>
      <c r="AS474" s="55">
        <v>0</v>
      </c>
      <c r="AT474" s="55">
        <f>IF(ISBLANK(AS474),,IF(U474="S",AD474-AS474,AS474-AD474))</f>
        <v>0</v>
      </c>
      <c r="AU474" s="54">
        <f>AV474*R474</f>
        <v>0</v>
      </c>
      <c r="AV474" s="56">
        <f t="shared" ref="AV474:AV475" si="210">IF(ISBLANK(AS474),,(AT474*Z474))</f>
        <v>0</v>
      </c>
      <c r="AW474" s="57" t="s">
        <v>155</v>
      </c>
      <c r="AX474" s="153" t="s">
        <v>1659</v>
      </c>
      <c r="AY474" s="153" t="s">
        <v>1660</v>
      </c>
      <c r="AZ474" s="153" t="s">
        <v>1661</v>
      </c>
      <c r="BA474" s="153" t="s">
        <v>1662</v>
      </c>
      <c r="BB474" s="153" t="s">
        <v>1663</v>
      </c>
      <c r="BC474" s="153" t="s">
        <v>1664</v>
      </c>
      <c r="BD474" s="151" t="s">
        <v>1665</v>
      </c>
      <c r="BE474" s="152"/>
      <c r="BF474" s="151"/>
      <c r="BG474" s="94">
        <f>SUM($AV$4:AV474)</f>
        <v>3439.8931371208032</v>
      </c>
      <c r="BH474" s="95">
        <f>SUM($AU$4:AU474)</f>
        <v>35836.379999999423</v>
      </c>
      <c r="BI474" s="80">
        <f>SUMIFS($AU$3:AU475,$Q$3:Q475,"F")</f>
        <v>23748.400000000001</v>
      </c>
      <c r="BJ474" s="80">
        <f>SUMIFS($AU$3:AU475,$Q$3:Q475,"S")</f>
        <v>8175.9999999999945</v>
      </c>
      <c r="BK474" s="87">
        <f>SUMIFS($AU$3:AU475,$P$3:P475,"W")</f>
        <v>24973.580000000344</v>
      </c>
      <c r="BL474" s="87">
        <f>SUMIFS($AU$3:AU475,$P$3:P475,"R")</f>
        <v>9197.9999999998618</v>
      </c>
      <c r="BM474" s="87">
        <f>SUMIFS($AU$3:AU475,$AQ$3:AQ475,"M")</f>
        <v>7128.779999999133</v>
      </c>
      <c r="BN474" s="87">
        <f>SUMIFS($AU$3:AU475,$AQ$3:AQ475,"H")</f>
        <v>5159.2000000002827</v>
      </c>
      <c r="BO474" s="87">
        <f>SUMIFS($AU$3:AU475,$AQ$3:AQ475,"D")</f>
        <v>12150</v>
      </c>
      <c r="BP474" s="87">
        <f>SUMIFS($AS$3:AS1235,$AO$3:AO1235,"W")</f>
        <v>0</v>
      </c>
      <c r="BQ474" s="87">
        <f>SUMIFS($AU$3:AU475,$Q$3:Q475,"O")</f>
        <v>2487.9799999994325</v>
      </c>
      <c r="BR474" s="87">
        <f>SUMIFS($AU$3:AU475,$AA$3:AA475,"*")</f>
        <v>26197.19999999931</v>
      </c>
      <c r="BS474" s="87">
        <f>SUMIFS($AU$3:AU475,$AB$3:AB475,"*")</f>
        <v>9655.1799999999312</v>
      </c>
      <c r="BT474" s="87">
        <f>SUMIFS($AU$3:AU475,$AC$3:AC475,"*")</f>
        <v>21428.400000000001</v>
      </c>
      <c r="BU474" s="87">
        <f>SUMIFS($AU$3:AU475,$AA$3:AA475,"*",$AB$3:AB475,"*")</f>
        <v>5759.9999999998217</v>
      </c>
      <c r="BV474" s="87">
        <f>SUMIFS($AU$3:AU475,$AA$3:AA475,"*",$AC$3:AC475,"*")</f>
        <v>14324.400000000001</v>
      </c>
      <c r="BW474" s="87">
        <f>SUMIFS($AU$3:AU475,$AB$3:AB475,"*",$AC$3:AC475,"*")</f>
        <v>4639.9999999999982</v>
      </c>
      <c r="BX474" s="87">
        <f>SUMIFS($AV$3:AV475,$Q$3:Q475,"F")</f>
        <v>456.63675319849239</v>
      </c>
      <c r="BY474" s="87">
        <f>SUMIFS($AV$3:AV475,$Q$3:Q475,"S")</f>
        <v>392.81638392253404</v>
      </c>
      <c r="BZ474" s="87">
        <f>SUMIFS($AV$3:AV475,$Q$3:Q475,"O")</f>
        <v>642.43999999977211</v>
      </c>
    </row>
    <row r="475" spans="1:78" ht="15.75" customHeight="1">
      <c r="A475" s="45" t="s">
        <v>1310</v>
      </c>
      <c r="B475" s="59">
        <v>45405</v>
      </c>
      <c r="C475" s="46" t="s">
        <v>1666</v>
      </c>
      <c r="D475" s="46" t="s">
        <v>98</v>
      </c>
      <c r="E475" s="66"/>
      <c r="F475" s="47"/>
      <c r="G475" s="106" t="s">
        <v>1193</v>
      </c>
      <c r="H475" s="49"/>
      <c r="I475" s="49"/>
      <c r="J475" s="49"/>
      <c r="K475" s="50"/>
      <c r="L475" s="49"/>
      <c r="M475" s="49"/>
      <c r="N475" s="49"/>
      <c r="O475" s="50" t="s">
        <v>100</v>
      </c>
      <c r="P475" s="50" t="s">
        <v>101</v>
      </c>
      <c r="Q475" s="50" t="s">
        <v>198</v>
      </c>
      <c r="R475" s="50">
        <v>55</v>
      </c>
      <c r="S475" s="50">
        <v>25</v>
      </c>
      <c r="T475" s="50">
        <v>50</v>
      </c>
      <c r="U475" s="50" t="s">
        <v>22</v>
      </c>
      <c r="V475" s="50"/>
      <c r="W475" s="50"/>
      <c r="X475" s="50"/>
      <c r="Y475" s="51">
        <f>IF(ISBLANK(O475),"",(IF(O475=UPPER("IB"),0.005,0.01)))</f>
        <v>0.01</v>
      </c>
      <c r="Z475" s="52">
        <f>IF(ISBLANK(O475),"",IF(O475="IB",8.63*200,IF(O475="IR",16*100,IF(O475="YT",20*100,IF(O475="YT-XT",24*200,IF(O475="TED",80*100,IF(O475="XT",29*200)))))))</f>
        <v>1600</v>
      </c>
      <c r="AA475" s="52" t="s">
        <v>580</v>
      </c>
      <c r="AB475" s="52"/>
      <c r="AC475" s="52"/>
      <c r="AD475" s="231">
        <v>95.66</v>
      </c>
      <c r="AE475" s="49"/>
      <c r="AF475" s="84"/>
      <c r="AG475" s="49"/>
      <c r="AH475" s="49"/>
      <c r="AI475" s="49"/>
      <c r="AJ475" s="226"/>
      <c r="AK475" s="49"/>
      <c r="AL475" s="113">
        <f t="shared" si="130"/>
        <v>-32</v>
      </c>
      <c r="AM475" s="113">
        <f t="shared" ref="AM475:AM506" si="211">AL475*(R475-S475)</f>
        <v>-960</v>
      </c>
      <c r="AN475" s="218"/>
      <c r="AO475" s="49"/>
      <c r="AP475" s="49" t="s">
        <v>1667</v>
      </c>
      <c r="AQ475" s="84" t="s">
        <v>142</v>
      </c>
      <c r="AR475" s="49" t="s">
        <v>1668</v>
      </c>
      <c r="AS475" s="55">
        <v>95.66</v>
      </c>
      <c r="AT475" s="55">
        <f>IF(ISBLANK(AS475),,IF(U475="S",AD475-AS475,AS475-AD475))</f>
        <v>0</v>
      </c>
      <c r="AU475" s="54">
        <f>AV475*R475</f>
        <v>0</v>
      </c>
      <c r="AV475" s="56">
        <f t="shared" si="210"/>
        <v>0</v>
      </c>
      <c r="AW475" s="57" t="s">
        <v>155</v>
      </c>
      <c r="AX475" s="153" t="s">
        <v>1669</v>
      </c>
      <c r="AY475" s="153"/>
      <c r="AZ475" s="153"/>
      <c r="BA475" s="153"/>
      <c r="BB475" s="153"/>
      <c r="BC475" s="153"/>
      <c r="BD475" s="151"/>
      <c r="BE475" s="152"/>
      <c r="BF475" s="151"/>
      <c r="BG475" s="94">
        <f>SUM($AV$4:AV475)</f>
        <v>3439.8931371208032</v>
      </c>
      <c r="BH475" s="95">
        <f>SUM($AU$4:AU475)</f>
        <v>35836.379999999423</v>
      </c>
      <c r="BI475" s="80">
        <f>SUMIFS($AU$3:AU476,$Q$3:Q476,"F")</f>
        <v>23748.400000000001</v>
      </c>
      <c r="BJ475" s="80">
        <f>SUMIFS($AU$3:AU476,$Q$3:Q476,"S")</f>
        <v>8175.9999999999945</v>
      </c>
      <c r="BK475" s="87">
        <f>SUMIFS($AU$3:AU476,$P$3:P476,"W")</f>
        <v>24973.580000000344</v>
      </c>
      <c r="BL475" s="87">
        <f>SUMIFS($AU$3:AU476,$P$3:P476,"R")</f>
        <v>9197.9999999998618</v>
      </c>
      <c r="BM475" s="87">
        <f>SUMIFS($AU$3:AU476,$AQ$3:AQ476,"M")</f>
        <v>7128.779999999133</v>
      </c>
      <c r="BN475" s="87">
        <f>SUMIFS($AU$3:AU476,$AQ$3:AQ476,"H")</f>
        <v>5159.2000000002827</v>
      </c>
      <c r="BO475" s="87">
        <f>SUMIFS($AU$3:AU476,$AQ$3:AQ476,"D")</f>
        <v>12150</v>
      </c>
      <c r="BP475" s="87">
        <f>SUMIFS($AS$3:AS1236,$AO$3:AO1236,"W")</f>
        <v>0</v>
      </c>
      <c r="BQ475" s="87">
        <f>SUMIFS($AU$3:AU476,$Q$3:Q476,"O")</f>
        <v>2487.9799999994325</v>
      </c>
      <c r="BR475" s="87">
        <f>SUMIFS($AU$3:AU476,$AA$3:AA476,"*")</f>
        <v>26197.19999999931</v>
      </c>
      <c r="BS475" s="87">
        <f>SUMIFS($AU$3:AU476,$AB$3:AB476,"*")</f>
        <v>9655.1799999999312</v>
      </c>
      <c r="BT475" s="87">
        <f>SUMIFS($AU$3:AU476,$AC$3:AC476,"*")</f>
        <v>21428.400000000001</v>
      </c>
      <c r="BU475" s="87">
        <f>SUMIFS($AU$3:AU476,$AA$3:AA476,"*",$AB$3:AB476,"*")</f>
        <v>5759.9999999998217</v>
      </c>
      <c r="BV475" s="87">
        <f>SUMIFS($AU$3:AU476,$AA$3:AA476,"*",$AC$3:AC476,"*")</f>
        <v>14324.400000000001</v>
      </c>
      <c r="BW475" s="87">
        <f>SUMIFS($AU$3:AU476,$AB$3:AB476,"*",$AC$3:AC476,"*")</f>
        <v>4639.9999999999982</v>
      </c>
      <c r="BX475" s="87">
        <f>SUMIFS($AV$3:AV476,$Q$3:Q476,"F")</f>
        <v>456.63675319849239</v>
      </c>
      <c r="BY475" s="87">
        <f>SUMIFS($AV$3:AV476,$Q$3:Q476,"S")</f>
        <v>392.81638392253404</v>
      </c>
      <c r="BZ475" s="87">
        <f>SUMIFS($AV$3:AV476,$Q$3:Q476,"O")</f>
        <v>642.43999999977211</v>
      </c>
    </row>
    <row r="476" spans="1:78" ht="15.75" customHeight="1">
      <c r="A476" s="45" t="s">
        <v>1310</v>
      </c>
      <c r="B476" s="59"/>
      <c r="C476" s="46"/>
      <c r="D476" s="46"/>
      <c r="E476" s="66"/>
      <c r="F476" s="47"/>
      <c r="G476" s="48"/>
      <c r="H476" s="49"/>
      <c r="I476" s="49"/>
      <c r="J476" s="49"/>
      <c r="K476" s="50"/>
      <c r="L476" s="49"/>
      <c r="M476" s="49"/>
      <c r="N476" s="49"/>
      <c r="O476" s="50"/>
      <c r="P476" s="50"/>
      <c r="Q476" s="50"/>
      <c r="R476" s="50"/>
      <c r="S476" s="161"/>
      <c r="T476" s="50"/>
      <c r="U476" s="50"/>
      <c r="V476" s="50"/>
      <c r="W476" s="50"/>
      <c r="X476" s="50"/>
      <c r="Y476" s="51"/>
      <c r="Z476" s="52"/>
      <c r="AA476" s="52"/>
      <c r="AB476" s="52"/>
      <c r="AC476" s="52"/>
      <c r="AD476" s="231"/>
      <c r="AE476" s="49"/>
      <c r="AF476" s="84"/>
      <c r="AG476" s="49"/>
      <c r="AH476" s="49"/>
      <c r="AI476" s="49"/>
      <c r="AJ476" s="226" t="s">
        <v>1670</v>
      </c>
      <c r="AK476" s="49"/>
      <c r="AL476" s="113">
        <f t="shared" si="130"/>
        <v>0</v>
      </c>
      <c r="AM476" s="113">
        <f t="shared" si="211"/>
        <v>0</v>
      </c>
      <c r="AN476" s="218"/>
      <c r="AO476" s="49"/>
      <c r="AP476" s="49"/>
      <c r="AQ476" s="84" t="str">
        <f>UPPER(RIGHT(Journal_Live[[#This Row],[DURATION ]]))</f>
        <v/>
      </c>
      <c r="AR476" s="49"/>
      <c r="AS476" s="55"/>
      <c r="AT476" s="55"/>
      <c r="AU476" s="54"/>
      <c r="AV476" s="56"/>
      <c r="AW476" s="57"/>
      <c r="AX476" s="153" t="s">
        <v>1671</v>
      </c>
      <c r="AY476" s="153" t="s">
        <v>1672</v>
      </c>
      <c r="AZ476" s="153"/>
      <c r="BA476" s="153"/>
      <c r="BB476" s="153"/>
      <c r="BC476" s="153"/>
      <c r="BD476" s="151"/>
      <c r="BE476" s="152"/>
      <c r="BF476" s="151"/>
      <c r="BG476" s="94">
        <f>SUM($AV$4:AV476)</f>
        <v>3439.8931371208032</v>
      </c>
      <c r="BH476" s="95">
        <f>SUM($AU$4:AU476)</f>
        <v>35836.379999999423</v>
      </c>
      <c r="BI476" s="80">
        <f>SUMIFS($AU$3:AU477,$Q$3:Q477,"F")</f>
        <v>23748.400000000001</v>
      </c>
      <c r="BJ476" s="80">
        <f>SUMIFS($AU$3:AU477,$Q$3:Q477,"S")</f>
        <v>8175.9999999999945</v>
      </c>
      <c r="BK476" s="87">
        <f>SUMIFS($AU$3:AU477,$P$3:P477,"W")</f>
        <v>24973.580000000344</v>
      </c>
      <c r="BL476" s="87">
        <f>SUMIFS($AU$3:AU477,$P$3:P477,"R")</f>
        <v>9197.9999999998618</v>
      </c>
      <c r="BM476" s="87">
        <f>SUMIFS($AU$3:AU477,$AQ$3:AQ477,"M")</f>
        <v>7128.779999999133</v>
      </c>
      <c r="BN476" s="87">
        <f>SUMIFS($AU$3:AU477,$AQ$3:AQ477,"H")</f>
        <v>5159.2000000002827</v>
      </c>
      <c r="BO476" s="87">
        <f>SUMIFS($AU$3:AU477,$AQ$3:AQ477,"D")</f>
        <v>12150</v>
      </c>
      <c r="BP476" s="87">
        <f>SUMIFS($AS$3:AS1237,$AO$3:AO1237,"W")</f>
        <v>0</v>
      </c>
      <c r="BQ476" s="87">
        <f>SUMIFS($AU$3:AU477,$Q$3:Q477,"O")</f>
        <v>2487.9799999994325</v>
      </c>
      <c r="BR476" s="87">
        <f>SUMIFS($AU$3:AU477,$AA$3:AA477,"*")</f>
        <v>26197.19999999931</v>
      </c>
      <c r="BS476" s="87">
        <f>SUMIFS($AU$3:AU477,$AB$3:AB477,"*")</f>
        <v>9655.1799999999312</v>
      </c>
      <c r="BT476" s="87">
        <f>SUMIFS($AU$3:AU477,$AC$3:AC477,"*")</f>
        <v>21428.400000000001</v>
      </c>
      <c r="BU476" s="87">
        <f>SUMIFS($AU$3:AU477,$AA$3:AA477,"*",$AB$3:AB477,"*")</f>
        <v>5759.9999999998217</v>
      </c>
      <c r="BV476" s="87">
        <f>SUMIFS($AU$3:AU477,$AA$3:AA477,"*",$AC$3:AC477,"*")</f>
        <v>14324.400000000001</v>
      </c>
      <c r="BW476" s="87">
        <f>SUMIFS($AU$3:AU477,$AB$3:AB477,"*",$AC$3:AC477,"*")</f>
        <v>4639.9999999999982</v>
      </c>
      <c r="BX476" s="87">
        <f>SUMIFS($AV$3:AV477,$Q$3:Q477,"F")</f>
        <v>456.63675319849239</v>
      </c>
      <c r="BY476" s="87">
        <f>SUMIFS($AV$3:AV477,$Q$3:Q477,"S")</f>
        <v>392.81638392253404</v>
      </c>
      <c r="BZ476" s="87">
        <f>SUMIFS($AV$3:AV477,$Q$3:Q477,"O")</f>
        <v>642.43999999977211</v>
      </c>
    </row>
    <row r="477" spans="1:78" ht="15.75" customHeight="1">
      <c r="A477" s="45" t="s">
        <v>1310</v>
      </c>
      <c r="B477" s="59"/>
      <c r="C477" s="46"/>
      <c r="D477" s="46"/>
      <c r="E477" s="66"/>
      <c r="F477" s="47"/>
      <c r="G477" s="48"/>
      <c r="H477" s="49"/>
      <c r="I477" s="49"/>
      <c r="J477" s="49"/>
      <c r="K477" s="50"/>
      <c r="L477" s="49"/>
      <c r="M477" s="49"/>
      <c r="N477" s="49"/>
      <c r="O477" s="50"/>
      <c r="P477" s="50"/>
      <c r="Q477" s="50"/>
      <c r="R477" s="50"/>
      <c r="S477" s="161"/>
      <c r="T477" s="50"/>
      <c r="U477" s="50"/>
      <c r="V477" s="50"/>
      <c r="W477" s="50"/>
      <c r="X477" s="50"/>
      <c r="Y477" s="51"/>
      <c r="Z477" s="52"/>
      <c r="AA477" s="52"/>
      <c r="AB477" s="52"/>
      <c r="AC477" s="52"/>
      <c r="AD477" s="231"/>
      <c r="AE477" s="49"/>
      <c r="AF477" s="84"/>
      <c r="AG477" s="49"/>
      <c r="AH477" s="49"/>
      <c r="AI477" s="49"/>
      <c r="AJ477" s="226" t="s">
        <v>1673</v>
      </c>
      <c r="AK477" s="49"/>
      <c r="AL477" s="113">
        <f t="shared" si="130"/>
        <v>0</v>
      </c>
      <c r="AM477" s="113">
        <f t="shared" si="211"/>
        <v>0</v>
      </c>
      <c r="AN477" s="218"/>
      <c r="AO477" s="49"/>
      <c r="AP477" s="49"/>
      <c r="AQ477" s="84" t="str">
        <f>UPPER(RIGHT(Journal_Live[[#This Row],[DURATION ]]))</f>
        <v/>
      </c>
      <c r="AR477" s="49"/>
      <c r="AS477" s="55"/>
      <c r="AT477" s="55"/>
      <c r="AU477" s="54"/>
      <c r="AV477" s="56"/>
      <c r="AW477" s="57"/>
      <c r="AX477" s="153" t="s">
        <v>539</v>
      </c>
      <c r="AY477" s="153"/>
      <c r="AZ477" s="153"/>
      <c r="BA477" s="153"/>
      <c r="BB477" s="153"/>
      <c r="BC477" s="153"/>
      <c r="BD477" s="151"/>
      <c r="BE477" s="152"/>
      <c r="BF477" s="151"/>
      <c r="BG477" s="94">
        <f>SUM($AV$4:AV477)</f>
        <v>3439.8931371208032</v>
      </c>
      <c r="BH477" s="95">
        <f>SUM($AU$4:AU477)</f>
        <v>35836.379999999423</v>
      </c>
      <c r="BI477" s="80">
        <f>SUMIFS($AU$3:AU478,$Q$3:Q478,"F")</f>
        <v>23748.400000000001</v>
      </c>
      <c r="BJ477" s="80">
        <f>SUMIFS($AU$3:AU478,$Q$3:Q478,"S")</f>
        <v>8175.9999999999945</v>
      </c>
      <c r="BK477" s="87">
        <f>SUMIFS($AU$3:AU478,$P$3:P478,"W")</f>
        <v>24973.580000000344</v>
      </c>
      <c r="BL477" s="87">
        <f>SUMIFS($AU$3:AU478,$P$3:P478,"R")</f>
        <v>9197.9999999998618</v>
      </c>
      <c r="BM477" s="87">
        <f>SUMIFS($AU$3:AU478,$AQ$3:AQ478,"M")</f>
        <v>7128.779999999133</v>
      </c>
      <c r="BN477" s="87">
        <f>SUMIFS($AU$3:AU478,$AQ$3:AQ478,"H")</f>
        <v>5159.2000000002827</v>
      </c>
      <c r="BO477" s="87">
        <f>SUMIFS($AU$3:AU478,$AQ$3:AQ478,"D")</f>
        <v>12150</v>
      </c>
      <c r="BP477" s="87">
        <f>SUMIFS($AS$3:AS1238,$AO$3:AO1238,"W")</f>
        <v>0</v>
      </c>
      <c r="BQ477" s="87">
        <f>SUMIFS($AU$3:AU478,$Q$3:Q478,"O")</f>
        <v>2487.9799999994325</v>
      </c>
      <c r="BR477" s="87">
        <f>SUMIFS($AU$3:AU478,$AA$3:AA478,"*")</f>
        <v>26197.19999999931</v>
      </c>
      <c r="BS477" s="87">
        <f>SUMIFS($AU$3:AU478,$AB$3:AB478,"*")</f>
        <v>9655.1799999999312</v>
      </c>
      <c r="BT477" s="87">
        <f>SUMIFS($AU$3:AU478,$AC$3:AC478,"*")</f>
        <v>21428.400000000001</v>
      </c>
      <c r="BU477" s="87">
        <f>SUMIFS($AU$3:AU478,$AA$3:AA478,"*",$AB$3:AB478,"*")</f>
        <v>5759.9999999998217</v>
      </c>
      <c r="BV477" s="87">
        <f>SUMIFS($AU$3:AU478,$AA$3:AA478,"*",$AC$3:AC478,"*")</f>
        <v>14324.400000000001</v>
      </c>
      <c r="BW477" s="87">
        <f>SUMIFS($AU$3:AU478,$AB$3:AB478,"*",$AC$3:AC478,"*")</f>
        <v>4639.9999999999982</v>
      </c>
      <c r="BX477" s="87">
        <f>SUMIFS($AV$3:AV478,$Q$3:Q478,"F")</f>
        <v>456.63675319849239</v>
      </c>
      <c r="BY477" s="87">
        <f>SUMIFS($AV$3:AV478,$Q$3:Q478,"S")</f>
        <v>392.81638392253404</v>
      </c>
      <c r="BZ477" s="87">
        <f>SUMIFS($AV$3:AV478,$Q$3:Q478,"O")</f>
        <v>642.43999999977211</v>
      </c>
    </row>
    <row r="478" spans="1:78" ht="15.75" customHeight="1">
      <c r="A478" s="45" t="s">
        <v>1310</v>
      </c>
      <c r="B478" s="59"/>
      <c r="C478" s="46"/>
      <c r="D478" s="46"/>
      <c r="E478" s="66"/>
      <c r="F478" s="47"/>
      <c r="G478" s="48"/>
      <c r="H478" s="49"/>
      <c r="I478" s="49"/>
      <c r="J478" s="49"/>
      <c r="K478" s="50"/>
      <c r="L478" s="49"/>
      <c r="M478" s="49"/>
      <c r="N478" s="49"/>
      <c r="O478" s="50"/>
      <c r="P478" s="50"/>
      <c r="Q478" s="50"/>
      <c r="R478" s="50"/>
      <c r="S478" s="50"/>
      <c r="T478" s="50"/>
      <c r="U478" s="50"/>
      <c r="V478" s="50"/>
      <c r="W478" s="50"/>
      <c r="X478" s="50"/>
      <c r="Y478" s="50"/>
      <c r="Z478" s="50"/>
      <c r="AA478" s="52"/>
      <c r="AB478" s="52"/>
      <c r="AC478" s="52"/>
      <c r="AD478" s="231"/>
      <c r="AE478" s="49"/>
      <c r="AF478" s="84"/>
      <c r="AG478" s="49"/>
      <c r="AH478" s="49"/>
      <c r="AI478" s="49"/>
      <c r="AJ478" s="226"/>
      <c r="AK478" s="49"/>
      <c r="AL478" s="113">
        <f t="shared" si="130"/>
        <v>0</v>
      </c>
      <c r="AM478" s="113">
        <f t="shared" si="211"/>
        <v>0</v>
      </c>
      <c r="AN478" s="218"/>
      <c r="AO478" s="49"/>
      <c r="AP478" s="49"/>
      <c r="AQ478" s="84" t="str">
        <f>UPPER(RIGHT(Journal_Live[[#This Row],[DURATION ]]))</f>
        <v/>
      </c>
      <c r="AR478" s="49"/>
      <c r="AS478" s="55"/>
      <c r="AT478" s="55"/>
      <c r="AU478" s="54"/>
      <c r="AV478" s="56"/>
      <c r="AW478" s="57"/>
      <c r="AX478" s="168" t="s">
        <v>1674</v>
      </c>
      <c r="AY478" s="153"/>
      <c r="AZ478" s="153"/>
      <c r="BA478" s="153"/>
      <c r="BB478" s="153"/>
      <c r="BC478" s="153"/>
      <c r="BD478" s="151"/>
      <c r="BE478" s="152"/>
      <c r="BF478" s="151"/>
      <c r="BG478" s="94">
        <f>SUM($AV$4:AV478)</f>
        <v>3439.8931371208032</v>
      </c>
      <c r="BH478" s="95">
        <f>SUM($AU$4:AU478)</f>
        <v>35836.379999999423</v>
      </c>
      <c r="BI478" s="80">
        <f>SUMIFS($AU$3:AU479,$Q$3:Q479,"F")</f>
        <v>23748.400000000001</v>
      </c>
      <c r="BJ478" s="80">
        <f>SUMIFS($AU$3:AU479,$Q$3:Q479,"S")</f>
        <v>8175.9999999999945</v>
      </c>
      <c r="BK478" s="87">
        <f>SUMIFS($AU$3:AU479,$P$3:P479,"W")</f>
        <v>24973.580000000344</v>
      </c>
      <c r="BL478" s="87">
        <f>SUMIFS($AU$3:AU479,$P$3:P479,"R")</f>
        <v>9197.9999999998618</v>
      </c>
      <c r="BM478" s="87">
        <f>SUMIFS($AU$3:AU479,$AQ$3:AQ479,"M")</f>
        <v>7128.779999999133</v>
      </c>
      <c r="BN478" s="87">
        <f>SUMIFS($AU$3:AU479,$AQ$3:AQ479,"H")</f>
        <v>5159.2000000002827</v>
      </c>
      <c r="BO478" s="87">
        <f>SUMIFS($AU$3:AU479,$AQ$3:AQ479,"D")</f>
        <v>12150</v>
      </c>
      <c r="BP478" s="87">
        <f>SUMIFS($AS$3:AS1239,$AO$3:AO1239,"W")</f>
        <v>0</v>
      </c>
      <c r="BQ478" s="87">
        <f>SUMIFS($AU$3:AU479,$Q$3:Q479,"O")</f>
        <v>2487.9799999994325</v>
      </c>
      <c r="BR478" s="87">
        <f>SUMIFS($AU$3:AU479,$AA$3:AA479,"*")</f>
        <v>26197.19999999931</v>
      </c>
      <c r="BS478" s="87">
        <f>SUMIFS($AU$3:AU479,$AB$3:AB479,"*")</f>
        <v>9655.1799999999312</v>
      </c>
      <c r="BT478" s="87">
        <f>SUMIFS($AU$3:AU479,$AC$3:AC479,"*")</f>
        <v>21428.400000000001</v>
      </c>
      <c r="BU478" s="87">
        <f>SUMIFS($AU$3:AU479,$AA$3:AA479,"*",$AB$3:AB479,"*")</f>
        <v>5759.9999999998217</v>
      </c>
      <c r="BV478" s="87">
        <f>SUMIFS($AU$3:AU479,$AA$3:AA479,"*",$AC$3:AC479,"*")</f>
        <v>14324.400000000001</v>
      </c>
      <c r="BW478" s="87">
        <f>SUMIFS($AU$3:AU479,$AB$3:AB479,"*",$AC$3:AC479,"*")</f>
        <v>4639.9999999999982</v>
      </c>
      <c r="BX478" s="87">
        <f>SUMIFS($AV$3:AV479,$Q$3:Q479,"F")</f>
        <v>456.63675319849239</v>
      </c>
      <c r="BY478" s="87">
        <f>SUMIFS($AV$3:AV479,$Q$3:Q479,"S")</f>
        <v>392.81638392253404</v>
      </c>
      <c r="BZ478" s="87">
        <f>SUMIFS($AV$3:AV479,$Q$3:Q479,"O")</f>
        <v>642.43999999977211</v>
      </c>
    </row>
    <row r="479" spans="1:78" ht="15.75" customHeight="1">
      <c r="A479" s="45" t="s">
        <v>1310</v>
      </c>
      <c r="B479" s="59">
        <v>45406</v>
      </c>
      <c r="C479" s="46" t="s">
        <v>194</v>
      </c>
      <c r="D479" s="46" t="s">
        <v>186</v>
      </c>
      <c r="E479" s="66" t="s">
        <v>1675</v>
      </c>
      <c r="F479" s="47" t="s">
        <v>1676</v>
      </c>
      <c r="G479" s="48"/>
      <c r="H479" s="49">
        <v>1</v>
      </c>
      <c r="I479" s="49"/>
      <c r="J479" s="49"/>
      <c r="K479" s="50" t="s">
        <v>142</v>
      </c>
      <c r="L479" s="49"/>
      <c r="M479" s="49"/>
      <c r="N479" s="49"/>
      <c r="O479" s="50"/>
      <c r="P479" s="50"/>
      <c r="Q479" s="50"/>
      <c r="R479" s="50"/>
      <c r="S479" s="50"/>
      <c r="T479" s="50"/>
      <c r="U479" s="50"/>
      <c r="V479" s="50"/>
      <c r="W479" s="50"/>
      <c r="X479" s="50"/>
      <c r="Y479" s="50"/>
      <c r="Z479" s="50"/>
      <c r="AA479" s="52"/>
      <c r="AB479" s="52"/>
      <c r="AC479" s="52"/>
      <c r="AD479" s="231"/>
      <c r="AE479" s="49"/>
      <c r="AF479" s="84"/>
      <c r="AG479" s="49"/>
      <c r="AH479" s="49"/>
      <c r="AI479" s="49"/>
      <c r="AJ479" s="226"/>
      <c r="AK479" s="49"/>
      <c r="AL479" s="113">
        <f t="shared" si="130"/>
        <v>0</v>
      </c>
      <c r="AM479" s="113">
        <f t="shared" si="211"/>
        <v>0</v>
      </c>
      <c r="AN479" s="218"/>
      <c r="AO479" s="49"/>
      <c r="AP479" s="49"/>
      <c r="AQ479" s="84" t="str">
        <f>UPPER(RIGHT(Journal_Live[[#This Row],[DURATION ]]))</f>
        <v/>
      </c>
      <c r="AR479" s="49"/>
      <c r="AS479" s="55"/>
      <c r="AT479" s="55"/>
      <c r="AU479" s="54"/>
      <c r="AV479" s="56"/>
      <c r="AW479" s="57"/>
      <c r="AX479" s="153" t="s">
        <v>1677</v>
      </c>
      <c r="AY479" s="153" t="s">
        <v>1678</v>
      </c>
      <c r="AZ479" s="153" t="s">
        <v>1679</v>
      </c>
      <c r="BA479" s="153"/>
      <c r="BB479" s="153"/>
      <c r="BC479" s="153"/>
      <c r="BD479" s="151"/>
      <c r="BE479" s="152"/>
      <c r="BF479" s="151"/>
      <c r="BG479" s="94">
        <f>SUM($AV$4:AV479)</f>
        <v>3439.8931371208032</v>
      </c>
      <c r="BH479" s="95">
        <f>SUM($AU$4:AU479)</f>
        <v>35836.379999999423</v>
      </c>
      <c r="BI479" s="80">
        <f>SUMIFS($AU$3:AU480,$Q$3:Q480,"F")</f>
        <v>23748.400000000001</v>
      </c>
      <c r="BJ479" s="80">
        <f>SUMIFS($AU$3:AU480,$Q$3:Q480,"S")</f>
        <v>8175.9999999999945</v>
      </c>
      <c r="BK479" s="87">
        <f>SUMIFS($AU$3:AU480,$P$3:P480,"W")</f>
        <v>24973.580000000344</v>
      </c>
      <c r="BL479" s="87">
        <f>SUMIFS($AU$3:AU480,$P$3:P480,"R")</f>
        <v>9197.9999999998618</v>
      </c>
      <c r="BM479" s="87">
        <f>SUMIFS($AU$3:AU480,$AQ$3:AQ480,"M")</f>
        <v>7128.779999999133</v>
      </c>
      <c r="BN479" s="87">
        <f>SUMIFS($AU$3:AU480,$AQ$3:AQ480,"H")</f>
        <v>5159.2000000002827</v>
      </c>
      <c r="BO479" s="87">
        <f>SUMIFS($AU$3:AU480,$AQ$3:AQ480,"D")</f>
        <v>12150</v>
      </c>
      <c r="BP479" s="87">
        <f>SUMIFS($AS$3:AS1240,$AO$3:AO1240,"W")</f>
        <v>0</v>
      </c>
      <c r="BQ479" s="87">
        <f>SUMIFS($AU$3:AU480,$Q$3:Q480,"O")</f>
        <v>2487.9799999994325</v>
      </c>
      <c r="BR479" s="87">
        <f>SUMIFS($AU$3:AU480,$AA$3:AA480,"*")</f>
        <v>26197.19999999931</v>
      </c>
      <c r="BS479" s="87">
        <f>SUMIFS($AU$3:AU480,$AB$3:AB480,"*")</f>
        <v>9655.1799999999312</v>
      </c>
      <c r="BT479" s="87">
        <f>SUMIFS($AU$3:AU480,$AC$3:AC480,"*")</f>
        <v>21428.400000000001</v>
      </c>
      <c r="BU479" s="87">
        <f>SUMIFS($AU$3:AU480,$AA$3:AA480,"*",$AB$3:AB480,"*")</f>
        <v>5759.9999999998217</v>
      </c>
      <c r="BV479" s="87">
        <f>SUMIFS($AU$3:AU480,$AA$3:AA480,"*",$AC$3:AC480,"*")</f>
        <v>14324.400000000001</v>
      </c>
      <c r="BW479" s="87">
        <f>SUMIFS($AU$3:AU480,$AB$3:AB480,"*",$AC$3:AC480,"*")</f>
        <v>4639.9999999999982</v>
      </c>
      <c r="BX479" s="87">
        <f>SUMIFS($AV$3:AV480,$Q$3:Q480,"F")</f>
        <v>456.63675319849239</v>
      </c>
      <c r="BY479" s="87">
        <f>SUMIFS($AV$3:AV480,$Q$3:Q480,"S")</f>
        <v>392.81638392253404</v>
      </c>
      <c r="BZ479" s="87">
        <f>SUMIFS($AV$3:AV480,$Q$3:Q480,"O")</f>
        <v>642.43999999977211</v>
      </c>
    </row>
    <row r="480" spans="1:78" ht="15.75" customHeight="1">
      <c r="A480" s="45" t="s">
        <v>1310</v>
      </c>
      <c r="B480" s="59"/>
      <c r="C480" s="46"/>
      <c r="D480" s="46"/>
      <c r="E480" s="66" t="s">
        <v>1680</v>
      </c>
      <c r="F480" s="47"/>
      <c r="G480" s="48"/>
      <c r="H480" s="49">
        <v>1</v>
      </c>
      <c r="I480" s="49"/>
      <c r="J480" s="49"/>
      <c r="K480" s="50" t="s">
        <v>142</v>
      </c>
      <c r="L480" s="49"/>
      <c r="M480" s="49"/>
      <c r="N480" s="49"/>
      <c r="O480" s="50"/>
      <c r="P480" s="50"/>
      <c r="Q480" s="50"/>
      <c r="R480" s="50"/>
      <c r="S480" s="50"/>
      <c r="T480" s="50"/>
      <c r="U480" s="50"/>
      <c r="V480" s="50"/>
      <c r="W480" s="50"/>
      <c r="X480" s="50"/>
      <c r="Y480" s="50"/>
      <c r="Z480" s="50"/>
      <c r="AA480" s="52"/>
      <c r="AB480" s="52"/>
      <c r="AC480" s="52"/>
      <c r="AD480" s="231"/>
      <c r="AE480" s="49"/>
      <c r="AF480" s="84"/>
      <c r="AG480" s="49"/>
      <c r="AH480" s="49"/>
      <c r="AI480" s="49"/>
      <c r="AJ480" s="226"/>
      <c r="AK480" s="49"/>
      <c r="AL480" s="113">
        <f t="shared" ref="AL480:AL532" si="212">-0.02*Z480</f>
        <v>0</v>
      </c>
      <c r="AM480" s="113">
        <f t="shared" si="211"/>
        <v>0</v>
      </c>
      <c r="AN480" s="218"/>
      <c r="AO480" s="49"/>
      <c r="AP480" s="49"/>
      <c r="AQ480" s="84" t="str">
        <f>UPPER(RIGHT(Journal_Live[[#This Row],[DURATION ]]))</f>
        <v/>
      </c>
      <c r="AR480" s="49"/>
      <c r="AS480" s="55"/>
      <c r="AT480" s="55"/>
      <c r="AU480" s="54"/>
      <c r="AV480" s="56"/>
      <c r="AW480" s="57"/>
      <c r="AX480" s="153"/>
      <c r="AY480" s="153"/>
      <c r="AZ480" s="153"/>
      <c r="BA480" s="153"/>
      <c r="BB480" s="153"/>
      <c r="BC480" s="153"/>
      <c r="BD480" s="151"/>
      <c r="BE480" s="152"/>
      <c r="BF480" s="151"/>
      <c r="BG480" s="94">
        <f>SUM($AV$4:AV480)</f>
        <v>3439.8931371208032</v>
      </c>
      <c r="BH480" s="95">
        <f>SUM($AU$4:AU480)</f>
        <v>35836.379999999423</v>
      </c>
      <c r="BI480" s="80">
        <f>SUMIFS($AU$3:AU481,$Q$3:Q481,"F")</f>
        <v>23748.400000000001</v>
      </c>
      <c r="BJ480" s="80">
        <f>SUMIFS($AU$3:AU481,$Q$3:Q481,"S")</f>
        <v>8175.9999999999945</v>
      </c>
      <c r="BK480" s="87">
        <f>SUMIFS($AU$3:AU481,$P$3:P481,"W")</f>
        <v>24973.580000000344</v>
      </c>
      <c r="BL480" s="87">
        <f>SUMIFS($AU$3:AU481,$P$3:P481,"R")</f>
        <v>9197.9999999998618</v>
      </c>
      <c r="BM480" s="87">
        <f>SUMIFS($AU$3:AU481,$AQ$3:AQ481,"M")</f>
        <v>7128.779999999133</v>
      </c>
      <c r="BN480" s="87">
        <f>SUMIFS($AU$3:AU481,$AQ$3:AQ481,"H")</f>
        <v>5159.2000000002827</v>
      </c>
      <c r="BO480" s="87">
        <f>SUMIFS($AU$3:AU481,$AQ$3:AQ481,"D")</f>
        <v>12150</v>
      </c>
      <c r="BP480" s="87">
        <f>SUMIFS($AS$3:AS1241,$AO$3:AO1241,"W")</f>
        <v>0</v>
      </c>
      <c r="BQ480" s="87">
        <f>SUMIFS($AU$3:AU481,$Q$3:Q481,"O")</f>
        <v>2487.9799999994325</v>
      </c>
      <c r="BR480" s="87">
        <f>SUMIFS($AU$3:AU481,$AA$3:AA481,"*")</f>
        <v>26197.19999999931</v>
      </c>
      <c r="BS480" s="87">
        <f>SUMIFS($AU$3:AU481,$AB$3:AB481,"*")</f>
        <v>9655.1799999999312</v>
      </c>
      <c r="BT480" s="87">
        <f>SUMIFS($AU$3:AU481,$AC$3:AC481,"*")</f>
        <v>21428.400000000001</v>
      </c>
      <c r="BU480" s="87">
        <f>SUMIFS($AU$3:AU481,$AA$3:AA481,"*",$AB$3:AB481,"*")</f>
        <v>5759.9999999998217</v>
      </c>
      <c r="BV480" s="87">
        <f>SUMIFS($AU$3:AU481,$AA$3:AA481,"*",$AC$3:AC481,"*")</f>
        <v>14324.400000000001</v>
      </c>
      <c r="BW480" s="87">
        <f>SUMIFS($AU$3:AU481,$AB$3:AB481,"*",$AC$3:AC481,"*")</f>
        <v>4639.9999999999982</v>
      </c>
      <c r="BX480" s="87">
        <f>SUMIFS($AV$3:AV481,$Q$3:Q481,"F")</f>
        <v>456.63675319849239</v>
      </c>
      <c r="BY480" s="87">
        <f>SUMIFS($AV$3:AV481,$Q$3:Q481,"S")</f>
        <v>392.81638392253404</v>
      </c>
      <c r="BZ480" s="87">
        <f>SUMIFS($AV$3:AV481,$Q$3:Q481,"O")</f>
        <v>642.43999999977211</v>
      </c>
    </row>
    <row r="481" spans="1:78" ht="15.75" customHeight="1">
      <c r="A481" s="45" t="s">
        <v>1310</v>
      </c>
      <c r="B481" s="59"/>
      <c r="C481" s="46"/>
      <c r="D481" s="46"/>
      <c r="E481" s="66" t="s">
        <v>1681</v>
      </c>
      <c r="F481" s="47"/>
      <c r="G481" s="48"/>
      <c r="H481" s="49">
        <v>1</v>
      </c>
      <c r="I481" s="49"/>
      <c r="J481" s="49"/>
      <c r="K481" s="50" t="s">
        <v>142</v>
      </c>
      <c r="L481" s="49"/>
      <c r="M481" s="49"/>
      <c r="N481" s="49"/>
      <c r="O481" s="50"/>
      <c r="P481" s="50"/>
      <c r="Q481" s="50"/>
      <c r="R481" s="50"/>
      <c r="S481" s="50"/>
      <c r="T481" s="50"/>
      <c r="U481" s="50"/>
      <c r="V481" s="50"/>
      <c r="W481" s="50"/>
      <c r="X481" s="50"/>
      <c r="Y481" s="50"/>
      <c r="Z481" s="50"/>
      <c r="AA481" s="52"/>
      <c r="AB481" s="52"/>
      <c r="AC481" s="52"/>
      <c r="AD481" s="231"/>
      <c r="AE481" s="49"/>
      <c r="AF481" s="84"/>
      <c r="AG481" s="49"/>
      <c r="AH481" s="49"/>
      <c r="AI481" s="49"/>
      <c r="AJ481" s="226"/>
      <c r="AK481" s="49"/>
      <c r="AL481" s="113">
        <f t="shared" si="212"/>
        <v>0</v>
      </c>
      <c r="AM481" s="113">
        <f t="shared" si="211"/>
        <v>0</v>
      </c>
      <c r="AN481" s="218"/>
      <c r="AO481" s="49"/>
      <c r="AP481" s="49"/>
      <c r="AQ481" s="84" t="str">
        <f>UPPER(RIGHT(Journal_Live[[#This Row],[DURATION ]]))</f>
        <v/>
      </c>
      <c r="AR481" s="49"/>
      <c r="AS481" s="55"/>
      <c r="AT481" s="55"/>
      <c r="AU481" s="54"/>
      <c r="AV481" s="56"/>
      <c r="AW481" s="57"/>
      <c r="AX481" s="153"/>
      <c r="AY481" s="153"/>
      <c r="AZ481" s="153"/>
      <c r="BA481" s="153"/>
      <c r="BB481" s="153"/>
      <c r="BC481" s="153"/>
      <c r="BD481" s="151"/>
      <c r="BE481" s="152"/>
      <c r="BF481" s="151"/>
      <c r="BG481" s="94">
        <f>SUM($AV$4:AV481)</f>
        <v>3439.8931371208032</v>
      </c>
      <c r="BH481" s="95">
        <f>SUM($AU$4:AU481)</f>
        <v>35836.379999999423</v>
      </c>
      <c r="BI481" s="80">
        <f>SUMIFS($AU$3:AU482,$Q$3:Q482,"F")</f>
        <v>23748.400000000001</v>
      </c>
      <c r="BJ481" s="80">
        <f>SUMIFS($AU$3:AU482,$Q$3:Q482,"S")</f>
        <v>8175.9999999999945</v>
      </c>
      <c r="BK481" s="87">
        <f>SUMIFS($AU$3:AU482,$P$3:P482,"W")</f>
        <v>24973.580000000344</v>
      </c>
      <c r="BL481" s="87">
        <f>SUMIFS($AU$3:AU482,$P$3:P482,"R")</f>
        <v>9197.9999999998618</v>
      </c>
      <c r="BM481" s="87">
        <f>SUMIFS($AU$3:AU482,$AQ$3:AQ482,"M")</f>
        <v>7128.779999999133</v>
      </c>
      <c r="BN481" s="87">
        <f>SUMIFS($AU$3:AU482,$AQ$3:AQ482,"H")</f>
        <v>5159.2000000002827</v>
      </c>
      <c r="BO481" s="87">
        <f>SUMIFS($AU$3:AU482,$AQ$3:AQ482,"D")</f>
        <v>12150</v>
      </c>
      <c r="BP481" s="87">
        <f>SUMIFS($AS$3:AS1242,$AO$3:AO1242,"W")</f>
        <v>0</v>
      </c>
      <c r="BQ481" s="87">
        <f>SUMIFS($AU$3:AU482,$Q$3:Q482,"O")</f>
        <v>2487.9799999994325</v>
      </c>
      <c r="BR481" s="87">
        <f>SUMIFS($AU$3:AU482,$AA$3:AA482,"*")</f>
        <v>26197.19999999931</v>
      </c>
      <c r="BS481" s="87">
        <f>SUMIFS($AU$3:AU482,$AB$3:AB482,"*")</f>
        <v>9655.1799999999312</v>
      </c>
      <c r="BT481" s="87">
        <f>SUMIFS($AU$3:AU482,$AC$3:AC482,"*")</f>
        <v>21428.400000000001</v>
      </c>
      <c r="BU481" s="87">
        <f>SUMIFS($AU$3:AU482,$AA$3:AA482,"*",$AB$3:AB482,"*")</f>
        <v>5759.9999999998217</v>
      </c>
      <c r="BV481" s="87">
        <f>SUMIFS($AU$3:AU482,$AA$3:AA482,"*",$AC$3:AC482,"*")</f>
        <v>14324.400000000001</v>
      </c>
      <c r="BW481" s="87">
        <f>SUMIFS($AU$3:AU482,$AB$3:AB482,"*",$AC$3:AC482,"*")</f>
        <v>4639.9999999999982</v>
      </c>
      <c r="BX481" s="87">
        <f>SUMIFS($AV$3:AV482,$Q$3:Q482,"F")</f>
        <v>456.63675319849239</v>
      </c>
      <c r="BY481" s="87">
        <f>SUMIFS($AV$3:AV482,$Q$3:Q482,"S")</f>
        <v>392.81638392253404</v>
      </c>
      <c r="BZ481" s="87">
        <f>SUMIFS($AV$3:AV482,$Q$3:Q482,"O")</f>
        <v>642.43999999977211</v>
      </c>
    </row>
    <row r="482" spans="1:78" ht="15.75" customHeight="1">
      <c r="A482" s="45" t="s">
        <v>1310</v>
      </c>
      <c r="B482" s="59"/>
      <c r="C482" s="46"/>
      <c r="D482" s="46"/>
      <c r="E482" s="66" t="s">
        <v>1682</v>
      </c>
      <c r="F482" s="47"/>
      <c r="G482" s="48"/>
      <c r="H482" s="49">
        <v>1</v>
      </c>
      <c r="I482" s="49"/>
      <c r="J482" s="49"/>
      <c r="K482" s="50" t="s">
        <v>142</v>
      </c>
      <c r="L482" s="49"/>
      <c r="M482" s="49"/>
      <c r="N482" s="49"/>
      <c r="O482" s="50"/>
      <c r="P482" s="50"/>
      <c r="Q482" s="50"/>
      <c r="R482" s="50"/>
      <c r="S482" s="50"/>
      <c r="T482" s="50"/>
      <c r="U482" s="50"/>
      <c r="V482" s="50"/>
      <c r="W482" s="50"/>
      <c r="X482" s="50"/>
      <c r="Y482" s="50"/>
      <c r="Z482" s="50"/>
      <c r="AA482" s="52"/>
      <c r="AB482" s="52"/>
      <c r="AC482" s="52"/>
      <c r="AD482" s="231"/>
      <c r="AE482" s="49"/>
      <c r="AF482" s="84"/>
      <c r="AG482" s="49"/>
      <c r="AH482" s="49"/>
      <c r="AI482" s="49"/>
      <c r="AJ482" s="226"/>
      <c r="AK482" s="49"/>
      <c r="AL482" s="113">
        <f t="shared" ref="AL482:AL490" si="213">-0.02*Z482</f>
        <v>0</v>
      </c>
      <c r="AM482" s="113">
        <f t="shared" si="211"/>
        <v>0</v>
      </c>
      <c r="AN482" s="218"/>
      <c r="AO482" s="49"/>
      <c r="AP482" s="49"/>
      <c r="AQ482" s="84" t="str">
        <f>UPPER(RIGHT(Journal_Live[[#This Row],[DURATION ]]))</f>
        <v/>
      </c>
      <c r="AR482" s="49"/>
      <c r="AS482" s="55"/>
      <c r="AT482" s="55"/>
      <c r="AU482" s="54"/>
      <c r="AV482" s="56"/>
      <c r="AW482" s="57"/>
      <c r="AX482" s="153"/>
      <c r="AY482" s="153"/>
      <c r="AZ482" s="153"/>
      <c r="BA482" s="153"/>
      <c r="BB482" s="153"/>
      <c r="BC482" s="153"/>
      <c r="BD482" s="151"/>
      <c r="BE482" s="152"/>
      <c r="BF482" s="151"/>
      <c r="BG482" s="94">
        <f>SUM($AV$4:AV482)</f>
        <v>3439.8931371208032</v>
      </c>
      <c r="BH482" s="95">
        <f>SUM($AU$4:AU482)</f>
        <v>35836.379999999423</v>
      </c>
      <c r="BI482" s="80">
        <f>SUMIFS($AU$3:AU483,$Q$3:Q483,"F")</f>
        <v>23748.400000000001</v>
      </c>
      <c r="BJ482" s="80">
        <f>SUMIFS($AU$3:AU483,$Q$3:Q483,"S")</f>
        <v>8575.9999999999945</v>
      </c>
      <c r="BK482" s="87">
        <f>SUMIFS($AU$3:AU483,$P$3:P483,"W")</f>
        <v>25373.580000000344</v>
      </c>
      <c r="BL482" s="87">
        <f>SUMIFS($AU$3:AU483,$P$3:P483,"R")</f>
        <v>9197.9999999998618</v>
      </c>
      <c r="BM482" s="87">
        <f>SUMIFS($AU$3:AU483,$AQ$3:AQ483,"M")</f>
        <v>7528.779999999133</v>
      </c>
      <c r="BN482" s="87">
        <f>SUMIFS($AU$3:AU483,$AQ$3:AQ483,"H")</f>
        <v>5159.2000000002827</v>
      </c>
      <c r="BO482" s="87">
        <f>SUMIFS($AU$3:AU483,$AQ$3:AQ483,"D")</f>
        <v>12150</v>
      </c>
      <c r="BP482" s="87">
        <f>SUMIFS($AS$3:AS1243,$AO$3:AO1243,"W")</f>
        <v>0</v>
      </c>
      <c r="BQ482" s="87">
        <f>SUMIFS($AU$3:AU483,$Q$3:Q483,"O")</f>
        <v>2487.9799999994325</v>
      </c>
      <c r="BR482" s="87">
        <f>SUMIFS($AU$3:AU483,$AA$3:AA483,"*")</f>
        <v>26597.19999999931</v>
      </c>
      <c r="BS482" s="87">
        <f>SUMIFS($AU$3:AU483,$AB$3:AB483,"*")</f>
        <v>9655.1799999999312</v>
      </c>
      <c r="BT482" s="87">
        <f>SUMIFS($AU$3:AU483,$AC$3:AC483,"*")</f>
        <v>21428.400000000001</v>
      </c>
      <c r="BU482" s="87">
        <f>SUMIFS($AU$3:AU483,$AA$3:AA483,"*",$AB$3:AB483,"*")</f>
        <v>5759.9999999998217</v>
      </c>
      <c r="BV482" s="87">
        <f>SUMIFS($AU$3:AU483,$AA$3:AA483,"*",$AC$3:AC483,"*")</f>
        <v>14324.400000000001</v>
      </c>
      <c r="BW482" s="87">
        <f>SUMIFS($AU$3:AU483,$AB$3:AB483,"*",$AC$3:AC483,"*")</f>
        <v>4639.9999999999982</v>
      </c>
      <c r="BX482" s="87">
        <f>SUMIFS($AV$3:AV483,$Q$3:Q483,"F")</f>
        <v>456.63675319849239</v>
      </c>
      <c r="BY482" s="87">
        <f>SUMIFS($AV$3:AV483,$Q$3:Q483,"S")</f>
        <v>408.81638392253404</v>
      </c>
      <c r="BZ482" s="87">
        <f>SUMIFS($AV$3:AV483,$Q$3:Q483,"O")</f>
        <v>642.43999999977211</v>
      </c>
    </row>
    <row r="483" spans="1:78" ht="15.75" customHeight="1">
      <c r="A483" s="45" t="s">
        <v>1310</v>
      </c>
      <c r="B483" s="59">
        <v>45406</v>
      </c>
      <c r="C483" s="46" t="s">
        <v>147</v>
      </c>
      <c r="D483" s="46" t="s">
        <v>186</v>
      </c>
      <c r="E483" s="66"/>
      <c r="F483" s="47"/>
      <c r="G483" s="48" t="s">
        <v>227</v>
      </c>
      <c r="H483" s="49"/>
      <c r="I483" s="49"/>
      <c r="J483" s="49"/>
      <c r="K483" s="50"/>
      <c r="L483" s="49">
        <v>2</v>
      </c>
      <c r="M483" s="49">
        <v>2</v>
      </c>
      <c r="N483" s="49"/>
      <c r="O483" s="50" t="s">
        <v>100</v>
      </c>
      <c r="P483" s="50" t="s">
        <v>101</v>
      </c>
      <c r="Q483" s="50" t="s">
        <v>102</v>
      </c>
      <c r="R483" s="50">
        <v>25</v>
      </c>
      <c r="S483" s="161">
        <v>0</v>
      </c>
      <c r="T483" s="50">
        <v>25</v>
      </c>
      <c r="U483" s="50" t="s">
        <v>22</v>
      </c>
      <c r="V483" s="50"/>
      <c r="W483" s="50"/>
      <c r="X483" s="50"/>
      <c r="Y483" s="51">
        <f t="shared" ref="Y483:Y494" si="214">IF(ISBLANK(O483),"",(IF(O483=UPPER("IB"),0.005,0.01)))</f>
        <v>0.01</v>
      </c>
      <c r="Z483" s="52">
        <f t="shared" ref="Z483:Z494" si="215">IF(ISBLANK(O483),"",IF(O483="IB",8.63*200,IF(O483="IR",16*100,IF(O483="YT",20*100,IF(O483="YT-XT",24*200,IF(O483="TED",80*100,IF(O483="XT",29*200)))))))</f>
        <v>1600</v>
      </c>
      <c r="AA483" s="52" t="s">
        <v>1683</v>
      </c>
      <c r="AB483" s="52"/>
      <c r="AC483" s="52"/>
      <c r="AD483" s="231">
        <v>-0.05</v>
      </c>
      <c r="AE483" s="49"/>
      <c r="AF483" s="84"/>
      <c r="AG483" s="49"/>
      <c r="AH483" s="49"/>
      <c r="AI483" s="49"/>
      <c r="AJ483" s="226"/>
      <c r="AK483" s="49"/>
      <c r="AL483" s="113">
        <f t="shared" ref="AL483:AL489" si="216">-0.02*Z483</f>
        <v>-32</v>
      </c>
      <c r="AM483" s="113">
        <f t="shared" si="211"/>
        <v>-800</v>
      </c>
      <c r="AN483" s="218"/>
      <c r="AO483" s="49"/>
      <c r="AP483" s="49"/>
      <c r="AQ483" s="84" t="s">
        <v>350</v>
      </c>
      <c r="AR483" s="49"/>
      <c r="AS483" s="55">
        <v>-0.04</v>
      </c>
      <c r="AT483" s="55">
        <f t="shared" ref="AT483:AT494" si="217">IF(ISBLANK(AS483),,IF(U483="S",AD483-AS483,AS483-AD483))</f>
        <v>1.0000000000000002E-2</v>
      </c>
      <c r="AU483" s="54">
        <f t="shared" ref="AU483:AU494" si="218">AV483*R483</f>
        <v>400.00000000000011</v>
      </c>
      <c r="AV483" s="56">
        <f t="shared" ref="AV483:AV507" si="219">IF(ISBLANK(AS483),,(AT483*Z483))</f>
        <v>16.000000000000004</v>
      </c>
      <c r="AW483" s="57" t="s">
        <v>101</v>
      </c>
      <c r="AX483" s="153"/>
      <c r="AY483" s="153"/>
      <c r="AZ483" s="153"/>
      <c r="BA483" s="153"/>
      <c r="BB483" s="153"/>
      <c r="BC483" s="153"/>
      <c r="BD483" s="151"/>
      <c r="BE483" s="152"/>
      <c r="BF483" s="151"/>
      <c r="BG483" s="94">
        <f>SUM($AV$4:AV483)</f>
        <v>3455.8931371208032</v>
      </c>
      <c r="BH483" s="95">
        <f>SUM($AU$4:AU483)</f>
        <v>36236.379999999423</v>
      </c>
      <c r="BI483" s="80">
        <f>SUMIFS($AU$3:AU484,$Q$3:Q484,"F")</f>
        <v>23748.400000000001</v>
      </c>
      <c r="BJ483" s="80">
        <f>SUMIFS($AU$3:AU484,$Q$3:Q484,"S")</f>
        <v>8975.9999999999945</v>
      </c>
      <c r="BK483" s="87">
        <f>SUMIFS($AU$3:AU484,$P$3:P484,"W")</f>
        <v>25773.580000000344</v>
      </c>
      <c r="BL483" s="87">
        <f>SUMIFS($AU$3:AU484,$P$3:P484,"R")</f>
        <v>9197.9999999998618</v>
      </c>
      <c r="BM483" s="87">
        <f>SUMIFS($AU$3:AU484,$AQ$3:AQ484,"M")</f>
        <v>7528.779999999133</v>
      </c>
      <c r="BN483" s="87">
        <f>SUMIFS($AU$3:AU484,$AQ$3:AQ484,"H")</f>
        <v>5559.2000000002827</v>
      </c>
      <c r="BO483" s="87">
        <f>SUMIFS($AU$3:AU484,$AQ$3:AQ484,"D")</f>
        <v>12150</v>
      </c>
      <c r="BP483" s="87">
        <f>SUMIFS($AS$3:AS1244,$AO$3:AO1244,"W")</f>
        <v>0</v>
      </c>
      <c r="BQ483" s="87">
        <f>SUMIFS($AU$3:AU484,$Q$3:Q484,"O")</f>
        <v>2487.9799999994325</v>
      </c>
      <c r="BR483" s="87">
        <f>SUMIFS($AU$3:AU484,$AA$3:AA484,"*")</f>
        <v>26997.19999999931</v>
      </c>
      <c r="BS483" s="87">
        <f>SUMIFS($AU$3:AU484,$AB$3:AB484,"*")</f>
        <v>9655.1799999999312</v>
      </c>
      <c r="BT483" s="87">
        <f>SUMIFS($AU$3:AU484,$AC$3:AC484,"*")</f>
        <v>21428.400000000001</v>
      </c>
      <c r="BU483" s="87">
        <f>SUMIFS($AU$3:AU484,$AA$3:AA484,"*",$AB$3:AB484,"*")</f>
        <v>5759.9999999998217</v>
      </c>
      <c r="BV483" s="87">
        <f>SUMIFS($AU$3:AU484,$AA$3:AA484,"*",$AC$3:AC484,"*")</f>
        <v>14324.400000000001</v>
      </c>
      <c r="BW483" s="87">
        <f>SUMIFS($AU$3:AU484,$AB$3:AB484,"*",$AC$3:AC484,"*")</f>
        <v>4639.9999999999982</v>
      </c>
      <c r="BX483" s="87">
        <f>SUMIFS($AV$3:AV484,$Q$3:Q484,"F")</f>
        <v>456.63675319849239</v>
      </c>
      <c r="BY483" s="87">
        <f>SUMIFS($AV$3:AV484,$Q$3:Q484,"S")</f>
        <v>424.81638392253404</v>
      </c>
      <c r="BZ483" s="87">
        <f>SUMIFS($AV$3:AV484,$Q$3:Q484,"O")</f>
        <v>642.43999999977211</v>
      </c>
    </row>
    <row r="484" spans="1:78" ht="15.75" customHeight="1">
      <c r="A484" s="45" t="s">
        <v>1310</v>
      </c>
      <c r="B484" s="59">
        <v>45406</v>
      </c>
      <c r="C484" s="46" t="s">
        <v>147</v>
      </c>
      <c r="D484" s="46" t="s">
        <v>186</v>
      </c>
      <c r="E484" s="66"/>
      <c r="F484" s="47"/>
      <c r="G484" s="48" t="s">
        <v>227</v>
      </c>
      <c r="H484" s="49"/>
      <c r="I484" s="49"/>
      <c r="J484" s="49"/>
      <c r="K484" s="50"/>
      <c r="L484" s="49">
        <v>2</v>
      </c>
      <c r="M484" s="49">
        <v>2</v>
      </c>
      <c r="N484" s="49"/>
      <c r="O484" s="50" t="s">
        <v>100</v>
      </c>
      <c r="P484" s="50" t="s">
        <v>101</v>
      </c>
      <c r="Q484" s="50" t="s">
        <v>102</v>
      </c>
      <c r="R484" s="50">
        <v>25</v>
      </c>
      <c r="S484" s="161">
        <v>0</v>
      </c>
      <c r="T484" s="50">
        <v>25</v>
      </c>
      <c r="U484" s="50" t="s">
        <v>102</v>
      </c>
      <c r="V484" s="50"/>
      <c r="W484" s="50"/>
      <c r="X484" s="50"/>
      <c r="Y484" s="51">
        <f t="shared" si="214"/>
        <v>0.01</v>
      </c>
      <c r="Z484" s="52">
        <f t="shared" si="215"/>
        <v>1600</v>
      </c>
      <c r="AA484" s="52" t="s">
        <v>1684</v>
      </c>
      <c r="AB484" s="52"/>
      <c r="AC484" s="52"/>
      <c r="AD484" s="231">
        <v>-0.04</v>
      </c>
      <c r="AE484" s="49"/>
      <c r="AF484" s="84"/>
      <c r="AG484" s="49"/>
      <c r="AH484" s="49"/>
      <c r="AI484" s="49"/>
      <c r="AJ484" s="226"/>
      <c r="AK484" s="49"/>
      <c r="AL484" s="113">
        <f t="shared" si="216"/>
        <v>-32</v>
      </c>
      <c r="AM484" s="113">
        <f t="shared" si="211"/>
        <v>-800</v>
      </c>
      <c r="AN484" s="218"/>
      <c r="AO484" s="49"/>
      <c r="AP484" s="49"/>
      <c r="AQ484" s="84" t="s">
        <v>142</v>
      </c>
      <c r="AR484" s="49"/>
      <c r="AS484" s="55">
        <v>-0.05</v>
      </c>
      <c r="AT484" s="55">
        <f t="shared" si="217"/>
        <v>1.0000000000000002E-2</v>
      </c>
      <c r="AU484" s="54">
        <f t="shared" si="218"/>
        <v>400.00000000000011</v>
      </c>
      <c r="AV484" s="56">
        <f t="shared" si="219"/>
        <v>16.000000000000004</v>
      </c>
      <c r="AW484" s="57" t="s">
        <v>101</v>
      </c>
      <c r="AX484" s="153"/>
      <c r="AY484" s="153"/>
      <c r="AZ484" s="153"/>
      <c r="BA484" s="153"/>
      <c r="BB484" s="153"/>
      <c r="BC484" s="153"/>
      <c r="BD484" s="151"/>
      <c r="BE484" s="152"/>
      <c r="BF484" s="151"/>
      <c r="BG484" s="94">
        <f>SUM($AV$4:AV484)</f>
        <v>3471.8931371208032</v>
      </c>
      <c r="BH484" s="95">
        <f>SUM($AU$4:AU484)</f>
        <v>36636.379999999423</v>
      </c>
      <c r="BI484" s="80">
        <f>SUMIFS($AU$3:AU485,$Q$3:Q485,"F")</f>
        <v>23748.400000000001</v>
      </c>
      <c r="BJ484" s="80">
        <f>SUMIFS($AU$3:AU485,$Q$3:Q485,"S")</f>
        <v>9775.9999999999945</v>
      </c>
      <c r="BK484" s="87">
        <f>SUMIFS($AU$3:AU485,$P$3:P485,"W")</f>
        <v>26573.580000000344</v>
      </c>
      <c r="BL484" s="87">
        <f>SUMIFS($AU$3:AU485,$P$3:P485,"R")</f>
        <v>9197.9999999998618</v>
      </c>
      <c r="BM484" s="87">
        <f>SUMIFS($AU$3:AU485,$AQ$3:AQ485,"M")</f>
        <v>7528.779999999133</v>
      </c>
      <c r="BN484" s="87">
        <f>SUMIFS($AU$3:AU485,$AQ$3:AQ485,"H")</f>
        <v>6359.2000000002827</v>
      </c>
      <c r="BO484" s="87">
        <f>SUMIFS($AU$3:AU485,$AQ$3:AQ485,"D")</f>
        <v>12150</v>
      </c>
      <c r="BP484" s="87">
        <f>SUMIFS($AS$3:AS1245,$AO$3:AO1245,"W")</f>
        <v>0</v>
      </c>
      <c r="BQ484" s="87">
        <f>SUMIFS($AU$3:AU485,$Q$3:Q485,"O")</f>
        <v>2487.9799999994325</v>
      </c>
      <c r="BR484" s="87">
        <f>SUMIFS($AU$3:AU485,$AA$3:AA485,"*")</f>
        <v>27797.19999999931</v>
      </c>
      <c r="BS484" s="87">
        <f>SUMIFS($AU$3:AU485,$AB$3:AB485,"*")</f>
        <v>9655.1799999999312</v>
      </c>
      <c r="BT484" s="87">
        <f>SUMIFS($AU$3:AU485,$AC$3:AC485,"*")</f>
        <v>21428.400000000001</v>
      </c>
      <c r="BU484" s="87">
        <f>SUMIFS($AU$3:AU485,$AA$3:AA485,"*",$AB$3:AB485,"*")</f>
        <v>5759.9999999998217</v>
      </c>
      <c r="BV484" s="87">
        <f>SUMIFS($AU$3:AU485,$AA$3:AA485,"*",$AC$3:AC485,"*")</f>
        <v>14324.400000000001</v>
      </c>
      <c r="BW484" s="87">
        <f>SUMIFS($AU$3:AU485,$AB$3:AB485,"*",$AC$3:AC485,"*")</f>
        <v>4639.9999999999982</v>
      </c>
      <c r="BX484" s="87">
        <f>SUMIFS($AV$3:AV485,$Q$3:Q485,"F")</f>
        <v>456.63675319849239</v>
      </c>
      <c r="BY484" s="87">
        <f>SUMIFS($AV$3:AV485,$Q$3:Q485,"S")</f>
        <v>456.81638392253404</v>
      </c>
      <c r="BZ484" s="87">
        <f>SUMIFS($AV$3:AV485,$Q$3:Q485,"O")</f>
        <v>642.43999999977211</v>
      </c>
    </row>
    <row r="485" spans="1:78" ht="15.75" customHeight="1">
      <c r="A485" s="45" t="s">
        <v>1310</v>
      </c>
      <c r="B485" s="59">
        <v>45406</v>
      </c>
      <c r="C485" s="46" t="s">
        <v>147</v>
      </c>
      <c r="D485" s="46" t="s">
        <v>186</v>
      </c>
      <c r="E485" s="66"/>
      <c r="F485" s="47"/>
      <c r="G485" s="48" t="s">
        <v>227</v>
      </c>
      <c r="H485" s="49"/>
      <c r="I485" s="49"/>
      <c r="J485" s="49"/>
      <c r="K485" s="50"/>
      <c r="L485" s="49">
        <v>2</v>
      </c>
      <c r="M485" s="49">
        <v>2</v>
      </c>
      <c r="N485" s="49"/>
      <c r="O485" s="50" t="s">
        <v>100</v>
      </c>
      <c r="P485" s="50" t="s">
        <v>101</v>
      </c>
      <c r="Q485" s="50" t="s">
        <v>102</v>
      </c>
      <c r="R485" s="50">
        <v>25</v>
      </c>
      <c r="S485" s="161">
        <v>0</v>
      </c>
      <c r="T485" s="50">
        <v>25</v>
      </c>
      <c r="U485" s="50" t="s">
        <v>102</v>
      </c>
      <c r="V485" s="50"/>
      <c r="W485" s="50"/>
      <c r="X485" s="50"/>
      <c r="Y485" s="51">
        <f t="shared" si="214"/>
        <v>0.01</v>
      </c>
      <c r="Z485" s="52">
        <f t="shared" si="215"/>
        <v>1600</v>
      </c>
      <c r="AA485" s="52" t="s">
        <v>1683</v>
      </c>
      <c r="AB485" s="52"/>
      <c r="AC485" s="52"/>
      <c r="AD485" s="231">
        <v>-0.04</v>
      </c>
      <c r="AE485" s="49"/>
      <c r="AF485" s="84"/>
      <c r="AG485" s="49"/>
      <c r="AH485" s="49"/>
      <c r="AI485" s="49"/>
      <c r="AJ485" s="226"/>
      <c r="AK485" s="49"/>
      <c r="AL485" s="113">
        <f t="shared" si="216"/>
        <v>-32</v>
      </c>
      <c r="AM485" s="113">
        <f t="shared" si="211"/>
        <v>-800</v>
      </c>
      <c r="AN485" s="218"/>
      <c r="AO485" s="49"/>
      <c r="AP485" s="49"/>
      <c r="AQ485" s="84" t="s">
        <v>142</v>
      </c>
      <c r="AR485" s="49"/>
      <c r="AS485" s="55">
        <v>-0.06</v>
      </c>
      <c r="AT485" s="55">
        <f t="shared" si="217"/>
        <v>1.9999999999999997E-2</v>
      </c>
      <c r="AU485" s="54">
        <f t="shared" si="218"/>
        <v>799.99999999999989</v>
      </c>
      <c r="AV485" s="56">
        <f t="shared" si="219"/>
        <v>31.999999999999996</v>
      </c>
      <c r="AW485" s="57" t="s">
        <v>101</v>
      </c>
      <c r="AX485" s="153"/>
      <c r="AY485" s="153"/>
      <c r="AZ485" s="153"/>
      <c r="BA485" s="153"/>
      <c r="BB485" s="153"/>
      <c r="BC485" s="153"/>
      <c r="BD485" s="151"/>
      <c r="BE485" s="152"/>
      <c r="BF485" s="151"/>
      <c r="BG485" s="94">
        <f>SUM($AV$4:AV485)</f>
        <v>3503.8931371208032</v>
      </c>
      <c r="BH485" s="95">
        <f>SUM($AU$4:AU485)</f>
        <v>37436.379999999423</v>
      </c>
      <c r="BI485" s="80">
        <f>SUMIFS($AU$3:AU486,$Q$3:Q486,"F")</f>
        <v>23748.400000000001</v>
      </c>
      <c r="BJ485" s="80">
        <f>SUMIFS($AU$3:AU486,$Q$3:Q486,"S")</f>
        <v>10735.999999999996</v>
      </c>
      <c r="BK485" s="87">
        <f>SUMIFS($AU$3:AU486,$P$3:P486,"W")</f>
        <v>27533.580000000344</v>
      </c>
      <c r="BL485" s="87">
        <f>SUMIFS($AU$3:AU486,$P$3:P486,"R")</f>
        <v>9197.9999999998618</v>
      </c>
      <c r="BM485" s="87">
        <f>SUMIFS($AU$3:AU486,$AQ$3:AQ486,"M")</f>
        <v>8488.779999999133</v>
      </c>
      <c r="BN485" s="87">
        <f>SUMIFS($AU$3:AU486,$AQ$3:AQ486,"H")</f>
        <v>6359.2000000002827</v>
      </c>
      <c r="BO485" s="87">
        <f>SUMIFS($AU$3:AU486,$AQ$3:AQ486,"D")</f>
        <v>12150</v>
      </c>
      <c r="BP485" s="87">
        <f>SUMIFS($AS$3:AS1246,$AO$3:AO1246,"W")</f>
        <v>0</v>
      </c>
      <c r="BQ485" s="87">
        <f>SUMIFS($AU$3:AU486,$Q$3:Q486,"O")</f>
        <v>2487.9799999994325</v>
      </c>
      <c r="BR485" s="87">
        <f>SUMIFS($AU$3:AU486,$AA$3:AA486,"*")</f>
        <v>28757.19999999931</v>
      </c>
      <c r="BS485" s="87">
        <f>SUMIFS($AU$3:AU486,$AB$3:AB486,"*")</f>
        <v>9655.1799999999312</v>
      </c>
      <c r="BT485" s="87">
        <f>SUMIFS($AU$3:AU486,$AC$3:AC486,"*")</f>
        <v>21428.400000000001</v>
      </c>
      <c r="BU485" s="87">
        <f>SUMIFS($AU$3:AU486,$AA$3:AA486,"*",$AB$3:AB486,"*")</f>
        <v>5759.9999999998217</v>
      </c>
      <c r="BV485" s="87">
        <f>SUMIFS($AU$3:AU486,$AA$3:AA486,"*",$AC$3:AC486,"*")</f>
        <v>14324.400000000001</v>
      </c>
      <c r="BW485" s="87">
        <f>SUMIFS($AU$3:AU486,$AB$3:AB486,"*",$AC$3:AC486,"*")</f>
        <v>4639.9999999999982</v>
      </c>
      <c r="BX485" s="87">
        <f>SUMIFS($AV$3:AV486,$Q$3:Q486,"F")</f>
        <v>456.63675319849239</v>
      </c>
      <c r="BY485" s="87">
        <f>SUMIFS($AV$3:AV486,$Q$3:Q486,"S")</f>
        <v>472.81638392253404</v>
      </c>
      <c r="BZ485" s="87">
        <f>SUMIFS($AV$3:AV486,$Q$3:Q486,"O")</f>
        <v>642.43999999977211</v>
      </c>
    </row>
    <row r="486" spans="1:78" ht="15.75" customHeight="1">
      <c r="A486" s="45" t="s">
        <v>1310</v>
      </c>
      <c r="B486" s="59">
        <v>45406</v>
      </c>
      <c r="C486" s="46" t="s">
        <v>147</v>
      </c>
      <c r="D486" s="46" t="s">
        <v>186</v>
      </c>
      <c r="E486" s="66"/>
      <c r="F486" s="47"/>
      <c r="G486" s="48" t="s">
        <v>1501</v>
      </c>
      <c r="H486" s="49"/>
      <c r="I486" s="49"/>
      <c r="J486" s="49"/>
      <c r="K486" s="50"/>
      <c r="L486" s="49">
        <v>2</v>
      </c>
      <c r="M486" s="49">
        <v>2</v>
      </c>
      <c r="N486" s="49"/>
      <c r="O486" s="50" t="s">
        <v>100</v>
      </c>
      <c r="P486" s="50" t="s">
        <v>101</v>
      </c>
      <c r="Q486" s="50" t="s">
        <v>102</v>
      </c>
      <c r="R486" s="50">
        <v>60</v>
      </c>
      <c r="S486" s="161">
        <v>0</v>
      </c>
      <c r="T486" s="50">
        <v>60</v>
      </c>
      <c r="U486" s="50" t="s">
        <v>102</v>
      </c>
      <c r="V486" s="50"/>
      <c r="W486" s="50"/>
      <c r="X486" s="50"/>
      <c r="Y486" s="51">
        <f t="shared" si="214"/>
        <v>0.01</v>
      </c>
      <c r="Z486" s="52">
        <f t="shared" si="215"/>
        <v>1600</v>
      </c>
      <c r="AA486" s="52" t="s">
        <v>270</v>
      </c>
      <c r="AB486" s="52"/>
      <c r="AC486" s="52"/>
      <c r="AD486" s="231">
        <v>-0.15</v>
      </c>
      <c r="AE486" s="49"/>
      <c r="AF486" s="84"/>
      <c r="AG486" s="49"/>
      <c r="AH486" s="49"/>
      <c r="AI486" s="49"/>
      <c r="AJ486" s="226"/>
      <c r="AK486" s="49"/>
      <c r="AL486" s="113">
        <f t="shared" si="216"/>
        <v>-32</v>
      </c>
      <c r="AM486" s="113">
        <f t="shared" si="211"/>
        <v>-1920</v>
      </c>
      <c r="AN486" s="218"/>
      <c r="AO486" s="49"/>
      <c r="AP486" s="49"/>
      <c r="AQ486" s="84" t="s">
        <v>350</v>
      </c>
      <c r="AR486" s="49"/>
      <c r="AS486" s="55">
        <v>-0.16</v>
      </c>
      <c r="AT486" s="55">
        <f t="shared" si="217"/>
        <v>1.0000000000000009E-2</v>
      </c>
      <c r="AU486" s="54">
        <f t="shared" si="218"/>
        <v>960.00000000000091</v>
      </c>
      <c r="AV486" s="56">
        <f t="shared" si="219"/>
        <v>16.000000000000014</v>
      </c>
      <c r="AW486" s="57" t="s">
        <v>101</v>
      </c>
      <c r="AX486" s="153"/>
      <c r="AY486" s="153"/>
      <c r="AZ486" s="153"/>
      <c r="BA486" s="153"/>
      <c r="BB486" s="153"/>
      <c r="BC486" s="153"/>
      <c r="BD486" s="151"/>
      <c r="BE486" s="152"/>
      <c r="BF486" s="151"/>
      <c r="BG486" s="94">
        <f>SUM($AV$4:AV486)</f>
        <v>3519.8931371208032</v>
      </c>
      <c r="BH486" s="95">
        <f>SUM($AU$4:AU486)</f>
        <v>38396.379999999423</v>
      </c>
      <c r="BI486" s="80">
        <f>SUMIFS($AU$3:AU487,$Q$3:Q487,"F")</f>
        <v>23748.400000000001</v>
      </c>
      <c r="BJ486" s="80">
        <f>SUMIFS($AU$3:AU487,$Q$3:Q487,"S")</f>
        <v>10735.999999999996</v>
      </c>
      <c r="BK486" s="87">
        <f>SUMIFS($AU$3:AU487,$P$3:P487,"W")</f>
        <v>27533.580000000344</v>
      </c>
      <c r="BL486" s="87">
        <f>SUMIFS($AU$3:AU487,$P$3:P487,"R")</f>
        <v>9197.9999999998618</v>
      </c>
      <c r="BM486" s="87">
        <f>SUMIFS($AU$3:AU487,$AQ$3:AQ487,"M")</f>
        <v>8488.779999999133</v>
      </c>
      <c r="BN486" s="87">
        <f>SUMIFS($AU$3:AU487,$AQ$3:AQ487,"H")</f>
        <v>6359.2000000002827</v>
      </c>
      <c r="BO486" s="87">
        <f>SUMIFS($AU$3:AU487,$AQ$3:AQ487,"D")</f>
        <v>12150</v>
      </c>
      <c r="BP486" s="87">
        <f>SUMIFS($AS$3:AS1247,$AO$3:AO1247,"W")</f>
        <v>0</v>
      </c>
      <c r="BQ486" s="87">
        <f>SUMIFS($AU$3:AU487,$Q$3:Q487,"O")</f>
        <v>2487.9799999994325</v>
      </c>
      <c r="BR486" s="87">
        <f>SUMIFS($AU$3:AU487,$AA$3:AA487,"*")</f>
        <v>28757.19999999931</v>
      </c>
      <c r="BS486" s="87">
        <f>SUMIFS($AU$3:AU487,$AB$3:AB487,"*")</f>
        <v>9655.1799999999312</v>
      </c>
      <c r="BT486" s="87">
        <f>SUMIFS($AU$3:AU487,$AC$3:AC487,"*")</f>
        <v>21428.400000000001</v>
      </c>
      <c r="BU486" s="87">
        <f>SUMIFS($AU$3:AU487,$AA$3:AA487,"*",$AB$3:AB487,"*")</f>
        <v>5759.9999999998217</v>
      </c>
      <c r="BV486" s="87">
        <f>SUMIFS($AU$3:AU487,$AA$3:AA487,"*",$AC$3:AC487,"*")</f>
        <v>14324.400000000001</v>
      </c>
      <c r="BW486" s="87">
        <f>SUMIFS($AU$3:AU487,$AB$3:AB487,"*",$AC$3:AC487,"*")</f>
        <v>4639.9999999999982</v>
      </c>
      <c r="BX486" s="87">
        <f>SUMIFS($AV$3:AV487,$Q$3:Q487,"F")</f>
        <v>456.63675319849239</v>
      </c>
      <c r="BY486" s="87">
        <f>SUMIFS($AV$3:AV487,$Q$3:Q487,"S")</f>
        <v>472.81638392253404</v>
      </c>
      <c r="BZ486" s="87">
        <f>SUMIFS($AV$3:AV487,$Q$3:Q487,"O")</f>
        <v>642.43999999977211</v>
      </c>
    </row>
    <row r="487" spans="1:78" ht="15.75" customHeight="1">
      <c r="A487" s="45" t="s">
        <v>1310</v>
      </c>
      <c r="B487" s="59">
        <v>45406</v>
      </c>
      <c r="C487" s="46" t="s">
        <v>147</v>
      </c>
      <c r="D487" s="46" t="s">
        <v>186</v>
      </c>
      <c r="E487" s="66"/>
      <c r="F487" s="47"/>
      <c r="G487" s="48" t="s">
        <v>181</v>
      </c>
      <c r="H487" s="49"/>
      <c r="I487" s="49"/>
      <c r="J487" s="49"/>
      <c r="K487" s="50"/>
      <c r="L487" s="49">
        <v>2</v>
      </c>
      <c r="M487" s="49">
        <v>2</v>
      </c>
      <c r="N487" s="49"/>
      <c r="O487" s="50" t="s">
        <v>100</v>
      </c>
      <c r="P487" s="50" t="s">
        <v>101</v>
      </c>
      <c r="Q487" s="50" t="s">
        <v>102</v>
      </c>
      <c r="R487" s="50">
        <v>50</v>
      </c>
      <c r="S487" s="161">
        <v>0</v>
      </c>
      <c r="T487" s="50">
        <v>50</v>
      </c>
      <c r="U487" s="50" t="s">
        <v>102</v>
      </c>
      <c r="V487" s="50"/>
      <c r="W487" s="50"/>
      <c r="X487" s="50"/>
      <c r="Y487" s="51">
        <f t="shared" si="214"/>
        <v>0.01</v>
      </c>
      <c r="Z487" s="52">
        <f t="shared" si="215"/>
        <v>1600</v>
      </c>
      <c r="AA487" s="52" t="s">
        <v>1685</v>
      </c>
      <c r="AB487" s="52"/>
      <c r="AC487" s="52"/>
      <c r="AD487" s="231">
        <v>-7.0000000000000007E-2</v>
      </c>
      <c r="AE487" s="49"/>
      <c r="AF487" s="84"/>
      <c r="AG487" s="49"/>
      <c r="AH487" s="49"/>
      <c r="AI487" s="49"/>
      <c r="AJ487" s="226"/>
      <c r="AK487" s="49"/>
      <c r="AL487" s="113">
        <f t="shared" si="216"/>
        <v>-32</v>
      </c>
      <c r="AM487" s="113">
        <f t="shared" si="211"/>
        <v>-1600</v>
      </c>
      <c r="AN487" s="218"/>
      <c r="AO487" s="49"/>
      <c r="AP487" s="49"/>
      <c r="AQ487" s="84" t="s">
        <v>142</v>
      </c>
      <c r="AR487" s="49"/>
      <c r="AS487" s="55">
        <v>-7.0000000000000007E-2</v>
      </c>
      <c r="AT487" s="55">
        <f t="shared" si="217"/>
        <v>0</v>
      </c>
      <c r="AU487" s="54">
        <f t="shared" si="218"/>
        <v>0</v>
      </c>
      <c r="AV487" s="56">
        <f t="shared" si="219"/>
        <v>0</v>
      </c>
      <c r="AW487" s="57" t="s">
        <v>155</v>
      </c>
      <c r="AX487" s="153"/>
      <c r="AY487" s="153"/>
      <c r="AZ487" s="153"/>
      <c r="BA487" s="153"/>
      <c r="BB487" s="153"/>
      <c r="BC487" s="153"/>
      <c r="BD487" s="151"/>
      <c r="BE487" s="152"/>
      <c r="BF487" s="151"/>
      <c r="BG487" s="94">
        <f>SUM($AV$4:AV487)</f>
        <v>3519.8931371208032</v>
      </c>
      <c r="BH487" s="95">
        <f>SUM($AU$4:AU487)</f>
        <v>38396.379999999423</v>
      </c>
      <c r="BI487" s="80">
        <f>SUMIFS($AU$3:AU488,$Q$3:Q488,"F")</f>
        <v>23748.400000000001</v>
      </c>
      <c r="BJ487" s="80">
        <f>SUMIFS($AU$3:AU488,$Q$3:Q488,"S")</f>
        <v>11135.999999999996</v>
      </c>
      <c r="BK487" s="87">
        <f>SUMIFS($AU$3:AU488,$P$3:P488,"W")</f>
        <v>27933.580000000344</v>
      </c>
      <c r="BL487" s="87">
        <f>SUMIFS($AU$3:AU488,$P$3:P488,"R")</f>
        <v>9197.9999999998618</v>
      </c>
      <c r="BM487" s="87">
        <f>SUMIFS($AU$3:AU488,$AQ$3:AQ488,"M")</f>
        <v>8488.779999999133</v>
      </c>
      <c r="BN487" s="87">
        <f>SUMIFS($AU$3:AU488,$AQ$3:AQ488,"H")</f>
        <v>6759.2000000002827</v>
      </c>
      <c r="BO487" s="87">
        <f>SUMIFS($AU$3:AU488,$AQ$3:AQ488,"D")</f>
        <v>12150</v>
      </c>
      <c r="BP487" s="87">
        <f>SUMIFS($AS$3:AS1248,$AO$3:AO1248,"W")</f>
        <v>0</v>
      </c>
      <c r="BQ487" s="87">
        <f>SUMIFS($AU$3:AU488,$Q$3:Q488,"O")</f>
        <v>2487.9799999994325</v>
      </c>
      <c r="BR487" s="87">
        <f>SUMIFS($AU$3:AU488,$AA$3:AA488,"*")</f>
        <v>29157.19999999931</v>
      </c>
      <c r="BS487" s="87">
        <f>SUMIFS($AU$3:AU488,$AB$3:AB488,"*")</f>
        <v>9655.1799999999312</v>
      </c>
      <c r="BT487" s="87">
        <f>SUMIFS($AU$3:AU488,$AC$3:AC488,"*")</f>
        <v>21428.400000000001</v>
      </c>
      <c r="BU487" s="87">
        <f>SUMIFS($AU$3:AU488,$AA$3:AA488,"*",$AB$3:AB488,"*")</f>
        <v>5759.9999999998217</v>
      </c>
      <c r="BV487" s="87">
        <f>SUMIFS($AU$3:AU488,$AA$3:AA488,"*",$AC$3:AC488,"*")</f>
        <v>14324.400000000001</v>
      </c>
      <c r="BW487" s="87">
        <f>SUMIFS($AU$3:AU488,$AB$3:AB488,"*",$AC$3:AC488,"*")</f>
        <v>4639.9999999999982</v>
      </c>
      <c r="BX487" s="87">
        <f>SUMIFS($AV$3:AV488,$Q$3:Q488,"F")</f>
        <v>456.63675319849239</v>
      </c>
      <c r="BY487" s="87">
        <f>SUMIFS($AV$3:AV488,$Q$3:Q488,"S")</f>
        <v>488.81638392253404</v>
      </c>
      <c r="BZ487" s="87">
        <f>SUMIFS($AV$3:AV488,$Q$3:Q488,"O")</f>
        <v>642.43999999977211</v>
      </c>
    </row>
    <row r="488" spans="1:78" ht="15.75" customHeight="1">
      <c r="A488" s="45" t="s">
        <v>1310</v>
      </c>
      <c r="B488" s="59">
        <v>45406</v>
      </c>
      <c r="C488" s="46" t="s">
        <v>147</v>
      </c>
      <c r="D488" s="46" t="s">
        <v>186</v>
      </c>
      <c r="E488" s="66"/>
      <c r="F488" s="47"/>
      <c r="G488" s="48" t="s">
        <v>181</v>
      </c>
      <c r="H488" s="49"/>
      <c r="I488" s="49"/>
      <c r="J488" s="49"/>
      <c r="K488" s="50"/>
      <c r="L488" s="49">
        <v>2</v>
      </c>
      <c r="M488" s="49">
        <v>2</v>
      </c>
      <c r="N488" s="49"/>
      <c r="O488" s="50" t="s">
        <v>100</v>
      </c>
      <c r="P488" s="50" t="s">
        <v>101</v>
      </c>
      <c r="Q488" s="50" t="s">
        <v>102</v>
      </c>
      <c r="R488" s="50">
        <v>25</v>
      </c>
      <c r="S488" s="161">
        <v>0</v>
      </c>
      <c r="T488" s="50">
        <v>25</v>
      </c>
      <c r="U488" s="50" t="s">
        <v>102</v>
      </c>
      <c r="V488" s="50"/>
      <c r="W488" s="50"/>
      <c r="X488" s="50"/>
      <c r="Y488" s="51">
        <f t="shared" si="214"/>
        <v>0.01</v>
      </c>
      <c r="Z488" s="52">
        <f t="shared" si="215"/>
        <v>1600</v>
      </c>
      <c r="AA488" s="52" t="s">
        <v>1685</v>
      </c>
      <c r="AB488" s="52"/>
      <c r="AC488" s="52"/>
      <c r="AD488" s="231">
        <v>-7.0000000000000007E-2</v>
      </c>
      <c r="AE488" s="49"/>
      <c r="AF488" s="84"/>
      <c r="AG488" s="49"/>
      <c r="AH488" s="49"/>
      <c r="AI488" s="49"/>
      <c r="AJ488" s="226"/>
      <c r="AK488" s="49"/>
      <c r="AL488" s="113">
        <f t="shared" ref="AL488" si="220">-0.02*Z488</f>
        <v>-32</v>
      </c>
      <c r="AM488" s="113">
        <f t="shared" si="211"/>
        <v>-800</v>
      </c>
      <c r="AN488" s="218"/>
      <c r="AO488" s="49"/>
      <c r="AP488" s="49"/>
      <c r="AQ488" s="84" t="s">
        <v>142</v>
      </c>
      <c r="AR488" s="49"/>
      <c r="AS488" s="55">
        <v>-0.08</v>
      </c>
      <c r="AT488" s="55">
        <f t="shared" si="217"/>
        <v>9.999999999999995E-3</v>
      </c>
      <c r="AU488" s="54">
        <f t="shared" si="218"/>
        <v>399.99999999999983</v>
      </c>
      <c r="AV488" s="56">
        <f t="shared" ref="AV488" si="221">IF(ISBLANK(AS488),,(AT488*Z488))</f>
        <v>15.999999999999993</v>
      </c>
      <c r="AW488" s="57" t="s">
        <v>101</v>
      </c>
      <c r="AX488" s="153"/>
      <c r="AY488" s="153"/>
      <c r="AZ488" s="153"/>
      <c r="BA488" s="153"/>
      <c r="BB488" s="153"/>
      <c r="BC488" s="153"/>
      <c r="BD488" s="151"/>
      <c r="BE488" s="152"/>
      <c r="BF488" s="151"/>
      <c r="BG488" s="94">
        <f>SUM($AV$4:AV488)</f>
        <v>3535.8931371208032</v>
      </c>
      <c r="BH488" s="95">
        <f>SUM($AU$4:AU488)</f>
        <v>38796.379999999423</v>
      </c>
      <c r="BI488" s="80">
        <f>SUMIFS($AU$3:AU489,$Q$3:Q489,"F")</f>
        <v>23748.400000000001</v>
      </c>
      <c r="BJ488" s="80">
        <f>SUMIFS($AU$3:AU489,$Q$3:Q489,"S")</f>
        <v>11935.999999999996</v>
      </c>
      <c r="BK488" s="87">
        <f>SUMIFS($AU$3:AU489,$P$3:P489,"W")</f>
        <v>28733.580000000344</v>
      </c>
      <c r="BL488" s="87">
        <f>SUMIFS($AU$3:AU489,$P$3:P489,"R")</f>
        <v>9197.9999999998618</v>
      </c>
      <c r="BM488" s="87">
        <f>SUMIFS($AU$3:AU489,$AQ$3:AQ489,"M")</f>
        <v>8488.779999999133</v>
      </c>
      <c r="BN488" s="87">
        <f>SUMIFS($AU$3:AU489,$AQ$3:AQ489,"H")</f>
        <v>7559.2000000002827</v>
      </c>
      <c r="BO488" s="87">
        <f>SUMIFS($AU$3:AU489,$AQ$3:AQ489,"D")</f>
        <v>12150</v>
      </c>
      <c r="BP488" s="87">
        <f>SUMIFS($AS$3:AS1249,$AO$3:AO1249,"W")</f>
        <v>0</v>
      </c>
      <c r="BQ488" s="87">
        <f>SUMIFS($AU$3:AU489,$Q$3:Q489,"O")</f>
        <v>2487.9799999994325</v>
      </c>
      <c r="BR488" s="87">
        <f>SUMIFS($AU$3:AU489,$AA$3:AA489,"*")</f>
        <v>29957.19999999931</v>
      </c>
      <c r="BS488" s="87">
        <f>SUMIFS($AU$3:AU489,$AB$3:AB489,"*")</f>
        <v>9655.1799999999312</v>
      </c>
      <c r="BT488" s="87">
        <f>SUMIFS($AU$3:AU489,$AC$3:AC489,"*")</f>
        <v>21428.400000000001</v>
      </c>
      <c r="BU488" s="87">
        <f>SUMIFS($AU$3:AU489,$AA$3:AA489,"*",$AB$3:AB489,"*")</f>
        <v>5759.9999999998217</v>
      </c>
      <c r="BV488" s="87">
        <f>SUMIFS($AU$3:AU489,$AA$3:AA489,"*",$AC$3:AC489,"*")</f>
        <v>14324.400000000001</v>
      </c>
      <c r="BW488" s="87">
        <f>SUMIFS($AU$3:AU489,$AB$3:AB489,"*",$AC$3:AC489,"*")</f>
        <v>4639.9999999999982</v>
      </c>
      <c r="BX488" s="87">
        <f>SUMIFS($AV$3:AV489,$Q$3:Q489,"F")</f>
        <v>456.63675319849239</v>
      </c>
      <c r="BY488" s="87">
        <f>SUMIFS($AV$3:AV489,$Q$3:Q489,"S")</f>
        <v>504.81638392253404</v>
      </c>
      <c r="BZ488" s="87">
        <f>SUMIFS($AV$3:AV489,$Q$3:Q489,"O")</f>
        <v>642.43999999977211</v>
      </c>
    </row>
    <row r="489" spans="1:78" ht="15.75" customHeight="1">
      <c r="A489" s="45" t="s">
        <v>1310</v>
      </c>
      <c r="B489" s="59">
        <v>45406</v>
      </c>
      <c r="C489" s="46" t="s">
        <v>147</v>
      </c>
      <c r="D489" s="46" t="s">
        <v>186</v>
      </c>
      <c r="E489" s="66"/>
      <c r="F489" s="47"/>
      <c r="G489" s="48" t="s">
        <v>111</v>
      </c>
      <c r="H489" s="49"/>
      <c r="I489" s="49"/>
      <c r="J489" s="49"/>
      <c r="K489" s="50"/>
      <c r="L489" s="49">
        <v>2</v>
      </c>
      <c r="M489" s="49">
        <v>2</v>
      </c>
      <c r="N489" s="49"/>
      <c r="O489" s="50" t="s">
        <v>100</v>
      </c>
      <c r="P489" s="50" t="s">
        <v>101</v>
      </c>
      <c r="Q489" s="50" t="s">
        <v>102</v>
      </c>
      <c r="R489" s="50">
        <v>50</v>
      </c>
      <c r="S489" s="161">
        <v>0</v>
      </c>
      <c r="T489" s="50">
        <v>50</v>
      </c>
      <c r="U489" s="50" t="s">
        <v>102</v>
      </c>
      <c r="V489" s="50"/>
      <c r="W489" s="50"/>
      <c r="X489" s="50"/>
      <c r="Y489" s="51">
        <f t="shared" si="214"/>
        <v>0.01</v>
      </c>
      <c r="Z489" s="52">
        <f t="shared" si="215"/>
        <v>1600</v>
      </c>
      <c r="AA489" s="52" t="s">
        <v>1686</v>
      </c>
      <c r="AB489" s="52"/>
      <c r="AC489" s="52"/>
      <c r="AD489" s="231">
        <v>0.03</v>
      </c>
      <c r="AE489" s="49"/>
      <c r="AF489" s="84"/>
      <c r="AG489" s="49"/>
      <c r="AH489" s="49"/>
      <c r="AI489" s="49"/>
      <c r="AJ489" s="226"/>
      <c r="AK489" s="49"/>
      <c r="AL489" s="113">
        <f t="shared" si="216"/>
        <v>-32</v>
      </c>
      <c r="AM489" s="113">
        <f t="shared" si="211"/>
        <v>-1600</v>
      </c>
      <c r="AN489" s="218"/>
      <c r="AO489" s="49"/>
      <c r="AP489" s="49"/>
      <c r="AQ489" s="84" t="s">
        <v>142</v>
      </c>
      <c r="AR489" s="49"/>
      <c r="AS489" s="55">
        <v>0.02</v>
      </c>
      <c r="AT489" s="55">
        <f t="shared" si="217"/>
        <v>9.9999999999999985E-3</v>
      </c>
      <c r="AU489" s="54">
        <f t="shared" si="218"/>
        <v>799.99999999999989</v>
      </c>
      <c r="AV489" s="56">
        <f t="shared" si="219"/>
        <v>15.999999999999998</v>
      </c>
      <c r="AW489" s="57" t="s">
        <v>101</v>
      </c>
      <c r="AX489" s="153"/>
      <c r="AY489" s="153"/>
      <c r="AZ489" s="153"/>
      <c r="BA489" s="153"/>
      <c r="BB489" s="153"/>
      <c r="BC489" s="153"/>
      <c r="BD489" s="151"/>
      <c r="BE489" s="152"/>
      <c r="BF489" s="151"/>
      <c r="BG489" s="94">
        <f>SUM($AV$4:AV489)</f>
        <v>3551.8931371208032</v>
      </c>
      <c r="BH489" s="95">
        <f>SUM($AU$4:AU489)</f>
        <v>39596.379999999423</v>
      </c>
      <c r="BI489" s="80">
        <f>SUMIFS($AU$3:AU490,$Q$3:Q490,"F")</f>
        <v>23748.400000000001</v>
      </c>
      <c r="BJ489" s="80">
        <f>SUMIFS($AU$3:AU490,$Q$3:Q490,"S")</f>
        <v>11935.999999999996</v>
      </c>
      <c r="BK489" s="87">
        <f>SUMIFS($AU$3:AU490,$P$3:P490,"W")</f>
        <v>28733.580000000344</v>
      </c>
      <c r="BL489" s="87">
        <f>SUMIFS($AU$3:AU490,$P$3:P490,"R")</f>
        <v>9197.9999999998618</v>
      </c>
      <c r="BM489" s="87">
        <f>SUMIFS($AU$3:AU490,$AQ$3:AQ490,"M")</f>
        <v>9254.3799999993262</v>
      </c>
      <c r="BN489" s="87">
        <f>SUMIFS($AU$3:AU490,$AQ$3:AQ490,"H")</f>
        <v>7559.2000000002827</v>
      </c>
      <c r="BO489" s="87">
        <f>SUMIFS($AU$3:AU490,$AQ$3:AQ490,"D")</f>
        <v>12150</v>
      </c>
      <c r="BP489" s="87">
        <f>SUMIFS($AS$3:AS1250,$AO$3:AO1250,"W")</f>
        <v>0</v>
      </c>
      <c r="BQ489" s="87">
        <f>SUMIFS($AU$3:AU490,$Q$3:Q490,"O")</f>
        <v>3253.5799999996261</v>
      </c>
      <c r="BR489" s="87">
        <f>SUMIFS($AU$3:AU490,$AA$3:AA490,"*")</f>
        <v>30722.799999999505</v>
      </c>
      <c r="BS489" s="87">
        <f>SUMIFS($AU$3:AU490,$AB$3:AB490,"*")</f>
        <v>9655.1799999999312</v>
      </c>
      <c r="BT489" s="87">
        <f>SUMIFS($AU$3:AU490,$AC$3:AC490,"*")</f>
        <v>21428.400000000001</v>
      </c>
      <c r="BU489" s="87">
        <f>SUMIFS($AU$3:AU490,$AA$3:AA490,"*",$AB$3:AB490,"*")</f>
        <v>5759.9999999998217</v>
      </c>
      <c r="BV489" s="87">
        <f>SUMIFS($AU$3:AU490,$AA$3:AA490,"*",$AC$3:AC490,"*")</f>
        <v>14324.400000000001</v>
      </c>
      <c r="BW489" s="87">
        <f>SUMIFS($AU$3:AU490,$AB$3:AB490,"*",$AC$3:AC490,"*")</f>
        <v>4639.9999999999982</v>
      </c>
      <c r="BX489" s="87">
        <f>SUMIFS($AV$3:AV490,$Q$3:Q490,"F")</f>
        <v>456.63675319849239</v>
      </c>
      <c r="BY489" s="87">
        <f>SUMIFS($AV$3:AV490,$Q$3:Q490,"S")</f>
        <v>504.81638392253404</v>
      </c>
      <c r="BZ489" s="87">
        <f>SUMIFS($AV$3:AV490,$Q$3:Q490,"O")</f>
        <v>897.63999999983673</v>
      </c>
    </row>
    <row r="490" spans="1:78" ht="15.75" customHeight="1">
      <c r="A490" s="45" t="s">
        <v>1310</v>
      </c>
      <c r="B490" s="59">
        <v>45406</v>
      </c>
      <c r="C490" s="46" t="s">
        <v>147</v>
      </c>
      <c r="D490" s="46" t="s">
        <v>186</v>
      </c>
      <c r="E490" s="66"/>
      <c r="F490" s="47"/>
      <c r="G490" s="48" t="s">
        <v>1169</v>
      </c>
      <c r="H490" s="49"/>
      <c r="I490" s="49"/>
      <c r="J490" s="49"/>
      <c r="K490" s="50"/>
      <c r="L490" s="49">
        <v>3</v>
      </c>
      <c r="M490" s="49"/>
      <c r="N490" s="49"/>
      <c r="O490" s="50" t="s">
        <v>196</v>
      </c>
      <c r="P490" s="50" t="s">
        <v>197</v>
      </c>
      <c r="Q490" s="50" t="s">
        <v>198</v>
      </c>
      <c r="R490" s="50">
        <v>3</v>
      </c>
      <c r="S490" s="50">
        <v>0</v>
      </c>
      <c r="T490" s="50">
        <v>3</v>
      </c>
      <c r="U490" s="50" t="s">
        <v>102</v>
      </c>
      <c r="V490" s="50"/>
      <c r="W490" s="50"/>
      <c r="X490" s="50"/>
      <c r="Y490" s="51">
        <f t="shared" si="214"/>
        <v>0.01</v>
      </c>
      <c r="Z490" s="52">
        <f t="shared" si="215"/>
        <v>5800</v>
      </c>
      <c r="AA490" s="52" t="s">
        <v>908</v>
      </c>
      <c r="AB490" s="52"/>
      <c r="AC490" s="52"/>
      <c r="AD490" s="231">
        <v>95.647000000000006</v>
      </c>
      <c r="AE490" s="49"/>
      <c r="AF490" s="84"/>
      <c r="AG490" s="49"/>
      <c r="AH490" s="49"/>
      <c r="AI490" s="49"/>
      <c r="AJ490" s="226"/>
      <c r="AK490" s="49"/>
      <c r="AL490" s="113">
        <f t="shared" si="213"/>
        <v>-116</v>
      </c>
      <c r="AM490" s="113">
        <f t="shared" si="211"/>
        <v>-348</v>
      </c>
      <c r="AN490" s="218"/>
      <c r="AO490" s="49"/>
      <c r="AP490" s="49"/>
      <c r="AQ490" s="84" t="s">
        <v>350</v>
      </c>
      <c r="AR490" s="49" t="s">
        <v>1687</v>
      </c>
      <c r="AS490" s="55">
        <v>95.602999999999994</v>
      </c>
      <c r="AT490" s="55">
        <f t="shared" si="217"/>
        <v>4.4000000000011141E-2</v>
      </c>
      <c r="AU490" s="54">
        <f t="shared" si="218"/>
        <v>765.60000000019386</v>
      </c>
      <c r="AV490" s="56">
        <f t="shared" si="219"/>
        <v>255.20000000006462</v>
      </c>
      <c r="AW490" s="57" t="s">
        <v>101</v>
      </c>
      <c r="AX490" s="153"/>
      <c r="AY490" s="153"/>
      <c r="AZ490" s="153"/>
      <c r="BA490" s="153"/>
      <c r="BB490" s="153"/>
      <c r="BC490" s="153"/>
      <c r="BD490" s="151"/>
      <c r="BE490" s="152"/>
      <c r="BF490" s="151"/>
      <c r="BG490" s="94">
        <f>SUM($AV$4:AV490)</f>
        <v>3807.0931371208681</v>
      </c>
      <c r="BH490" s="95">
        <f>SUM($AU$4:AU490)</f>
        <v>40361.979999999618</v>
      </c>
      <c r="BI490" s="80">
        <f>SUMIFS($AU$3:AU491,$Q$3:Q491,"F")</f>
        <v>21348.400000000001</v>
      </c>
      <c r="BJ490" s="80">
        <f>SUMIFS($AU$3:AU491,$Q$3:Q491,"S")</f>
        <v>11935.999999999996</v>
      </c>
      <c r="BK490" s="87">
        <f>SUMIFS($AU$3:AU491,$P$3:P491,"W")</f>
        <v>26333.580000000344</v>
      </c>
      <c r="BL490" s="87">
        <f>SUMIFS($AU$3:AU491,$P$3:P491,"R")</f>
        <v>9197.9999999998618</v>
      </c>
      <c r="BM490" s="87">
        <f>SUMIFS($AU$3:AU491,$AQ$3:AQ491,"M")</f>
        <v>9254.3799999993262</v>
      </c>
      <c r="BN490" s="87">
        <f>SUMIFS($AU$3:AU491,$AQ$3:AQ491,"H")</f>
        <v>7559.2000000002827</v>
      </c>
      <c r="BO490" s="87">
        <f>SUMIFS($AU$3:AU491,$AQ$3:AQ491,"D")</f>
        <v>9750</v>
      </c>
      <c r="BP490" s="87">
        <f>SUMIFS($AS$3:AS1251,$AO$3:AO1251,"W")</f>
        <v>0</v>
      </c>
      <c r="BQ490" s="87">
        <f>SUMIFS($AU$3:AU491,$Q$3:Q491,"O")</f>
        <v>3253.5799999996261</v>
      </c>
      <c r="BR490" s="87">
        <f>SUMIFS($AU$3:AU491,$AA$3:AA491,"*")</f>
        <v>30722.799999999505</v>
      </c>
      <c r="BS490" s="87">
        <f>SUMIFS($AU$3:AU491,$AB$3:AB491,"*")</f>
        <v>9655.1799999999312</v>
      </c>
      <c r="BT490" s="87">
        <f>SUMIFS($AU$3:AU491,$AC$3:AC491,"*")</f>
        <v>19028.400000000001</v>
      </c>
      <c r="BU490" s="87">
        <f>SUMIFS($AU$3:AU491,$AA$3:AA491,"*",$AB$3:AB491,"*")</f>
        <v>5759.9999999998217</v>
      </c>
      <c r="BV490" s="87">
        <f>SUMIFS($AU$3:AU491,$AA$3:AA491,"*",$AC$3:AC491,"*")</f>
        <v>14324.400000000001</v>
      </c>
      <c r="BW490" s="87">
        <f>SUMIFS($AU$3:AU491,$AB$3:AB491,"*",$AC$3:AC491,"*")</f>
        <v>4639.9999999999982</v>
      </c>
      <c r="BX490" s="87">
        <f>SUMIFS($AV$3:AV491,$Q$3:Q491,"F")</f>
        <v>360.63675319849239</v>
      </c>
      <c r="BY490" s="87">
        <f>SUMIFS($AV$3:AV491,$Q$3:Q491,"S")</f>
        <v>504.81638392253404</v>
      </c>
      <c r="BZ490" s="87">
        <f>SUMIFS($AV$3:AV491,$Q$3:Q491,"O")</f>
        <v>897.63999999983673</v>
      </c>
    </row>
    <row r="491" spans="1:78" ht="15.75" customHeight="1">
      <c r="A491" s="45" t="s">
        <v>1310</v>
      </c>
      <c r="B491" s="59">
        <v>45406</v>
      </c>
      <c r="C491" s="46" t="s">
        <v>147</v>
      </c>
      <c r="D491" s="46" t="s">
        <v>186</v>
      </c>
      <c r="E491" s="66"/>
      <c r="F491" s="47"/>
      <c r="G491" s="73" t="s">
        <v>116</v>
      </c>
      <c r="H491" s="49"/>
      <c r="I491" s="49"/>
      <c r="J491" s="49"/>
      <c r="K491" s="50"/>
      <c r="L491" s="49"/>
      <c r="M491" s="49">
        <v>1</v>
      </c>
      <c r="N491" s="49"/>
      <c r="O491" s="50" t="s">
        <v>100</v>
      </c>
      <c r="P491" s="50" t="s">
        <v>101</v>
      </c>
      <c r="Q491" s="50" t="s">
        <v>127</v>
      </c>
      <c r="R491" s="50">
        <v>25</v>
      </c>
      <c r="S491" s="161">
        <v>0</v>
      </c>
      <c r="T491" s="50">
        <v>25</v>
      </c>
      <c r="U491" s="50" t="s">
        <v>102</v>
      </c>
      <c r="V491" s="50"/>
      <c r="W491" s="50"/>
      <c r="X491" s="50"/>
      <c r="Y491" s="51">
        <f t="shared" si="214"/>
        <v>0.01</v>
      </c>
      <c r="Z491" s="52">
        <f t="shared" si="215"/>
        <v>1600</v>
      </c>
      <c r="AA491" s="52"/>
      <c r="AB491" s="52"/>
      <c r="AC491" s="52" t="s">
        <v>1688</v>
      </c>
      <c r="AD491" s="231">
        <v>0.05</v>
      </c>
      <c r="AE491" s="49"/>
      <c r="AF491" s="84"/>
      <c r="AG491" s="49"/>
      <c r="AH491" s="49"/>
      <c r="AI491" s="49"/>
      <c r="AJ491" s="226"/>
      <c r="AK491" s="49"/>
      <c r="AL491" s="113">
        <f>-0.04*Z491</f>
        <v>-64</v>
      </c>
      <c r="AM491" s="113">
        <f t="shared" si="211"/>
        <v>-1600</v>
      </c>
      <c r="AN491" s="218"/>
      <c r="AO491" s="49"/>
      <c r="AP491" s="49" t="s">
        <v>279</v>
      </c>
      <c r="AQ491" s="84" t="s">
        <v>155</v>
      </c>
      <c r="AR491" s="49" t="s">
        <v>1689</v>
      </c>
      <c r="AS491" s="55">
        <v>0.11</v>
      </c>
      <c r="AT491" s="55">
        <f t="shared" si="217"/>
        <v>-0.06</v>
      </c>
      <c r="AU491" s="54">
        <f t="shared" si="218"/>
        <v>-2400</v>
      </c>
      <c r="AV491" s="56">
        <f t="shared" si="219"/>
        <v>-96</v>
      </c>
      <c r="AW491" s="57" t="s">
        <v>121</v>
      </c>
      <c r="AX491" s="153" t="s">
        <v>1690</v>
      </c>
      <c r="AY491" s="153" t="s">
        <v>1691</v>
      </c>
      <c r="AZ491" s="153" t="s">
        <v>1692</v>
      </c>
      <c r="BA491" s="153"/>
      <c r="BB491" s="153"/>
      <c r="BC491" s="153" t="s">
        <v>1693</v>
      </c>
      <c r="BD491" s="151"/>
      <c r="BE491" s="152"/>
      <c r="BF491" s="151"/>
      <c r="BG491" s="94">
        <f>SUM($AV$4:AV491)</f>
        <v>3711.0931371208681</v>
      </c>
      <c r="BH491" s="95">
        <f>SUM($AU$4:AU491)</f>
        <v>37961.979999999618</v>
      </c>
      <c r="BI491" s="80">
        <f>SUMIFS($AU$3:AU492,$Q$3:Q492,"F")</f>
        <v>18548.400000000001</v>
      </c>
      <c r="BJ491" s="80">
        <f>SUMIFS($AU$3:AU492,$Q$3:Q492,"S")</f>
        <v>11935.999999999996</v>
      </c>
      <c r="BK491" s="87">
        <f>SUMIFS($AU$3:AU492,$P$3:P492,"W")</f>
        <v>23533.580000000344</v>
      </c>
      <c r="BL491" s="87">
        <f>SUMIFS($AU$3:AU492,$P$3:P492,"R")</f>
        <v>9197.9999999998618</v>
      </c>
      <c r="BM491" s="87">
        <f>SUMIFS($AU$3:AU492,$AQ$3:AQ492,"M")</f>
        <v>9254.3799999993262</v>
      </c>
      <c r="BN491" s="87">
        <f>SUMIFS($AU$3:AU492,$AQ$3:AQ492,"H")</f>
        <v>7559.2000000002827</v>
      </c>
      <c r="BO491" s="87">
        <f>SUMIFS($AU$3:AU492,$AQ$3:AQ492,"D")</f>
        <v>6949.9999999999982</v>
      </c>
      <c r="BP491" s="87">
        <f>SUMIFS($AS$3:AS1252,$AO$3:AO1252,"W")</f>
        <v>0</v>
      </c>
      <c r="BQ491" s="87">
        <f>SUMIFS($AU$3:AU492,$Q$3:Q492,"O")</f>
        <v>3253.5799999996261</v>
      </c>
      <c r="BR491" s="87">
        <f>SUMIFS($AU$3:AU492,$AA$3:AA492,"*")</f>
        <v>30722.799999999505</v>
      </c>
      <c r="BS491" s="87">
        <f>SUMIFS($AU$3:AU492,$AB$3:AB492,"*")</f>
        <v>9655.1799999999312</v>
      </c>
      <c r="BT491" s="87">
        <f>SUMIFS($AU$3:AU492,$AC$3:AC492,"*")</f>
        <v>16228.4</v>
      </c>
      <c r="BU491" s="87">
        <f>SUMIFS($AU$3:AU492,$AA$3:AA492,"*",$AB$3:AB492,"*")</f>
        <v>5759.9999999998217</v>
      </c>
      <c r="BV491" s="87">
        <f>SUMIFS($AU$3:AU492,$AA$3:AA492,"*",$AC$3:AC492,"*")</f>
        <v>14324.400000000001</v>
      </c>
      <c r="BW491" s="87">
        <f>SUMIFS($AU$3:AU492,$AB$3:AB492,"*",$AC$3:AC492,"*")</f>
        <v>4639.9999999999982</v>
      </c>
      <c r="BX491" s="87">
        <f>SUMIFS($AV$3:AV492,$Q$3:Q492,"F")</f>
        <v>304.63675319849233</v>
      </c>
      <c r="BY491" s="87">
        <f>SUMIFS($AV$3:AV492,$Q$3:Q492,"S")</f>
        <v>504.81638392253404</v>
      </c>
      <c r="BZ491" s="87">
        <f>SUMIFS($AV$3:AV492,$Q$3:Q492,"O")</f>
        <v>897.63999999983673</v>
      </c>
    </row>
    <row r="492" spans="1:78" ht="15.75" customHeight="1">
      <c r="A492" s="45" t="s">
        <v>1310</v>
      </c>
      <c r="B492" s="59">
        <v>45406</v>
      </c>
      <c r="C492" s="46" t="s">
        <v>147</v>
      </c>
      <c r="D492" s="46" t="s">
        <v>186</v>
      </c>
      <c r="E492" s="66"/>
      <c r="F492" s="47"/>
      <c r="G492" s="104" t="s">
        <v>1694</v>
      </c>
      <c r="H492" s="49"/>
      <c r="I492" s="49"/>
      <c r="J492" s="49"/>
      <c r="K492" s="50"/>
      <c r="L492" s="49"/>
      <c r="M492" s="49">
        <v>1</v>
      </c>
      <c r="N492" s="49"/>
      <c r="O492" s="50" t="s">
        <v>100</v>
      </c>
      <c r="P492" s="50" t="s">
        <v>101</v>
      </c>
      <c r="Q492" s="50" t="s">
        <v>127</v>
      </c>
      <c r="R492" s="50">
        <v>50</v>
      </c>
      <c r="S492" s="161">
        <v>0</v>
      </c>
      <c r="T492" s="50">
        <v>50</v>
      </c>
      <c r="U492" s="50" t="s">
        <v>102</v>
      </c>
      <c r="V492" s="50"/>
      <c r="W492" s="50"/>
      <c r="X492" s="50"/>
      <c r="Y492" s="51">
        <f t="shared" si="214"/>
        <v>0.01</v>
      </c>
      <c r="Z492" s="52">
        <f t="shared" si="215"/>
        <v>1600</v>
      </c>
      <c r="AA492" s="52"/>
      <c r="AB492" s="52"/>
      <c r="AC492" s="52" t="s">
        <v>1695</v>
      </c>
      <c r="AD492" s="231">
        <v>0.105</v>
      </c>
      <c r="AE492" s="49"/>
      <c r="AF492" s="84"/>
      <c r="AG492" s="49"/>
      <c r="AH492" s="49"/>
      <c r="AI492" s="49"/>
      <c r="AJ492" s="226"/>
      <c r="AK492" s="49"/>
      <c r="AL492" s="113">
        <f>-0.035*Z492</f>
        <v>-56.000000000000007</v>
      </c>
      <c r="AM492" s="113">
        <f t="shared" si="211"/>
        <v>-2800.0000000000005</v>
      </c>
      <c r="AN492" s="218"/>
      <c r="AO492" s="49"/>
      <c r="AP492" s="49"/>
      <c r="AQ492" s="84" t="s">
        <v>155</v>
      </c>
      <c r="AR492" s="49"/>
      <c r="AS492" s="55">
        <v>0.14000000000000001</v>
      </c>
      <c r="AT492" s="55">
        <f t="shared" si="217"/>
        <v>-3.5000000000000017E-2</v>
      </c>
      <c r="AU492" s="54">
        <f t="shared" si="218"/>
        <v>-2800.0000000000014</v>
      </c>
      <c r="AV492" s="56">
        <f t="shared" si="219"/>
        <v>-56.000000000000028</v>
      </c>
      <c r="AW492" s="57" t="s">
        <v>121</v>
      </c>
      <c r="AX492" s="153" t="s">
        <v>1696</v>
      </c>
      <c r="AY492" s="153"/>
      <c r="AZ492" s="153"/>
      <c r="BA492" s="153"/>
      <c r="BB492" s="153"/>
      <c r="BC492" s="153"/>
      <c r="BD492" s="151"/>
      <c r="BE492" s="152"/>
      <c r="BF492" s="151"/>
      <c r="BG492" s="94">
        <f>SUM($AV$4:AV492)</f>
        <v>3655.0931371208681</v>
      </c>
      <c r="BH492" s="95">
        <f>SUM($AU$4:AU492)</f>
        <v>35161.979999999618</v>
      </c>
      <c r="BI492" s="80">
        <f>SUMIFS($AU$3:AU493,$Q$3:Q493,"F")</f>
        <v>15348.400000000001</v>
      </c>
      <c r="BJ492" s="80">
        <f>SUMIFS($AU$3:AU493,$Q$3:Q493,"S")</f>
        <v>11935.999999999996</v>
      </c>
      <c r="BK492" s="87">
        <f>SUMIFS($AU$3:AU493,$P$3:P493,"W")</f>
        <v>20333.580000000344</v>
      </c>
      <c r="BL492" s="87">
        <f>SUMIFS($AU$3:AU493,$P$3:P493,"R")</f>
        <v>9197.9999999998618</v>
      </c>
      <c r="BM492" s="87">
        <f>SUMIFS($AU$3:AU493,$AQ$3:AQ493,"M")</f>
        <v>9254.3799999993262</v>
      </c>
      <c r="BN492" s="87">
        <f>SUMIFS($AU$3:AU493,$AQ$3:AQ493,"H")</f>
        <v>7559.2000000002827</v>
      </c>
      <c r="BO492" s="87">
        <f>SUMIFS($AU$3:AU493,$AQ$3:AQ493,"D")</f>
        <v>3749.9999999999973</v>
      </c>
      <c r="BP492" s="87">
        <f>SUMIFS($AS$3:AS1253,$AO$3:AO1253,"W")</f>
        <v>0</v>
      </c>
      <c r="BQ492" s="87">
        <f>SUMIFS($AU$3:AU493,$Q$3:Q493,"O")</f>
        <v>3253.5799999996261</v>
      </c>
      <c r="BR492" s="87">
        <f>SUMIFS($AU$3:AU493,$AA$3:AA493,"*")</f>
        <v>30722.799999999505</v>
      </c>
      <c r="BS492" s="87">
        <f>SUMIFS($AU$3:AU493,$AB$3:AB493,"*")</f>
        <v>9655.1799999999312</v>
      </c>
      <c r="BT492" s="87">
        <f>SUMIFS($AU$3:AU493,$AC$3:AC493,"*")</f>
        <v>13028.399999999998</v>
      </c>
      <c r="BU492" s="87">
        <f>SUMIFS($AU$3:AU493,$AA$3:AA493,"*",$AB$3:AB493,"*")</f>
        <v>5759.9999999998217</v>
      </c>
      <c r="BV492" s="87">
        <f>SUMIFS($AU$3:AU493,$AA$3:AA493,"*",$AC$3:AC493,"*")</f>
        <v>14324.400000000001</v>
      </c>
      <c r="BW492" s="87">
        <f>SUMIFS($AU$3:AU493,$AB$3:AB493,"*",$AC$3:AC493,"*")</f>
        <v>4639.9999999999982</v>
      </c>
      <c r="BX492" s="87">
        <f>SUMIFS($AV$3:AV493,$Q$3:Q493,"F")</f>
        <v>240.63675319849233</v>
      </c>
      <c r="BY492" s="87">
        <f>SUMIFS($AV$3:AV493,$Q$3:Q493,"S")</f>
        <v>504.81638392253404</v>
      </c>
      <c r="BZ492" s="87">
        <f>SUMIFS($AV$3:AV493,$Q$3:Q493,"O")</f>
        <v>897.63999999983673</v>
      </c>
    </row>
    <row r="493" spans="1:78" ht="15.75" customHeight="1">
      <c r="A493" s="45" t="s">
        <v>1310</v>
      </c>
      <c r="B493" s="59">
        <v>45406</v>
      </c>
      <c r="C493" s="46" t="s">
        <v>147</v>
      </c>
      <c r="D493" s="46" t="s">
        <v>186</v>
      </c>
      <c r="E493" s="66"/>
      <c r="F493" s="47"/>
      <c r="G493" s="170" t="s">
        <v>1697</v>
      </c>
      <c r="H493" s="49"/>
      <c r="I493" s="49"/>
      <c r="J493" s="49"/>
      <c r="K493" s="50"/>
      <c r="L493" s="49"/>
      <c r="M493" s="49">
        <v>1</v>
      </c>
      <c r="N493" s="49"/>
      <c r="O493" s="50" t="s">
        <v>100</v>
      </c>
      <c r="P493" s="50" t="s">
        <v>101</v>
      </c>
      <c r="Q493" s="50" t="s">
        <v>127</v>
      </c>
      <c r="R493" s="50">
        <v>50</v>
      </c>
      <c r="S493" s="161">
        <v>10</v>
      </c>
      <c r="T493" s="50">
        <v>50</v>
      </c>
      <c r="U493" s="50" t="s">
        <v>102</v>
      </c>
      <c r="V493" s="50"/>
      <c r="W493" s="50"/>
      <c r="X493" s="50"/>
      <c r="Y493" s="51">
        <f t="shared" si="214"/>
        <v>0.01</v>
      </c>
      <c r="Z493" s="52">
        <f t="shared" si="215"/>
        <v>1600</v>
      </c>
      <c r="AA493" s="52"/>
      <c r="AB493" s="52"/>
      <c r="AC493" s="52" t="s">
        <v>1698</v>
      </c>
      <c r="AD493" s="231">
        <v>0.09</v>
      </c>
      <c r="AE493" s="49"/>
      <c r="AF493" s="84"/>
      <c r="AG493" s="49"/>
      <c r="AH493" s="49"/>
      <c r="AI493" s="49"/>
      <c r="AJ493" s="226"/>
      <c r="AK493" s="49"/>
      <c r="AL493" s="113">
        <f>-0.03*Z493</f>
        <v>-48</v>
      </c>
      <c r="AM493" s="113">
        <f t="shared" si="211"/>
        <v>-1920</v>
      </c>
      <c r="AN493" s="218"/>
      <c r="AO493" s="49"/>
      <c r="AP493" s="49"/>
      <c r="AQ493" s="84" t="s">
        <v>155</v>
      </c>
      <c r="AR493" s="49"/>
      <c r="AS493" s="55">
        <v>0.13</v>
      </c>
      <c r="AT493" s="55">
        <f t="shared" si="217"/>
        <v>-4.0000000000000008E-2</v>
      </c>
      <c r="AU493" s="54">
        <f t="shared" si="218"/>
        <v>-3200.0000000000009</v>
      </c>
      <c r="AV493" s="56">
        <f t="shared" si="219"/>
        <v>-64.000000000000014</v>
      </c>
      <c r="AW493" s="57" t="s">
        <v>121</v>
      </c>
      <c r="AX493" s="153" t="s">
        <v>1699</v>
      </c>
      <c r="AY493" s="153" t="s">
        <v>1691</v>
      </c>
      <c r="AZ493" s="153" t="s">
        <v>1692</v>
      </c>
      <c r="BA493" s="153" t="s">
        <v>1700</v>
      </c>
      <c r="BB493" s="153"/>
      <c r="BC493" s="153" t="s">
        <v>1701</v>
      </c>
      <c r="BD493" s="151"/>
      <c r="BE493" s="152"/>
      <c r="BF493" s="151"/>
      <c r="BG493" s="94">
        <f>SUM($AV$4:AV493)</f>
        <v>3591.0931371208681</v>
      </c>
      <c r="BH493" s="95">
        <f>SUM($AU$4:AU493)</f>
        <v>31961.979999999618</v>
      </c>
      <c r="BI493" s="80">
        <f>SUMIFS($AU$3:AU494,$Q$3:Q494,"F")</f>
        <v>15348.400000000001</v>
      </c>
      <c r="BJ493" s="80">
        <f>SUMIFS($AU$3:AU494,$Q$3:Q494,"S")</f>
        <v>11135.999999999996</v>
      </c>
      <c r="BK493" s="87">
        <f>SUMIFS($AU$3:AU494,$P$3:P494,"W")</f>
        <v>19533.580000000344</v>
      </c>
      <c r="BL493" s="87">
        <f>SUMIFS($AU$3:AU494,$P$3:P494,"R")</f>
        <v>9197.9999999998618</v>
      </c>
      <c r="BM493" s="87">
        <f>SUMIFS($AU$3:AU494,$AQ$3:AQ494,"M")</f>
        <v>9254.3799999993262</v>
      </c>
      <c r="BN493" s="87">
        <f>SUMIFS($AU$3:AU494,$AQ$3:AQ494,"H")</f>
        <v>6759.2000000002827</v>
      </c>
      <c r="BO493" s="87">
        <f>SUMIFS($AU$3:AU494,$AQ$3:AQ494,"D")</f>
        <v>3749.9999999999973</v>
      </c>
      <c r="BP493" s="87">
        <f>SUMIFS($AS$3:AS1254,$AO$3:AO1254,"W")</f>
        <v>0</v>
      </c>
      <c r="BQ493" s="87">
        <f>SUMIFS($AU$3:AU494,$Q$3:Q494,"O")</f>
        <v>3253.5799999996261</v>
      </c>
      <c r="BR493" s="87">
        <f>SUMIFS($AU$3:AU494,$AA$3:AA494,"*")</f>
        <v>29922.799999999505</v>
      </c>
      <c r="BS493" s="87">
        <f>SUMIFS($AU$3:AU494,$AB$3:AB494,"*")</f>
        <v>9655.1799999999312</v>
      </c>
      <c r="BT493" s="87">
        <f>SUMIFS($AU$3:AU494,$AC$3:AC494,"*")</f>
        <v>13028.399999999998</v>
      </c>
      <c r="BU493" s="87">
        <f>SUMIFS($AU$3:AU494,$AA$3:AA494,"*",$AB$3:AB494,"*")</f>
        <v>5759.9999999998217</v>
      </c>
      <c r="BV493" s="87">
        <f>SUMIFS($AU$3:AU494,$AA$3:AA494,"*",$AC$3:AC494,"*")</f>
        <v>14324.400000000001</v>
      </c>
      <c r="BW493" s="87">
        <f>SUMIFS($AU$3:AU494,$AB$3:AB494,"*",$AC$3:AC494,"*")</f>
        <v>4639.9999999999982</v>
      </c>
      <c r="BX493" s="87">
        <f>SUMIFS($AV$3:AV494,$Q$3:Q494,"F")</f>
        <v>240.63675319849233</v>
      </c>
      <c r="BY493" s="87">
        <f>SUMIFS($AV$3:AV494,$Q$3:Q494,"S")</f>
        <v>472.81638392253404</v>
      </c>
      <c r="BZ493" s="87">
        <f>SUMIFS($AV$3:AV494,$Q$3:Q494,"O")</f>
        <v>897.63999999983673</v>
      </c>
    </row>
    <row r="494" spans="1:78" ht="15.75" customHeight="1">
      <c r="A494" s="45" t="s">
        <v>1310</v>
      </c>
      <c r="B494" s="59">
        <v>45406</v>
      </c>
      <c r="C494" s="46" t="s">
        <v>147</v>
      </c>
      <c r="D494" s="46" t="s">
        <v>186</v>
      </c>
      <c r="E494" s="66"/>
      <c r="F494" s="47"/>
      <c r="G494" s="170" t="s">
        <v>111</v>
      </c>
      <c r="H494" s="49"/>
      <c r="I494" s="49"/>
      <c r="J494" s="49"/>
      <c r="K494" s="50"/>
      <c r="L494" s="49">
        <v>2</v>
      </c>
      <c r="M494" s="49">
        <v>2</v>
      </c>
      <c r="N494" s="49"/>
      <c r="O494" s="50" t="s">
        <v>100</v>
      </c>
      <c r="P494" s="50" t="s">
        <v>101</v>
      </c>
      <c r="Q494" s="50" t="s">
        <v>102</v>
      </c>
      <c r="R494" s="50">
        <v>25</v>
      </c>
      <c r="S494" s="161">
        <v>0</v>
      </c>
      <c r="T494" s="50">
        <v>25</v>
      </c>
      <c r="U494" s="50" t="s">
        <v>102</v>
      </c>
      <c r="V494" s="50"/>
      <c r="W494" s="50"/>
      <c r="X494" s="50"/>
      <c r="Y494" s="51">
        <f t="shared" si="214"/>
        <v>0.01</v>
      </c>
      <c r="Z494" s="52">
        <f t="shared" si="215"/>
        <v>1600</v>
      </c>
      <c r="AA494" s="52" t="s">
        <v>1702</v>
      </c>
      <c r="AB494" s="52"/>
      <c r="AC494" s="52"/>
      <c r="AD494" s="231">
        <v>0.02</v>
      </c>
      <c r="AE494" s="49"/>
      <c r="AF494" s="84"/>
      <c r="AG494" s="49"/>
      <c r="AH494" s="49"/>
      <c r="AI494" s="49"/>
      <c r="AJ494" s="226"/>
      <c r="AK494" s="49"/>
      <c r="AL494" s="113">
        <f t="shared" si="212"/>
        <v>-32</v>
      </c>
      <c r="AM494" s="113">
        <f t="shared" si="211"/>
        <v>-800</v>
      </c>
      <c r="AN494" s="218"/>
      <c r="AO494" s="49"/>
      <c r="AP494" s="49"/>
      <c r="AQ494" s="84" t="s">
        <v>142</v>
      </c>
      <c r="AR494" s="49"/>
      <c r="AS494" s="55">
        <v>0.04</v>
      </c>
      <c r="AT494" s="55">
        <f t="shared" si="217"/>
        <v>-0.02</v>
      </c>
      <c r="AU494" s="54">
        <f t="shared" si="218"/>
        <v>-800</v>
      </c>
      <c r="AV494" s="56">
        <f t="shared" si="219"/>
        <v>-32</v>
      </c>
      <c r="AW494" s="57" t="s">
        <v>121</v>
      </c>
      <c r="AX494" s="153" t="s">
        <v>1703</v>
      </c>
      <c r="AY494" s="153"/>
      <c r="AZ494" s="153"/>
      <c r="BA494" s="153"/>
      <c r="BB494" s="153"/>
      <c r="BC494" s="153"/>
      <c r="BD494" s="151"/>
      <c r="BE494" s="152"/>
      <c r="BF494" s="151"/>
      <c r="BG494" s="94">
        <f>SUM($AV$4:AV494)</f>
        <v>3559.0931371208681</v>
      </c>
      <c r="BH494" s="95">
        <f>SUM($AU$4:AU494)</f>
        <v>31161.979999999618</v>
      </c>
      <c r="BI494" s="80">
        <f>SUMIFS($AU$3:AU495,$Q$3:Q495,"F")</f>
        <v>15348.400000000001</v>
      </c>
      <c r="BJ494" s="80">
        <f>SUMIFS($AU$3:AU495,$Q$3:Q495,"S")</f>
        <v>11135.999999999996</v>
      </c>
      <c r="BK494" s="87">
        <f>SUMIFS($AU$3:AU495,$P$3:P495,"W")</f>
        <v>19533.580000000344</v>
      </c>
      <c r="BL494" s="87">
        <f>SUMIFS($AU$3:AU495,$P$3:P495,"R")</f>
        <v>9197.9999999998618</v>
      </c>
      <c r="BM494" s="87">
        <f>SUMIFS($AU$3:AU495,$AQ$3:AQ495,"M")</f>
        <v>9254.3799999993262</v>
      </c>
      <c r="BN494" s="87">
        <f>SUMIFS($AU$3:AU495,$AQ$3:AQ495,"H")</f>
        <v>6759.2000000002827</v>
      </c>
      <c r="BO494" s="87">
        <f>SUMIFS($AU$3:AU495,$AQ$3:AQ495,"D")</f>
        <v>3749.9999999999973</v>
      </c>
      <c r="BP494" s="87">
        <f>SUMIFS($AS$3:AS1255,$AO$3:AO1255,"W")</f>
        <v>0</v>
      </c>
      <c r="BQ494" s="87">
        <f>SUMIFS($AU$3:AU495,$Q$3:Q495,"O")</f>
        <v>3253.5799999996261</v>
      </c>
      <c r="BR494" s="87">
        <f>SUMIFS($AU$3:AU495,$AA$3:AA495,"*")</f>
        <v>29922.799999999505</v>
      </c>
      <c r="BS494" s="87">
        <f>SUMIFS($AU$3:AU495,$AB$3:AB495,"*")</f>
        <v>9655.1799999999312</v>
      </c>
      <c r="BT494" s="87">
        <f>SUMIFS($AU$3:AU495,$AC$3:AC495,"*")</f>
        <v>13028.399999999998</v>
      </c>
      <c r="BU494" s="87">
        <f>SUMIFS($AU$3:AU495,$AA$3:AA495,"*",$AB$3:AB495,"*")</f>
        <v>5759.9999999998217</v>
      </c>
      <c r="BV494" s="87">
        <f>SUMIFS($AU$3:AU495,$AA$3:AA495,"*",$AC$3:AC495,"*")</f>
        <v>14324.400000000001</v>
      </c>
      <c r="BW494" s="87">
        <f>SUMIFS($AU$3:AU495,$AB$3:AB495,"*",$AC$3:AC495,"*")</f>
        <v>4639.9999999999982</v>
      </c>
      <c r="BX494" s="87">
        <f>SUMIFS($AV$3:AV495,$Q$3:Q495,"F")</f>
        <v>240.63675319849233</v>
      </c>
      <c r="BY494" s="87">
        <f>SUMIFS($AV$3:AV495,$Q$3:Q495,"S")</f>
        <v>472.81638392253404</v>
      </c>
      <c r="BZ494" s="87">
        <f>SUMIFS($AV$3:AV495,$Q$3:Q495,"O")</f>
        <v>897.63999999983673</v>
      </c>
    </row>
    <row r="495" spans="1:78" ht="15.75" customHeight="1">
      <c r="A495" s="45" t="s">
        <v>1310</v>
      </c>
      <c r="B495" s="59">
        <v>45406</v>
      </c>
      <c r="C495" s="46" t="s">
        <v>147</v>
      </c>
      <c r="D495" s="46" t="s">
        <v>186</v>
      </c>
      <c r="E495" s="66"/>
      <c r="F495" s="47"/>
      <c r="G495" s="48"/>
      <c r="H495" s="49"/>
      <c r="I495" s="49"/>
      <c r="J495" s="49"/>
      <c r="K495" s="50"/>
      <c r="L495" s="49"/>
      <c r="M495" s="49"/>
      <c r="N495" s="49"/>
      <c r="O495" s="50"/>
      <c r="P495" s="50"/>
      <c r="Q495" s="50"/>
      <c r="R495" s="50"/>
      <c r="S495" s="161"/>
      <c r="T495" s="50"/>
      <c r="U495" s="50"/>
      <c r="V495" s="50"/>
      <c r="W495" s="50"/>
      <c r="X495" s="50"/>
      <c r="Y495" s="51"/>
      <c r="Z495" s="52"/>
      <c r="AA495" s="52"/>
      <c r="AB495" s="52"/>
      <c r="AC495" s="52"/>
      <c r="AD495" s="231"/>
      <c r="AE495" s="49"/>
      <c r="AF495" s="84"/>
      <c r="AG495" s="49"/>
      <c r="AH495" s="49"/>
      <c r="AI495" s="49"/>
      <c r="AJ495" s="226"/>
      <c r="AK495" s="49"/>
      <c r="AL495" s="113">
        <f>-0.02*Z495</f>
        <v>0</v>
      </c>
      <c r="AM495" s="113">
        <f t="shared" si="211"/>
        <v>0</v>
      </c>
      <c r="AN495" s="218"/>
      <c r="AO495" s="49"/>
      <c r="AP495" s="49"/>
      <c r="AQ495" s="84" t="str">
        <f>UPPER(RIGHT(Journal_Live[[#This Row],[DURATION ]]))</f>
        <v/>
      </c>
      <c r="AR495" s="49"/>
      <c r="AS495" s="55"/>
      <c r="AT495" s="55"/>
      <c r="AU495" s="54"/>
      <c r="AV495" s="56"/>
      <c r="AW495" s="57"/>
      <c r="AX495" s="153"/>
      <c r="AY495" s="153"/>
      <c r="AZ495" s="153"/>
      <c r="BA495" s="153"/>
      <c r="BB495" s="153"/>
      <c r="BC495" s="153"/>
      <c r="BD495" s="151"/>
      <c r="BE495" s="152"/>
      <c r="BF495" s="151"/>
      <c r="BG495" s="94">
        <f>SUM($AV$4:AV495)</f>
        <v>3559.0931371208681</v>
      </c>
      <c r="BH495" s="95">
        <f>SUM($AU$4:AU495)</f>
        <v>31161.979999999618</v>
      </c>
      <c r="BI495" s="80">
        <f>SUMIFS($AU$3:AU496,$Q$3:Q496,"F")</f>
        <v>15348.400000000001</v>
      </c>
      <c r="BJ495" s="80">
        <f>SUMIFS($AU$3:AU496,$Q$3:Q496,"S")</f>
        <v>11439.999999999996</v>
      </c>
      <c r="BK495" s="87">
        <f>SUMIFS($AU$3:AU496,$P$3:P496,"W")</f>
        <v>19837.580000000344</v>
      </c>
      <c r="BL495" s="87">
        <f>SUMIFS($AU$3:AU496,$P$3:P496,"R")</f>
        <v>9197.9999999998618</v>
      </c>
      <c r="BM495" s="87">
        <f>SUMIFS($AU$3:AU496,$AQ$3:AQ496,"M")</f>
        <v>9254.3799999993262</v>
      </c>
      <c r="BN495" s="87">
        <f>SUMIFS($AU$3:AU496,$AQ$3:AQ496,"H")</f>
        <v>6759.2000000002827</v>
      </c>
      <c r="BO495" s="87">
        <f>SUMIFS($AU$3:AU496,$AQ$3:AQ496,"D")</f>
        <v>4053.9999999999973</v>
      </c>
      <c r="BP495" s="87">
        <f>SUMIFS($AS$3:AS1256,$AO$3:AO1256,"W")</f>
        <v>0</v>
      </c>
      <c r="BQ495" s="87">
        <f>SUMIFS($AU$3:AU496,$Q$3:Q496,"O")</f>
        <v>3253.5799999996261</v>
      </c>
      <c r="BR495" s="87">
        <f>SUMIFS($AU$3:AU496,$AA$3:AA496,"*")</f>
        <v>30226.799999999505</v>
      </c>
      <c r="BS495" s="87">
        <f>SUMIFS($AU$3:AU496,$AB$3:AB496,"*")</f>
        <v>9655.1799999999312</v>
      </c>
      <c r="BT495" s="87">
        <f>SUMIFS($AU$3:AU496,$AC$3:AC496,"*")</f>
        <v>13028.399999999998</v>
      </c>
      <c r="BU495" s="87">
        <f>SUMIFS($AU$3:AU496,$AA$3:AA496,"*",$AB$3:AB496,"*")</f>
        <v>5759.9999999998217</v>
      </c>
      <c r="BV495" s="87">
        <f>SUMIFS($AU$3:AU496,$AA$3:AA496,"*",$AC$3:AC496,"*")</f>
        <v>14324.400000000001</v>
      </c>
      <c r="BW495" s="87">
        <f>SUMIFS($AU$3:AU496,$AB$3:AB496,"*",$AC$3:AC496,"*")</f>
        <v>4639.9999999999982</v>
      </c>
      <c r="BX495" s="87">
        <f>SUMIFS($AV$3:AV496,$Q$3:Q496,"F")</f>
        <v>240.63675319849233</v>
      </c>
      <c r="BY495" s="87">
        <f>SUMIFS($AV$3:AV496,$Q$3:Q496,"S")</f>
        <v>488.81638392253404</v>
      </c>
      <c r="BZ495" s="87">
        <f>SUMIFS($AV$3:AV496,$Q$3:Q496,"O")</f>
        <v>897.63999999983673</v>
      </c>
    </row>
    <row r="496" spans="1:78" ht="15.75" customHeight="1">
      <c r="A496" s="45" t="s">
        <v>1310</v>
      </c>
      <c r="B496" s="59">
        <v>45406</v>
      </c>
      <c r="C496" s="46" t="s">
        <v>147</v>
      </c>
      <c r="D496" s="46" t="s">
        <v>186</v>
      </c>
      <c r="E496" s="66"/>
      <c r="F496" s="47"/>
      <c r="G496" s="106" t="s">
        <v>295</v>
      </c>
      <c r="H496" s="49"/>
      <c r="I496" s="49"/>
      <c r="J496" s="49"/>
      <c r="K496" s="50"/>
      <c r="L496" s="49">
        <v>2</v>
      </c>
      <c r="M496" s="49">
        <v>2</v>
      </c>
      <c r="N496" s="49"/>
      <c r="O496" s="50" t="s">
        <v>100</v>
      </c>
      <c r="P496" s="50" t="s">
        <v>101</v>
      </c>
      <c r="Q496" s="50" t="s">
        <v>102</v>
      </c>
      <c r="R496" s="50">
        <v>19</v>
      </c>
      <c r="S496" s="161">
        <v>19</v>
      </c>
      <c r="T496" s="50">
        <v>19</v>
      </c>
      <c r="U496" s="50" t="s">
        <v>22</v>
      </c>
      <c r="V496" s="50"/>
      <c r="W496" s="50"/>
      <c r="X496" s="50"/>
      <c r="Y496" s="51">
        <f>IF(ISBLANK(O496),"",(IF(O496=UPPER("IB"),0.005,0.01)))</f>
        <v>0.01</v>
      </c>
      <c r="Z496" s="52">
        <f>IF(ISBLANK(O496),"",IF(O496="IB",8.63*200,IF(O496="IR",16*100,IF(O496="YT",20*100,IF(O496="YT-XT",24*200,IF(O496="TED",80*100,IF(O496="XT",29*200)))))))</f>
        <v>1600</v>
      </c>
      <c r="AA496" s="52" t="s">
        <v>1704</v>
      </c>
      <c r="AB496" s="52"/>
      <c r="AC496" s="52"/>
      <c r="AD496" s="231">
        <v>-0.08</v>
      </c>
      <c r="AE496" s="49"/>
      <c r="AF496" s="84"/>
      <c r="AG496" s="49"/>
      <c r="AH496" s="49"/>
      <c r="AI496" s="49"/>
      <c r="AJ496" s="226"/>
      <c r="AK496" s="49"/>
      <c r="AL496" s="113">
        <f t="shared" si="212"/>
        <v>-32</v>
      </c>
      <c r="AM496" s="113">
        <f t="shared" si="211"/>
        <v>0</v>
      </c>
      <c r="AN496" s="218"/>
      <c r="AO496" s="49"/>
      <c r="AP496" s="49"/>
      <c r="AQ496" s="84" t="s">
        <v>155</v>
      </c>
      <c r="AR496" s="49"/>
      <c r="AS496" s="55">
        <v>-7.0000000000000007E-2</v>
      </c>
      <c r="AT496" s="55">
        <f>IF(ISBLANK(AS496),,IF(U496="S",AD496-AS496,AS496-AD496))</f>
        <v>9.999999999999995E-3</v>
      </c>
      <c r="AU496" s="54">
        <f>AV496*R496</f>
        <v>303.99999999999989</v>
      </c>
      <c r="AV496" s="56">
        <f t="shared" ref="AV496:AV501" si="222">IF(ISBLANK(AS496),,(AT496*Z496))</f>
        <v>15.999999999999993</v>
      </c>
      <c r="AW496" s="57" t="s">
        <v>101</v>
      </c>
      <c r="AX496" s="153" t="s">
        <v>1705</v>
      </c>
      <c r="AY496" s="153"/>
      <c r="AZ496" s="153"/>
      <c r="BA496" s="153"/>
      <c r="BB496" s="153"/>
      <c r="BC496" s="153"/>
      <c r="BD496" s="151"/>
      <c r="BE496" s="152"/>
      <c r="BF496" s="151"/>
      <c r="BG496" s="94">
        <f>SUM($AV$4:AV496)</f>
        <v>3575.0931371208681</v>
      </c>
      <c r="BH496" s="95">
        <f>SUM($AU$4:AU496)</f>
        <v>31465.979999999618</v>
      </c>
      <c r="BI496" s="80">
        <f>SUMIFS($AU$3:AU497,$Q$3:Q497,"F")</f>
        <v>15348.400000000001</v>
      </c>
      <c r="BJ496" s="80">
        <f>SUMIFS($AU$3:AU497,$Q$3:Q497,"S")</f>
        <v>11439.999999999996</v>
      </c>
      <c r="BK496" s="87">
        <f>SUMIFS($AU$3:AU497,$P$3:P497,"W")</f>
        <v>19837.580000000344</v>
      </c>
      <c r="BL496" s="87">
        <f>SUMIFS($AU$3:AU497,$P$3:P497,"R")</f>
        <v>9497.9999999998618</v>
      </c>
      <c r="BM496" s="87">
        <f>SUMIFS($AU$3:AU497,$AQ$3:AQ497,"M")</f>
        <v>9254.3799999993262</v>
      </c>
      <c r="BN496" s="87">
        <f>SUMIFS($AU$3:AU497,$AQ$3:AQ497,"H")</f>
        <v>7059.2000000002827</v>
      </c>
      <c r="BO496" s="87">
        <f>SUMIFS($AU$3:AU497,$AQ$3:AQ497,"D")</f>
        <v>4053.9999999999973</v>
      </c>
      <c r="BP496" s="87">
        <f>SUMIFS($AS$3:AS1257,$AO$3:AO1257,"W")</f>
        <v>0</v>
      </c>
      <c r="BQ496" s="87">
        <f>SUMIFS($AU$3:AU497,$Q$3:Q497,"O")</f>
        <v>3253.5799999996261</v>
      </c>
      <c r="BR496" s="87">
        <f>SUMIFS($AU$3:AU497,$AA$3:AA497,"*")</f>
        <v>30526.799999999505</v>
      </c>
      <c r="BS496" s="87">
        <f>SUMIFS($AU$3:AU497,$AB$3:AB497,"*")</f>
        <v>9655.1799999999312</v>
      </c>
      <c r="BT496" s="87">
        <f>SUMIFS($AU$3:AU497,$AC$3:AC497,"*")</f>
        <v>13028.399999999998</v>
      </c>
      <c r="BU496" s="87">
        <f>SUMIFS($AU$3:AU497,$AA$3:AA497,"*",$AB$3:AB497,"*")</f>
        <v>5759.9999999998217</v>
      </c>
      <c r="BV496" s="87">
        <f>SUMIFS($AU$3:AU497,$AA$3:AA497,"*",$AC$3:AC497,"*")</f>
        <v>14324.400000000001</v>
      </c>
      <c r="BW496" s="87">
        <f>SUMIFS($AU$3:AU497,$AB$3:AB497,"*",$AC$3:AC497,"*")</f>
        <v>4639.9999999999982</v>
      </c>
      <c r="BX496" s="87">
        <f>SUMIFS($AV$3:AV497,$Q$3:Q497,"F")</f>
        <v>240.63675319849233</v>
      </c>
      <c r="BY496" s="87">
        <f>SUMIFS($AV$3:AV497,$Q$3:Q497,"S")</f>
        <v>488.81638392253404</v>
      </c>
      <c r="BZ496" s="87">
        <f>SUMIFS($AV$3:AV497,$Q$3:Q497,"O")</f>
        <v>897.63999999983673</v>
      </c>
    </row>
    <row r="497" spans="1:78" ht="15.75" customHeight="1">
      <c r="A497" s="45" t="s">
        <v>1310</v>
      </c>
      <c r="B497" s="59">
        <v>45406</v>
      </c>
      <c r="C497" s="46" t="s">
        <v>147</v>
      </c>
      <c r="D497" s="46" t="s">
        <v>186</v>
      </c>
      <c r="E497" s="66"/>
      <c r="F497" s="47"/>
      <c r="G497" s="163" t="s">
        <v>1706</v>
      </c>
      <c r="H497" s="49"/>
      <c r="I497" s="49"/>
      <c r="J497" s="49"/>
      <c r="K497" s="50"/>
      <c r="L497" s="49"/>
      <c r="M497" s="49">
        <v>1</v>
      </c>
      <c r="N497" s="49"/>
      <c r="O497" s="50" t="s">
        <v>740</v>
      </c>
      <c r="P497" s="50" t="s">
        <v>126</v>
      </c>
      <c r="Q497" s="50"/>
      <c r="R497" s="50">
        <v>1</v>
      </c>
      <c r="S497" s="50">
        <v>0</v>
      </c>
      <c r="T497" s="50">
        <v>1</v>
      </c>
      <c r="U497" s="50" t="s">
        <v>22</v>
      </c>
      <c r="V497" s="50"/>
      <c r="W497" s="50"/>
      <c r="X497" s="50"/>
      <c r="Y497" s="51">
        <f>IF(ISBLANK(O497),"",(IF(O497=UPPER("IB"),0.005,0.01)))</f>
        <v>0.01</v>
      </c>
      <c r="Z497" s="52">
        <f>IF(ISBLANK(O497),"",IF(O497="IB",8.63*200,IF(O497="IR",16*100,IF(O497="YT",20*100,IF(O497="YT-XT",24*200,IF(O497="TED",80*100,IF(O497="IR|YT",300*100)))))))</f>
        <v>30000</v>
      </c>
      <c r="AA497" s="52" t="s">
        <v>1537</v>
      </c>
      <c r="AB497" s="52"/>
      <c r="AC497" s="52"/>
      <c r="AD497" s="231">
        <v>-0.23</v>
      </c>
      <c r="AE497" s="49"/>
      <c r="AF497" s="84"/>
      <c r="AG497" s="49"/>
      <c r="AH497" s="49"/>
      <c r="AI497" s="49"/>
      <c r="AJ497" s="226"/>
      <c r="AK497" s="49"/>
      <c r="AL497" s="113">
        <f t="shared" si="212"/>
        <v>-600</v>
      </c>
      <c r="AM497" s="113">
        <f t="shared" si="211"/>
        <v>-600</v>
      </c>
      <c r="AN497" s="218"/>
      <c r="AO497" s="49"/>
      <c r="AP497" s="49"/>
      <c r="AQ497" s="84" t="s">
        <v>142</v>
      </c>
      <c r="AR497" s="49" t="s">
        <v>380</v>
      </c>
      <c r="AS497" s="55">
        <v>-0.22</v>
      </c>
      <c r="AT497" s="55">
        <f>IF(ISBLANK(AS497),,IF(U497="S",AD497-AS497,AS497-AD497))</f>
        <v>1.0000000000000009E-2</v>
      </c>
      <c r="AU497" s="54">
        <f>AV497*R497</f>
        <v>300.00000000000028</v>
      </c>
      <c r="AV497" s="56">
        <f t="shared" si="222"/>
        <v>300.00000000000028</v>
      </c>
      <c r="AW497" s="57" t="s">
        <v>101</v>
      </c>
      <c r="AX497" s="153"/>
      <c r="AY497" s="153"/>
      <c r="AZ497" s="153"/>
      <c r="BA497" s="153"/>
      <c r="BB497" s="153"/>
      <c r="BC497" s="153"/>
      <c r="BD497" s="151"/>
      <c r="BE497" s="152"/>
      <c r="BF497" s="151"/>
      <c r="BG497" s="94">
        <f>SUM($AV$4:AV497)</f>
        <v>3875.0931371208685</v>
      </c>
      <c r="BH497" s="95">
        <f>SUM($AU$4:AU497)</f>
        <v>31765.979999999618</v>
      </c>
      <c r="BI497" s="80">
        <f>SUMIFS($AU$3:AU498,$Q$3:Q498,"F")</f>
        <v>15348.400000000001</v>
      </c>
      <c r="BJ497" s="80">
        <f>SUMIFS($AU$3:AU498,$Q$3:Q498,"S")</f>
        <v>11439.999999999996</v>
      </c>
      <c r="BK497" s="87">
        <f>SUMIFS($AU$3:AU498,$P$3:P498,"W")</f>
        <v>19837.580000000344</v>
      </c>
      <c r="BL497" s="87">
        <f>SUMIFS($AU$3:AU498,$P$3:P498,"R")</f>
        <v>9497.9999999998618</v>
      </c>
      <c r="BM497" s="87">
        <f>SUMIFS($AU$3:AU498,$AQ$3:AQ498,"M")</f>
        <v>9254.3799999993262</v>
      </c>
      <c r="BN497" s="87">
        <f>SUMIFS($AU$3:AU498,$AQ$3:AQ498,"H")</f>
        <v>7059.2000000002827</v>
      </c>
      <c r="BO497" s="87">
        <f>SUMIFS($AU$3:AU498,$AQ$3:AQ498,"D")</f>
        <v>4053.9999999999973</v>
      </c>
      <c r="BP497" s="87">
        <f>SUMIFS($AS$3:AS1258,$AO$3:AO1258,"W")</f>
        <v>0</v>
      </c>
      <c r="BQ497" s="87">
        <f>SUMIFS($AU$3:AU498,$Q$3:Q498,"O")</f>
        <v>3253.5799999996261</v>
      </c>
      <c r="BR497" s="87">
        <f>SUMIFS($AU$3:AU498,$AA$3:AA498,"*")</f>
        <v>30526.799999999505</v>
      </c>
      <c r="BS497" s="87">
        <f>SUMIFS($AU$3:AU498,$AB$3:AB498,"*")</f>
        <v>9655.1799999999312</v>
      </c>
      <c r="BT497" s="87">
        <f>SUMIFS($AU$3:AU498,$AC$3:AC498,"*")</f>
        <v>13028.399999999998</v>
      </c>
      <c r="BU497" s="87">
        <f>SUMIFS($AU$3:AU498,$AA$3:AA498,"*",$AB$3:AB498,"*")</f>
        <v>5759.9999999998217</v>
      </c>
      <c r="BV497" s="87">
        <f>SUMIFS($AU$3:AU498,$AA$3:AA498,"*",$AC$3:AC498,"*")</f>
        <v>14324.400000000001</v>
      </c>
      <c r="BW497" s="87">
        <f>SUMIFS($AU$3:AU498,$AB$3:AB498,"*",$AC$3:AC498,"*")</f>
        <v>4639.9999999999982</v>
      </c>
      <c r="BX497" s="87">
        <f>SUMIFS($AV$3:AV498,$Q$3:Q498,"F")</f>
        <v>240.63675319849233</v>
      </c>
      <c r="BY497" s="87">
        <f>SUMIFS($AV$3:AV498,$Q$3:Q498,"S")</f>
        <v>488.81638392253404</v>
      </c>
      <c r="BZ497" s="87">
        <f>SUMIFS($AV$3:AV498,$Q$3:Q498,"O")</f>
        <v>897.63999999983673</v>
      </c>
    </row>
    <row r="498" spans="1:78" ht="15.75" customHeight="1">
      <c r="A498" s="45" t="s">
        <v>1310</v>
      </c>
      <c r="B498" s="59">
        <v>45406</v>
      </c>
      <c r="C498" s="46" t="s">
        <v>1707</v>
      </c>
      <c r="D498" s="46" t="s">
        <v>186</v>
      </c>
      <c r="E498" s="66"/>
      <c r="F498" s="47"/>
      <c r="G498" s="48" t="s">
        <v>1708</v>
      </c>
      <c r="H498" s="49"/>
      <c r="I498" s="49"/>
      <c r="J498" s="49"/>
      <c r="K498" s="50"/>
      <c r="L498" s="49"/>
      <c r="M498" s="49"/>
      <c r="N498" s="49"/>
      <c r="O498" s="50"/>
      <c r="P498" s="50"/>
      <c r="Q498" s="50"/>
      <c r="R498" s="50"/>
      <c r="S498" s="50"/>
      <c r="T498" s="50"/>
      <c r="U498" s="50"/>
      <c r="V498" s="50"/>
      <c r="W498" s="50"/>
      <c r="X498" s="50"/>
      <c r="Y498" s="51"/>
      <c r="Z498" s="52"/>
      <c r="AA498" s="52"/>
      <c r="AB498" s="52"/>
      <c r="AC498" s="52"/>
      <c r="AD498" s="231"/>
      <c r="AE498" s="49"/>
      <c r="AF498" s="84"/>
      <c r="AG498" s="49"/>
      <c r="AH498" s="49"/>
      <c r="AI498" s="49"/>
      <c r="AJ498" s="226"/>
      <c r="AK498" s="49"/>
      <c r="AL498" s="113">
        <f t="shared" si="212"/>
        <v>0</v>
      </c>
      <c r="AM498" s="113">
        <f t="shared" si="211"/>
        <v>0</v>
      </c>
      <c r="AN498" s="218"/>
      <c r="AO498" s="49"/>
      <c r="AP498" s="49"/>
      <c r="AQ498" s="84" t="str">
        <f>UPPER(RIGHT(Journal_Live[[#This Row],[DURATION ]]))</f>
        <v/>
      </c>
      <c r="AR498" s="49"/>
      <c r="AS498" s="55"/>
      <c r="AT498" s="55"/>
      <c r="AU498" s="54"/>
      <c r="AV498" s="56"/>
      <c r="AW498" s="57"/>
      <c r="AX498" s="153" t="s">
        <v>1709</v>
      </c>
      <c r="AY498" s="153" t="s">
        <v>1655</v>
      </c>
      <c r="AZ498" s="153" t="s">
        <v>1710</v>
      </c>
      <c r="BA498" s="153"/>
      <c r="BB498" s="153"/>
      <c r="BC498" s="153"/>
      <c r="BD498" s="151"/>
      <c r="BE498" s="152"/>
      <c r="BF498" s="151"/>
      <c r="BG498" s="94">
        <f>SUM($AV$4:AV498)</f>
        <v>3875.0931371208685</v>
      </c>
      <c r="BH498" s="95">
        <f>SUM($AU$4:AU498)</f>
        <v>31765.979999999618</v>
      </c>
      <c r="BI498" s="80">
        <f>SUMIFS($AU$3:AU499,$Q$3:Q499,"F")</f>
        <v>15348.400000000001</v>
      </c>
      <c r="BJ498" s="80">
        <f>SUMIFS($AU$3:AU499,$Q$3:Q499,"S")</f>
        <v>11439.999999999996</v>
      </c>
      <c r="BK498" s="87">
        <f>SUMIFS($AU$3:AU499,$P$3:P499,"W")</f>
        <v>19837.580000000344</v>
      </c>
      <c r="BL498" s="87">
        <f>SUMIFS($AU$3:AU499,$P$3:P499,"R")</f>
        <v>9497.9999999998618</v>
      </c>
      <c r="BM498" s="87">
        <f>SUMIFS($AU$3:AU499,$AQ$3:AQ499,"M")</f>
        <v>9254.3799999993262</v>
      </c>
      <c r="BN498" s="87">
        <f>SUMIFS($AU$3:AU499,$AQ$3:AQ499,"H")</f>
        <v>7059.2000000002827</v>
      </c>
      <c r="BO498" s="87">
        <f>SUMIFS($AU$3:AU499,$AQ$3:AQ499,"D")</f>
        <v>4053.9999999999973</v>
      </c>
      <c r="BP498" s="87">
        <f>SUMIFS($AS$3:AS1259,$AO$3:AO1259,"W")</f>
        <v>0</v>
      </c>
      <c r="BQ498" s="87">
        <f>SUMIFS($AU$3:AU499,$Q$3:Q499,"O")</f>
        <v>3253.5799999996261</v>
      </c>
      <c r="BR498" s="87">
        <f>SUMIFS($AU$3:AU499,$AA$3:AA499,"*")</f>
        <v>30526.799999999505</v>
      </c>
      <c r="BS498" s="87">
        <f>SUMIFS($AU$3:AU499,$AB$3:AB499,"*")</f>
        <v>9655.1799999999312</v>
      </c>
      <c r="BT498" s="87">
        <f>SUMIFS($AU$3:AU499,$AC$3:AC499,"*")</f>
        <v>13028.399999999998</v>
      </c>
      <c r="BU498" s="87">
        <f>SUMIFS($AU$3:AU499,$AA$3:AA499,"*",$AB$3:AB499,"*")</f>
        <v>5759.9999999998217</v>
      </c>
      <c r="BV498" s="87">
        <f>SUMIFS($AU$3:AU499,$AA$3:AA499,"*",$AC$3:AC499,"*")</f>
        <v>14324.400000000001</v>
      </c>
      <c r="BW498" s="87">
        <f>SUMIFS($AU$3:AU499,$AB$3:AB499,"*",$AC$3:AC499,"*")</f>
        <v>4639.9999999999982</v>
      </c>
      <c r="BX498" s="87">
        <f>SUMIFS($AV$3:AV499,$Q$3:Q499,"F")</f>
        <v>240.63675319849233</v>
      </c>
      <c r="BY498" s="87">
        <f>SUMIFS($AV$3:AV499,$Q$3:Q499,"S")</f>
        <v>488.81638392253404</v>
      </c>
      <c r="BZ498" s="87">
        <f>SUMIFS($AV$3:AV499,$Q$3:Q499,"O")</f>
        <v>897.63999999983673</v>
      </c>
    </row>
    <row r="499" spans="1:78" ht="15.75" customHeight="1">
      <c r="A499" s="45" t="s">
        <v>1310</v>
      </c>
      <c r="B499" s="59">
        <v>45406</v>
      </c>
      <c r="C499" s="46" t="s">
        <v>1707</v>
      </c>
      <c r="D499" s="46" t="s">
        <v>186</v>
      </c>
      <c r="E499" s="66"/>
      <c r="F499" s="47"/>
      <c r="G499" s="106" t="s">
        <v>1711</v>
      </c>
      <c r="H499" s="49"/>
      <c r="I499" s="49"/>
      <c r="J499" s="49"/>
      <c r="K499" s="50"/>
      <c r="L499" s="49">
        <v>1</v>
      </c>
      <c r="M499" s="49"/>
      <c r="N499" s="49"/>
      <c r="O499" s="50" t="s">
        <v>100</v>
      </c>
      <c r="P499" s="50" t="s">
        <v>101</v>
      </c>
      <c r="Q499" s="50" t="s">
        <v>102</v>
      </c>
      <c r="R499" s="50">
        <v>10</v>
      </c>
      <c r="S499" s="50">
        <v>0</v>
      </c>
      <c r="T499" s="50">
        <v>10</v>
      </c>
      <c r="U499" s="50" t="s">
        <v>102</v>
      </c>
      <c r="V499" s="50"/>
      <c r="W499" s="50"/>
      <c r="X499" s="50"/>
      <c r="Y499" s="51">
        <f>IF(ISBLANK(O499),"",(IF(O499=UPPER("IB"),0.005,0.01)))</f>
        <v>0.01</v>
      </c>
      <c r="Z499" s="52">
        <f>IF(ISBLANK(O499),"",IF(O499="IB",8.63*200,IF(O499="IR",16*100,IF(O499="YT",20*100,IF(O499="YT-XT",24*200,IF(O499="TED",80*100,IF(O499="IR|YT",300*100)))))))</f>
        <v>1600</v>
      </c>
      <c r="AA499" s="52" t="s">
        <v>1712</v>
      </c>
      <c r="AB499" s="52"/>
      <c r="AC499" s="52"/>
      <c r="AD499" s="231">
        <v>-0.05</v>
      </c>
      <c r="AE499" s="49"/>
      <c r="AF499" s="84"/>
      <c r="AG499" s="49"/>
      <c r="AH499" s="49"/>
      <c r="AI499" s="49"/>
      <c r="AJ499" s="226"/>
      <c r="AK499" s="49"/>
      <c r="AL499" s="113">
        <f t="shared" si="212"/>
        <v>-32</v>
      </c>
      <c r="AM499" s="113">
        <f t="shared" si="211"/>
        <v>-320</v>
      </c>
      <c r="AN499" s="218"/>
      <c r="AO499" s="49"/>
      <c r="AP499" s="49"/>
      <c r="AQ499" s="84" t="s">
        <v>155</v>
      </c>
      <c r="AR499" s="49"/>
      <c r="AS499" s="55">
        <v>-0.05</v>
      </c>
      <c r="AT499" s="55">
        <f>IF(ISBLANK(AS499),,IF(U499="S",AD499-AS499,AS499-AD499))</f>
        <v>0</v>
      </c>
      <c r="AU499" s="54">
        <f>AV499*R499</f>
        <v>0</v>
      </c>
      <c r="AV499" s="56">
        <f t="shared" si="222"/>
        <v>0</v>
      </c>
      <c r="AW499" s="57" t="s">
        <v>155</v>
      </c>
      <c r="AX499" s="153" t="s">
        <v>1713</v>
      </c>
      <c r="AY499" s="153" t="s">
        <v>1714</v>
      </c>
      <c r="AZ499" s="153"/>
      <c r="BA499" s="153"/>
      <c r="BB499" s="153"/>
      <c r="BC499" s="153"/>
      <c r="BD499" s="151"/>
      <c r="BE499" s="152"/>
      <c r="BF499" s="151"/>
      <c r="BG499" s="94">
        <f>SUM($AV$4:AV499)</f>
        <v>3875.0931371208685</v>
      </c>
      <c r="BH499" s="95">
        <f>SUM($AU$4:AU499)</f>
        <v>31765.979999999618</v>
      </c>
      <c r="BI499" s="80">
        <f>SUMIFS($AU$3:AU500,$Q$3:Q500,"F")</f>
        <v>15348.400000000001</v>
      </c>
      <c r="BJ499" s="80">
        <f>SUMIFS($AU$3:AU500,$Q$3:Q500,"S")</f>
        <v>11439.999999999996</v>
      </c>
      <c r="BK499" s="87">
        <f>SUMIFS($AU$3:AU500,$P$3:P500,"W")</f>
        <v>19837.580000000344</v>
      </c>
      <c r="BL499" s="87">
        <f>SUMIFS($AU$3:AU500,$P$3:P500,"R")</f>
        <v>9497.9999999998618</v>
      </c>
      <c r="BM499" s="87">
        <f>SUMIFS($AU$3:AU500,$AQ$3:AQ500,"M")</f>
        <v>9254.3799999993262</v>
      </c>
      <c r="BN499" s="87">
        <f>SUMIFS($AU$3:AU500,$AQ$3:AQ500,"H")</f>
        <v>7059.2000000002827</v>
      </c>
      <c r="BO499" s="87">
        <f>SUMIFS($AU$3:AU500,$AQ$3:AQ500,"D")</f>
        <v>4053.9999999999973</v>
      </c>
      <c r="BP499" s="87">
        <f>SUMIFS($AS$3:AS1260,$AO$3:AO1260,"W")</f>
        <v>0</v>
      </c>
      <c r="BQ499" s="87">
        <f>SUMIFS($AU$3:AU500,$Q$3:Q500,"O")</f>
        <v>3253.5799999996261</v>
      </c>
      <c r="BR499" s="87">
        <f>SUMIFS($AU$3:AU500,$AA$3:AA500,"*")</f>
        <v>30526.799999999505</v>
      </c>
      <c r="BS499" s="87">
        <f>SUMIFS($AU$3:AU500,$AB$3:AB500,"*")</f>
        <v>9655.1799999999312</v>
      </c>
      <c r="BT499" s="87">
        <f>SUMIFS($AU$3:AU500,$AC$3:AC500,"*")</f>
        <v>13028.399999999998</v>
      </c>
      <c r="BU499" s="87">
        <f>SUMIFS($AU$3:AU500,$AA$3:AA500,"*",$AB$3:AB500,"*")</f>
        <v>5759.9999999998217</v>
      </c>
      <c r="BV499" s="87">
        <f>SUMIFS($AU$3:AU500,$AA$3:AA500,"*",$AC$3:AC500,"*")</f>
        <v>14324.400000000001</v>
      </c>
      <c r="BW499" s="87">
        <f>SUMIFS($AU$3:AU500,$AB$3:AB500,"*",$AC$3:AC500,"*")</f>
        <v>4639.9999999999982</v>
      </c>
      <c r="BX499" s="87">
        <f>SUMIFS($AV$3:AV500,$Q$3:Q500,"F")</f>
        <v>240.63675319849233</v>
      </c>
      <c r="BY499" s="87">
        <f>SUMIFS($AV$3:AV500,$Q$3:Q500,"S")</f>
        <v>488.81638392253404</v>
      </c>
      <c r="BZ499" s="87">
        <f>SUMIFS($AV$3:AV500,$Q$3:Q500,"O")</f>
        <v>897.63999999983673</v>
      </c>
    </row>
    <row r="500" spans="1:78" ht="15.75" customHeight="1">
      <c r="A500" s="45" t="s">
        <v>1310</v>
      </c>
      <c r="B500" s="59">
        <v>45407</v>
      </c>
      <c r="C500" s="46" t="s">
        <v>1715</v>
      </c>
      <c r="D500" s="46" t="s">
        <v>107</v>
      </c>
      <c r="E500" s="66"/>
      <c r="F500" s="47"/>
      <c r="G500" s="106" t="s">
        <v>1716</v>
      </c>
      <c r="H500" s="49"/>
      <c r="I500" s="49"/>
      <c r="J500" s="49"/>
      <c r="K500" s="50"/>
      <c r="L500" s="49">
        <v>1</v>
      </c>
      <c r="M500" s="49"/>
      <c r="N500" s="49"/>
      <c r="O500" s="50" t="s">
        <v>100</v>
      </c>
      <c r="P500" s="50" t="s">
        <v>101</v>
      </c>
      <c r="Q500" s="50" t="s">
        <v>102</v>
      </c>
      <c r="R500" s="50">
        <v>50</v>
      </c>
      <c r="S500" s="50">
        <v>0</v>
      </c>
      <c r="T500" s="50">
        <v>50</v>
      </c>
      <c r="U500" s="50" t="s">
        <v>22</v>
      </c>
      <c r="V500" s="50"/>
      <c r="W500" s="50"/>
      <c r="X500" s="50"/>
      <c r="Y500" s="51">
        <f>IF(ISBLANK(O500),"",(IF(O500=UPPER("IB"),0.005,0.01)))</f>
        <v>0.01</v>
      </c>
      <c r="Z500" s="52">
        <f>IF(ISBLANK(O500),"",IF(O500="IB",8.63*200,IF(O500="IR",16*100,IF(O500="YT",20*100,IF(O500="YT-XT",24*200,IF(O500="TED",80*100,IF(O500="IR|YT",300*100)))))))</f>
        <v>1600</v>
      </c>
      <c r="AA500" s="52" t="s">
        <v>1251</v>
      </c>
      <c r="AB500" s="52"/>
      <c r="AC500" s="52" t="s">
        <v>1717</v>
      </c>
      <c r="AD500" s="231">
        <v>-7.0000000000000007E-2</v>
      </c>
      <c r="AE500" s="49"/>
      <c r="AF500" s="84"/>
      <c r="AG500" s="49"/>
      <c r="AH500" s="49"/>
      <c r="AI500" s="49"/>
      <c r="AJ500" s="226"/>
      <c r="AK500" s="49"/>
      <c r="AL500" s="113">
        <f t="shared" si="212"/>
        <v>-32</v>
      </c>
      <c r="AM500" s="113">
        <f t="shared" si="211"/>
        <v>-1600</v>
      </c>
      <c r="AN500" s="218"/>
      <c r="AO500" s="49"/>
      <c r="AP500" s="49"/>
      <c r="AQ500" s="84" t="s">
        <v>155</v>
      </c>
      <c r="AR500" s="49"/>
      <c r="AS500" s="55">
        <v>-7.0000000000000007E-2</v>
      </c>
      <c r="AT500" s="55">
        <f>IF(ISBLANK(AS500),,IF(U500="S",AD500-AS500,AS500-AD500))</f>
        <v>0</v>
      </c>
      <c r="AU500" s="54">
        <f>AV500*R500</f>
        <v>0</v>
      </c>
      <c r="AV500" s="56">
        <f t="shared" si="222"/>
        <v>0</v>
      </c>
      <c r="AW500" s="57" t="s">
        <v>155</v>
      </c>
      <c r="AX500" s="153"/>
      <c r="AY500" s="153"/>
      <c r="AZ500" s="153"/>
      <c r="BA500" s="153"/>
      <c r="BB500" s="153"/>
      <c r="BC500" s="153"/>
      <c r="BD500" s="151"/>
      <c r="BE500" s="152"/>
      <c r="BF500" s="151"/>
      <c r="BG500" s="94">
        <f>SUM($AV$4:AV500)</f>
        <v>3875.0931371208685</v>
      </c>
      <c r="BH500" s="95">
        <f>SUM($AU$4:AU500)</f>
        <v>31765.979999999618</v>
      </c>
      <c r="BI500" s="80">
        <f>SUMIFS($AU$3:AU501,$Q$3:Q501,"F")</f>
        <v>15348.400000000001</v>
      </c>
      <c r="BJ500" s="80">
        <f>SUMIFS($AU$3:AU501,$Q$3:Q501,"S")</f>
        <v>11439.999999999996</v>
      </c>
      <c r="BK500" s="87">
        <f>SUMIFS($AU$3:AU501,$P$3:P501,"W")</f>
        <v>19837.580000000344</v>
      </c>
      <c r="BL500" s="87">
        <f>SUMIFS($AU$3:AU501,$P$3:P501,"R")</f>
        <v>9497.9999999998618</v>
      </c>
      <c r="BM500" s="87">
        <f>SUMIFS($AU$3:AU501,$AQ$3:AQ501,"M")</f>
        <v>9254.3799999993262</v>
      </c>
      <c r="BN500" s="87">
        <f>SUMIFS($AU$3:AU501,$AQ$3:AQ501,"H")</f>
        <v>7059.2000000002827</v>
      </c>
      <c r="BO500" s="87">
        <f>SUMIFS($AU$3:AU501,$AQ$3:AQ501,"D")</f>
        <v>4053.9999999999973</v>
      </c>
      <c r="BP500" s="87">
        <f>SUMIFS($AS$3:AS1261,$AO$3:AO1261,"W")</f>
        <v>0</v>
      </c>
      <c r="BQ500" s="87">
        <f>SUMIFS($AU$3:AU501,$Q$3:Q501,"O")</f>
        <v>3253.5799999996261</v>
      </c>
      <c r="BR500" s="87">
        <f>SUMIFS($AU$3:AU501,$AA$3:AA501,"*")</f>
        <v>30526.799999999505</v>
      </c>
      <c r="BS500" s="87">
        <f>SUMIFS($AU$3:AU501,$AB$3:AB501,"*")</f>
        <v>9655.1799999999312</v>
      </c>
      <c r="BT500" s="87">
        <f>SUMIFS($AU$3:AU501,$AC$3:AC501,"*")</f>
        <v>13028.399999999998</v>
      </c>
      <c r="BU500" s="87">
        <f>SUMIFS($AU$3:AU501,$AA$3:AA501,"*",$AB$3:AB501,"*")</f>
        <v>5759.9999999998217</v>
      </c>
      <c r="BV500" s="87">
        <f>SUMIFS($AU$3:AU501,$AA$3:AA501,"*",$AC$3:AC501,"*")</f>
        <v>14324.400000000001</v>
      </c>
      <c r="BW500" s="87">
        <f>SUMIFS($AU$3:AU501,$AB$3:AB501,"*",$AC$3:AC501,"*")</f>
        <v>4639.9999999999982</v>
      </c>
      <c r="BX500" s="87">
        <f>SUMIFS($AV$3:AV501,$Q$3:Q501,"F")</f>
        <v>240.63675319849233</v>
      </c>
      <c r="BY500" s="87">
        <f>SUMIFS($AV$3:AV501,$Q$3:Q501,"S")</f>
        <v>488.81638392253404</v>
      </c>
      <c r="BZ500" s="87">
        <f>SUMIFS($AV$3:AV501,$Q$3:Q501,"O")</f>
        <v>897.63999999983673</v>
      </c>
    </row>
    <row r="501" spans="1:78" ht="15.75" customHeight="1">
      <c r="A501" s="45" t="s">
        <v>1310</v>
      </c>
      <c r="B501" s="59">
        <v>45407</v>
      </c>
      <c r="C501" s="46" t="s">
        <v>1086</v>
      </c>
      <c r="D501" s="46" t="s">
        <v>107</v>
      </c>
      <c r="E501" s="66"/>
      <c r="F501" s="47"/>
      <c r="G501" s="163" t="s">
        <v>1718</v>
      </c>
      <c r="H501" s="49"/>
      <c r="I501" s="49"/>
      <c r="J501" s="49"/>
      <c r="K501" s="50"/>
      <c r="L501" s="49"/>
      <c r="M501" s="49">
        <v>1</v>
      </c>
      <c r="N501" s="49"/>
      <c r="O501" s="50" t="s">
        <v>740</v>
      </c>
      <c r="P501" s="50" t="s">
        <v>126</v>
      </c>
      <c r="Q501" s="50"/>
      <c r="R501" s="50">
        <v>1</v>
      </c>
      <c r="S501" s="50">
        <v>0</v>
      </c>
      <c r="T501" s="50">
        <v>1</v>
      </c>
      <c r="U501" s="50" t="s">
        <v>22</v>
      </c>
      <c r="V501" s="50"/>
      <c r="W501" s="50"/>
      <c r="X501" s="50"/>
      <c r="Y501" s="51">
        <f>IF(ISBLANK(O501),"",(IF(O501=UPPER("IB"),0.005,0.01)))</f>
        <v>0.01</v>
      </c>
      <c r="Z501" s="52">
        <f>IF(ISBLANK(O501),"",IF(O501="IB",8.63*200,IF(O501="IR",16*100,IF(O501="YT",20*100,IF(O501="YT-XT",24*200,IF(O501="TED",80*100,IF(O501="IR|YT",300*100)))))))</f>
        <v>30000</v>
      </c>
      <c r="AA501" s="52" t="s">
        <v>1537</v>
      </c>
      <c r="AB501" s="52"/>
      <c r="AC501" s="52"/>
      <c r="AD501" s="231">
        <v>-0.23</v>
      </c>
      <c r="AE501" s="49"/>
      <c r="AF501" s="84"/>
      <c r="AG501" s="49"/>
      <c r="AH501" s="49"/>
      <c r="AI501" s="49"/>
      <c r="AJ501" s="226"/>
      <c r="AK501" s="49"/>
      <c r="AL501" s="113">
        <f t="shared" si="212"/>
        <v>-600</v>
      </c>
      <c r="AM501" s="113">
        <f t="shared" si="211"/>
        <v>-600</v>
      </c>
      <c r="AN501" s="218"/>
      <c r="AO501" s="49"/>
      <c r="AP501" s="49" t="s">
        <v>104</v>
      </c>
      <c r="AQ501" s="84" t="s">
        <v>142</v>
      </c>
      <c r="AR501" s="49"/>
      <c r="AS501" s="55">
        <v>-0.23</v>
      </c>
      <c r="AT501" s="55">
        <f>IF(ISBLANK(AS501),,IF(U501="S",AD501-AS501,AS501-AD501))</f>
        <v>0</v>
      </c>
      <c r="AU501" s="54">
        <f>AV501*R501</f>
        <v>0</v>
      </c>
      <c r="AV501" s="56">
        <f t="shared" si="222"/>
        <v>0</v>
      </c>
      <c r="AW501" s="57" t="s">
        <v>155</v>
      </c>
      <c r="AX501" s="151"/>
      <c r="AY501" s="153"/>
      <c r="AZ501" s="153"/>
      <c r="BA501" s="153"/>
      <c r="BB501" s="153"/>
      <c r="BC501" s="153"/>
      <c r="BD501" s="151"/>
      <c r="BE501" s="152"/>
      <c r="BF501" s="151"/>
      <c r="BG501" s="94">
        <f>SUM($AV$4:AV501)</f>
        <v>3875.0931371208685</v>
      </c>
      <c r="BH501" s="95">
        <f>SUM($AU$4:AU501)</f>
        <v>31765.979999999618</v>
      </c>
      <c r="BI501" s="80">
        <f>SUMIFS($AU$3:AU502,$Q$3:Q502,"F")</f>
        <v>15348.400000000001</v>
      </c>
      <c r="BJ501" s="80">
        <f>SUMIFS($AU$3:AU502,$Q$3:Q502,"S")</f>
        <v>11439.999999999996</v>
      </c>
      <c r="BK501" s="87">
        <f>SUMIFS($AU$3:AU502,$P$3:P502,"W")</f>
        <v>19837.580000000344</v>
      </c>
      <c r="BL501" s="87">
        <f>SUMIFS($AU$3:AU502,$P$3:P502,"R")</f>
        <v>9497.9999999998618</v>
      </c>
      <c r="BM501" s="87">
        <f>SUMIFS($AU$3:AU502,$AQ$3:AQ502,"M")</f>
        <v>9254.3799999993262</v>
      </c>
      <c r="BN501" s="87">
        <f>SUMIFS($AU$3:AU502,$AQ$3:AQ502,"H")</f>
        <v>7059.2000000002827</v>
      </c>
      <c r="BO501" s="87">
        <f>SUMIFS($AU$3:AU502,$AQ$3:AQ502,"D")</f>
        <v>4053.9999999999973</v>
      </c>
      <c r="BP501" s="87">
        <f>SUMIFS($AS$3:AS1262,$AO$3:AO1262,"W")</f>
        <v>0</v>
      </c>
      <c r="BQ501" s="87">
        <f>SUMIFS($AU$3:AU502,$Q$3:Q502,"O")</f>
        <v>3253.5799999996261</v>
      </c>
      <c r="BR501" s="87">
        <f>SUMIFS($AU$3:AU502,$AA$3:AA502,"*")</f>
        <v>30526.799999999505</v>
      </c>
      <c r="BS501" s="87">
        <f>SUMIFS($AU$3:AU502,$AB$3:AB502,"*")</f>
        <v>9655.1799999999312</v>
      </c>
      <c r="BT501" s="87">
        <f>SUMIFS($AU$3:AU502,$AC$3:AC502,"*")</f>
        <v>13028.399999999998</v>
      </c>
      <c r="BU501" s="87">
        <f>SUMIFS($AU$3:AU502,$AA$3:AA502,"*",$AB$3:AB502,"*")</f>
        <v>5759.9999999998217</v>
      </c>
      <c r="BV501" s="87">
        <f>SUMIFS($AU$3:AU502,$AA$3:AA502,"*",$AC$3:AC502,"*")</f>
        <v>14324.400000000001</v>
      </c>
      <c r="BW501" s="87">
        <f>SUMIFS($AU$3:AU502,$AB$3:AB502,"*",$AC$3:AC502,"*")</f>
        <v>4639.9999999999982</v>
      </c>
      <c r="BX501" s="87">
        <f>SUMIFS($AV$3:AV502,$Q$3:Q502,"F")</f>
        <v>240.63675319849233</v>
      </c>
      <c r="BY501" s="87">
        <f>SUMIFS($AV$3:AV502,$Q$3:Q502,"S")</f>
        <v>488.81638392253404</v>
      </c>
      <c r="BZ501" s="87">
        <f>SUMIFS($AV$3:AV502,$Q$3:Q502,"O")</f>
        <v>897.63999999983673</v>
      </c>
    </row>
    <row r="502" spans="1:78" ht="15.75" customHeight="1">
      <c r="A502" s="45" t="s">
        <v>1310</v>
      </c>
      <c r="B502" s="59"/>
      <c r="C502" s="46"/>
      <c r="D502" s="46"/>
      <c r="E502" s="66"/>
      <c r="F502" s="47"/>
      <c r="G502" s="48"/>
      <c r="H502" s="49"/>
      <c r="I502" s="49"/>
      <c r="J502" s="49"/>
      <c r="K502" s="50"/>
      <c r="L502" s="49"/>
      <c r="M502" s="49"/>
      <c r="N502" s="49"/>
      <c r="O502" s="50"/>
      <c r="P502" s="50"/>
      <c r="Q502" s="50"/>
      <c r="R502" s="50"/>
      <c r="S502" s="50"/>
      <c r="T502" s="50"/>
      <c r="U502" s="50"/>
      <c r="V502" s="50"/>
      <c r="W502" s="50"/>
      <c r="X502" s="50"/>
      <c r="Y502" s="50"/>
      <c r="Z502" s="50"/>
      <c r="AA502" s="52"/>
      <c r="AB502" s="52"/>
      <c r="AC502" s="52"/>
      <c r="AD502" s="231"/>
      <c r="AE502" s="49"/>
      <c r="AF502" s="84"/>
      <c r="AG502" s="49"/>
      <c r="AH502" s="49"/>
      <c r="AI502" s="49"/>
      <c r="AJ502" s="226"/>
      <c r="AK502" s="49"/>
      <c r="AL502" s="113">
        <f t="shared" si="212"/>
        <v>0</v>
      </c>
      <c r="AM502" s="113">
        <f t="shared" si="211"/>
        <v>0</v>
      </c>
      <c r="AN502" s="218"/>
      <c r="AO502" s="49"/>
      <c r="AP502" s="49"/>
      <c r="AQ502" s="84" t="str">
        <f>UPPER(RIGHT(Journal_Live[[#This Row],[DURATION ]]))</f>
        <v/>
      </c>
      <c r="AR502" s="49"/>
      <c r="AS502" s="55"/>
      <c r="AT502" s="55"/>
      <c r="AU502" s="54"/>
      <c r="AV502" s="56"/>
      <c r="AW502" s="57"/>
      <c r="AX502" s="151" t="s">
        <v>1719</v>
      </c>
      <c r="AY502" s="153" t="s">
        <v>1720</v>
      </c>
      <c r="AZ502" s="153" t="s">
        <v>1721</v>
      </c>
      <c r="BA502" s="153" t="s">
        <v>1722</v>
      </c>
      <c r="BB502" s="153" t="s">
        <v>1723</v>
      </c>
      <c r="BC502" s="153" t="s">
        <v>1724</v>
      </c>
      <c r="BD502" s="151"/>
      <c r="BE502" s="152"/>
      <c r="BF502" s="151"/>
      <c r="BG502" s="94">
        <f>SUM($AV$4:AV502)</f>
        <v>3875.0931371208685</v>
      </c>
      <c r="BH502" s="95">
        <f>SUM($AU$4:AU502)</f>
        <v>31765.979999999618</v>
      </c>
      <c r="BI502" s="80">
        <f>SUMIFS($AU$3:AU503,$Q$3:Q503,"F")</f>
        <v>15348.400000000001</v>
      </c>
      <c r="BJ502" s="80">
        <f>SUMIFS($AU$3:AU503,$Q$3:Q503,"S")</f>
        <v>11439.999999999996</v>
      </c>
      <c r="BK502" s="87">
        <f>SUMIFS($AU$3:AU503,$P$3:P503,"W")</f>
        <v>19837.580000000344</v>
      </c>
      <c r="BL502" s="87">
        <f>SUMIFS($AU$3:AU503,$P$3:P503,"R")</f>
        <v>9497.9999999998618</v>
      </c>
      <c r="BM502" s="87">
        <f>SUMIFS($AU$3:AU503,$AQ$3:AQ503,"M")</f>
        <v>9254.3799999993262</v>
      </c>
      <c r="BN502" s="87">
        <f>SUMIFS($AU$3:AU503,$AQ$3:AQ503,"H")</f>
        <v>7059.2000000002827</v>
      </c>
      <c r="BO502" s="87">
        <f>SUMIFS($AU$3:AU503,$AQ$3:AQ503,"D")</f>
        <v>4053.9999999999973</v>
      </c>
      <c r="BP502" s="87">
        <f>SUMIFS($AS$3:AS1263,$AO$3:AO1263,"W")</f>
        <v>0</v>
      </c>
      <c r="BQ502" s="87">
        <f>SUMIFS($AU$3:AU503,$Q$3:Q503,"O")</f>
        <v>3253.5799999996261</v>
      </c>
      <c r="BR502" s="87">
        <f>SUMIFS($AU$3:AU503,$AA$3:AA503,"*")</f>
        <v>30526.799999999505</v>
      </c>
      <c r="BS502" s="87">
        <f>SUMIFS($AU$3:AU503,$AB$3:AB503,"*")</f>
        <v>9655.1799999999312</v>
      </c>
      <c r="BT502" s="87">
        <f>SUMIFS($AU$3:AU503,$AC$3:AC503,"*")</f>
        <v>13028.399999999998</v>
      </c>
      <c r="BU502" s="87">
        <f>SUMIFS($AU$3:AU503,$AA$3:AA503,"*",$AB$3:AB503,"*")</f>
        <v>5759.9999999998217</v>
      </c>
      <c r="BV502" s="87">
        <f>SUMIFS($AU$3:AU503,$AA$3:AA503,"*",$AC$3:AC503,"*")</f>
        <v>14324.400000000001</v>
      </c>
      <c r="BW502" s="87">
        <f>SUMIFS($AU$3:AU503,$AB$3:AB503,"*",$AC$3:AC503,"*")</f>
        <v>4639.9999999999982</v>
      </c>
      <c r="BX502" s="87">
        <f>SUMIFS($AV$3:AV503,$Q$3:Q503,"F")</f>
        <v>240.63675319849233</v>
      </c>
      <c r="BY502" s="87">
        <f>SUMIFS($AV$3:AV503,$Q$3:Q503,"S")</f>
        <v>488.81638392253404</v>
      </c>
      <c r="BZ502" s="87">
        <f>SUMIFS($AV$3:AV503,$Q$3:Q503,"O")</f>
        <v>897.63999999983673</v>
      </c>
    </row>
    <row r="503" spans="1:78" ht="15.75" customHeight="1">
      <c r="A503" s="45" t="s">
        <v>1310</v>
      </c>
      <c r="B503" s="59"/>
      <c r="C503" s="46"/>
      <c r="D503" s="46"/>
      <c r="E503" s="66"/>
      <c r="F503" s="47"/>
      <c r="G503" s="48"/>
      <c r="H503" s="49"/>
      <c r="I503" s="49"/>
      <c r="J503" s="49"/>
      <c r="K503" s="50"/>
      <c r="L503" s="49"/>
      <c r="M503" s="49"/>
      <c r="N503" s="49"/>
      <c r="O503" s="50"/>
      <c r="P503" s="50"/>
      <c r="Q503" s="50"/>
      <c r="R503" s="50"/>
      <c r="S503" s="50"/>
      <c r="T503" s="50"/>
      <c r="U503" s="50"/>
      <c r="V503" s="50"/>
      <c r="W503" s="50"/>
      <c r="X503" s="50"/>
      <c r="Y503" s="50"/>
      <c r="Z503" s="50"/>
      <c r="AA503" s="52"/>
      <c r="AB503" s="52"/>
      <c r="AC503" s="52"/>
      <c r="AD503" s="231"/>
      <c r="AE503" s="49"/>
      <c r="AF503" s="84"/>
      <c r="AG503" s="49"/>
      <c r="AH503" s="49"/>
      <c r="AI503" s="49"/>
      <c r="AJ503" s="226"/>
      <c r="AK503" s="49"/>
      <c r="AL503" s="113">
        <f t="shared" ref="AL503:AL507" si="223">-0.02*Z503</f>
        <v>0</v>
      </c>
      <c r="AM503" s="113">
        <f t="shared" si="211"/>
        <v>0</v>
      </c>
      <c r="AN503" s="218"/>
      <c r="AO503" s="49"/>
      <c r="AP503" s="49"/>
      <c r="AQ503" s="84" t="str">
        <f>UPPER(RIGHT(Journal_Live[[#This Row],[DURATION ]]))</f>
        <v/>
      </c>
      <c r="AR503" s="49"/>
      <c r="AS503" s="55"/>
      <c r="AT503" s="55"/>
      <c r="AU503" s="54"/>
      <c r="AV503" s="56"/>
      <c r="AW503" s="57"/>
      <c r="AX503" s="153" t="s">
        <v>1725</v>
      </c>
      <c r="AY503" s="153"/>
      <c r="AZ503" s="153"/>
      <c r="BA503" s="153"/>
      <c r="BB503" s="153"/>
      <c r="BC503" s="153"/>
      <c r="BD503" s="151"/>
      <c r="BE503" s="152"/>
      <c r="BF503" s="151"/>
      <c r="BG503" s="94">
        <f>SUM($AV$4:AV503)</f>
        <v>3875.0931371208685</v>
      </c>
      <c r="BH503" s="95">
        <f>SUM($AU$4:AU503)</f>
        <v>31765.979999999618</v>
      </c>
      <c r="BI503" s="80">
        <f>SUMIFS($AU$3:AU504,$Q$3:Q504,"F")</f>
        <v>15348.400000000001</v>
      </c>
      <c r="BJ503" s="80">
        <f>SUMIFS($AU$3:AU504,$Q$3:Q504,"S")</f>
        <v>11439.999999999996</v>
      </c>
      <c r="BK503" s="87">
        <f>SUMIFS($AU$3:AU504,$P$3:P504,"W")</f>
        <v>19837.580000000344</v>
      </c>
      <c r="BL503" s="87">
        <f>SUMIFS($AU$3:AU504,$P$3:P504,"R")</f>
        <v>9497.9999999998618</v>
      </c>
      <c r="BM503" s="87">
        <f>SUMIFS($AU$3:AU504,$AQ$3:AQ504,"M")</f>
        <v>9254.3799999993262</v>
      </c>
      <c r="BN503" s="87">
        <f>SUMIFS($AU$3:AU504,$AQ$3:AQ504,"H")</f>
        <v>7059.2000000002827</v>
      </c>
      <c r="BO503" s="87">
        <f>SUMIFS($AU$3:AU504,$AQ$3:AQ504,"D")</f>
        <v>4053.9999999999973</v>
      </c>
      <c r="BP503" s="87">
        <f>SUMIFS($AS$3:AS1264,$AO$3:AO1264,"W")</f>
        <v>0</v>
      </c>
      <c r="BQ503" s="87">
        <f>SUMIFS($AU$3:AU504,$Q$3:Q504,"O")</f>
        <v>3253.5799999996261</v>
      </c>
      <c r="BR503" s="87">
        <f>SUMIFS($AU$3:AU504,$AA$3:AA504,"*")</f>
        <v>30526.799999999505</v>
      </c>
      <c r="BS503" s="87">
        <f>SUMIFS($AU$3:AU504,$AB$3:AB504,"*")</f>
        <v>9655.1799999999312</v>
      </c>
      <c r="BT503" s="87">
        <f>SUMIFS($AU$3:AU504,$AC$3:AC504,"*")</f>
        <v>13028.399999999998</v>
      </c>
      <c r="BU503" s="87">
        <f>SUMIFS($AU$3:AU504,$AA$3:AA504,"*",$AB$3:AB504,"*")</f>
        <v>5759.9999999998217</v>
      </c>
      <c r="BV503" s="87">
        <f>SUMIFS($AU$3:AU504,$AA$3:AA504,"*",$AC$3:AC504,"*")</f>
        <v>14324.400000000001</v>
      </c>
      <c r="BW503" s="87">
        <f>SUMIFS($AU$3:AU504,$AB$3:AB504,"*",$AC$3:AC504,"*")</f>
        <v>4639.9999999999982</v>
      </c>
      <c r="BX503" s="87">
        <f>SUMIFS($AV$3:AV504,$Q$3:Q504,"F")</f>
        <v>240.63675319849233</v>
      </c>
      <c r="BY503" s="87">
        <f>SUMIFS($AV$3:AV504,$Q$3:Q504,"S")</f>
        <v>488.81638392253404</v>
      </c>
      <c r="BZ503" s="87">
        <f>SUMIFS($AV$3:AV504,$Q$3:Q504,"O")</f>
        <v>897.63999999983673</v>
      </c>
    </row>
    <row r="504" spans="1:78" ht="15.75" customHeight="1">
      <c r="A504" s="45" t="s">
        <v>1310</v>
      </c>
      <c r="B504" s="59"/>
      <c r="C504" s="46"/>
      <c r="D504" s="46"/>
      <c r="E504" s="66"/>
      <c r="F504" s="47"/>
      <c r="G504" s="48"/>
      <c r="H504" s="49"/>
      <c r="I504" s="49"/>
      <c r="J504" s="49"/>
      <c r="K504" s="50"/>
      <c r="L504" s="49"/>
      <c r="M504" s="49"/>
      <c r="N504" s="49"/>
      <c r="O504" s="50"/>
      <c r="P504" s="50"/>
      <c r="Q504" s="50"/>
      <c r="R504" s="50"/>
      <c r="S504" s="50"/>
      <c r="T504" s="50"/>
      <c r="U504" s="50"/>
      <c r="V504" s="50"/>
      <c r="W504" s="50"/>
      <c r="X504" s="50"/>
      <c r="Y504" s="50"/>
      <c r="Z504" s="50"/>
      <c r="AA504" s="52"/>
      <c r="AB504" s="52"/>
      <c r="AC504" s="52"/>
      <c r="AD504" s="231"/>
      <c r="AE504" s="49"/>
      <c r="AF504" s="84"/>
      <c r="AG504" s="49"/>
      <c r="AH504" s="49"/>
      <c r="AI504" s="49"/>
      <c r="AJ504" s="226"/>
      <c r="AK504" s="49"/>
      <c r="AL504" s="113">
        <f t="shared" si="223"/>
        <v>0</v>
      </c>
      <c r="AM504" s="113">
        <f t="shared" si="211"/>
        <v>0</v>
      </c>
      <c r="AN504" s="218"/>
      <c r="AO504" s="49"/>
      <c r="AP504" s="49"/>
      <c r="AQ504" s="84" t="str">
        <f>UPPER(RIGHT(Journal_Live[[#This Row],[DURATION ]]))</f>
        <v/>
      </c>
      <c r="AR504" s="49"/>
      <c r="AS504" s="55"/>
      <c r="AT504" s="55"/>
      <c r="AU504" s="54"/>
      <c r="AV504" s="56"/>
      <c r="AW504" s="57"/>
      <c r="AX504" s="153" t="s">
        <v>1726</v>
      </c>
      <c r="AY504" s="151" t="s">
        <v>1727</v>
      </c>
      <c r="AZ504" s="153" t="s">
        <v>1728</v>
      </c>
      <c r="BA504" s="153"/>
      <c r="BB504" s="153"/>
      <c r="BC504" s="153"/>
      <c r="BD504" s="151"/>
      <c r="BE504" s="152"/>
      <c r="BF504" s="151"/>
      <c r="BG504" s="94">
        <f>SUM($AV$4:AV504)</f>
        <v>3875.0931371208685</v>
      </c>
      <c r="BH504" s="95">
        <f>SUM($AU$4:AU504)</f>
        <v>31765.979999999618</v>
      </c>
      <c r="BI504" s="80">
        <f>SUMIFS($AU$3:AU505,$Q$3:Q505,"F")</f>
        <v>15348.400000000001</v>
      </c>
      <c r="BJ504" s="80">
        <f>SUMIFS($AU$3:AU505,$Q$3:Q505,"S")</f>
        <v>11439.999999999996</v>
      </c>
      <c r="BK504" s="87">
        <f>SUMIFS($AU$3:AU505,$P$3:P505,"W")</f>
        <v>19837.580000000344</v>
      </c>
      <c r="BL504" s="87">
        <f>SUMIFS($AU$3:AU505,$P$3:P505,"R")</f>
        <v>9497.9999999998618</v>
      </c>
      <c r="BM504" s="87">
        <f>SUMIFS($AU$3:AU505,$AQ$3:AQ505,"M")</f>
        <v>9254.3799999993262</v>
      </c>
      <c r="BN504" s="87">
        <f>SUMIFS($AU$3:AU505,$AQ$3:AQ505,"H")</f>
        <v>7059.2000000002827</v>
      </c>
      <c r="BO504" s="87">
        <f>SUMIFS($AU$3:AU505,$AQ$3:AQ505,"D")</f>
        <v>4053.9999999999973</v>
      </c>
      <c r="BP504" s="87">
        <f>SUMIFS($AS$3:AS1265,$AO$3:AO1265,"W")</f>
        <v>0</v>
      </c>
      <c r="BQ504" s="87">
        <f>SUMIFS($AU$3:AU505,$Q$3:Q505,"O")</f>
        <v>3253.5799999996261</v>
      </c>
      <c r="BR504" s="87">
        <f>SUMIFS($AU$3:AU505,$AA$3:AA505,"*")</f>
        <v>30526.799999999505</v>
      </c>
      <c r="BS504" s="87">
        <f>SUMIFS($AU$3:AU505,$AB$3:AB505,"*")</f>
        <v>9655.1799999999312</v>
      </c>
      <c r="BT504" s="87">
        <f>SUMIFS($AU$3:AU505,$AC$3:AC505,"*")</f>
        <v>13028.399999999998</v>
      </c>
      <c r="BU504" s="87">
        <f>SUMIFS($AU$3:AU505,$AA$3:AA505,"*",$AB$3:AB505,"*")</f>
        <v>5759.9999999998217</v>
      </c>
      <c r="BV504" s="87">
        <f>SUMIFS($AU$3:AU505,$AA$3:AA505,"*",$AC$3:AC505,"*")</f>
        <v>14324.400000000001</v>
      </c>
      <c r="BW504" s="87">
        <f>SUMIFS($AU$3:AU505,$AB$3:AB505,"*",$AC$3:AC505,"*")</f>
        <v>4639.9999999999982</v>
      </c>
      <c r="BX504" s="87">
        <f>SUMIFS($AV$3:AV505,$Q$3:Q505,"F")</f>
        <v>240.63675319849233</v>
      </c>
      <c r="BY504" s="87">
        <f>SUMIFS($AV$3:AV505,$Q$3:Q505,"S")</f>
        <v>488.81638392253404</v>
      </c>
      <c r="BZ504" s="87">
        <f>SUMIFS($AV$3:AV505,$Q$3:Q505,"O")</f>
        <v>897.63999999983673</v>
      </c>
    </row>
    <row r="505" spans="1:78" ht="15.75" customHeight="1">
      <c r="A505" s="45" t="s">
        <v>1310</v>
      </c>
      <c r="B505" s="59">
        <v>45407</v>
      </c>
      <c r="C505" s="46" t="s">
        <v>1143</v>
      </c>
      <c r="D505" s="46" t="s">
        <v>107</v>
      </c>
      <c r="E505" s="66" t="s">
        <v>1729</v>
      </c>
      <c r="F505" s="47" t="s">
        <v>1730</v>
      </c>
      <c r="G505" s="48"/>
      <c r="H505" s="49"/>
      <c r="I505" s="49"/>
      <c r="J505" s="49">
        <v>1</v>
      </c>
      <c r="K505" s="50" t="s">
        <v>155</v>
      </c>
      <c r="L505" s="49"/>
      <c r="M505" s="49"/>
      <c r="N505" s="49"/>
      <c r="O505" s="50"/>
      <c r="P505" s="50"/>
      <c r="Q505" s="50"/>
      <c r="R505" s="50"/>
      <c r="S505" s="50"/>
      <c r="T505" s="50"/>
      <c r="U505" s="50"/>
      <c r="V505" s="50"/>
      <c r="W505" s="50"/>
      <c r="X505" s="50"/>
      <c r="Y505" s="50"/>
      <c r="Z505" s="50"/>
      <c r="AA505" s="52"/>
      <c r="AB505" s="52"/>
      <c r="AC505" s="52"/>
      <c r="AD505" s="231"/>
      <c r="AE505" s="49"/>
      <c r="AF505" s="84"/>
      <c r="AG505" s="49"/>
      <c r="AH505" s="49"/>
      <c r="AI505" s="49"/>
      <c r="AJ505" s="226"/>
      <c r="AK505" s="49"/>
      <c r="AL505" s="113">
        <f t="shared" si="223"/>
        <v>0</v>
      </c>
      <c r="AM505" s="113">
        <f t="shared" si="211"/>
        <v>0</v>
      </c>
      <c r="AN505" s="218"/>
      <c r="AO505" s="49"/>
      <c r="AP505" s="49"/>
      <c r="AQ505" s="84" t="str">
        <f>UPPER(RIGHT(Journal_Live[[#This Row],[DURATION ]]))</f>
        <v/>
      </c>
      <c r="AR505" s="49"/>
      <c r="AS505" s="55"/>
      <c r="AT505" s="55"/>
      <c r="AU505" s="54"/>
      <c r="AV505" s="56"/>
      <c r="AW505" s="57"/>
      <c r="AX505" s="153"/>
      <c r="AY505" s="153"/>
      <c r="AZ505" s="153"/>
      <c r="BA505" s="153"/>
      <c r="BB505" s="153"/>
      <c r="BC505" s="153"/>
      <c r="BD505" s="151"/>
      <c r="BE505" s="152"/>
      <c r="BF505" s="151"/>
      <c r="BG505" s="94">
        <f>SUM($AV$4:AV505)</f>
        <v>3875.0931371208685</v>
      </c>
      <c r="BH505" s="95">
        <f>SUM($AU$4:AU505)</f>
        <v>31765.979999999618</v>
      </c>
      <c r="BI505" s="80">
        <f>SUMIFS($AU$3:AU506,$Q$3:Q506,"F")</f>
        <v>15348.400000000001</v>
      </c>
      <c r="BJ505" s="80">
        <f>SUMIFS($AU$3:AU506,$Q$3:Q506,"S")</f>
        <v>11439.999999999996</v>
      </c>
      <c r="BK505" s="87">
        <f>SUMIFS($AU$3:AU506,$P$3:P506,"W")</f>
        <v>19837.580000000344</v>
      </c>
      <c r="BL505" s="87">
        <f>SUMIFS($AU$3:AU506,$P$3:P506,"R")</f>
        <v>9497.9999999998618</v>
      </c>
      <c r="BM505" s="87">
        <f>SUMIFS($AU$3:AU506,$AQ$3:AQ506,"M")</f>
        <v>9254.3799999993262</v>
      </c>
      <c r="BN505" s="87">
        <f>SUMIFS($AU$3:AU506,$AQ$3:AQ506,"H")</f>
        <v>7059.2000000002827</v>
      </c>
      <c r="BO505" s="87">
        <f>SUMIFS($AU$3:AU506,$AQ$3:AQ506,"D")</f>
        <v>4053.9999999999973</v>
      </c>
      <c r="BP505" s="87">
        <f>SUMIFS($AS$3:AS1266,$AO$3:AO1266,"W")</f>
        <v>0</v>
      </c>
      <c r="BQ505" s="87">
        <f>SUMIFS($AU$3:AU506,$Q$3:Q506,"O")</f>
        <v>3253.5799999996261</v>
      </c>
      <c r="BR505" s="87">
        <f>SUMIFS($AU$3:AU506,$AA$3:AA506,"*")</f>
        <v>30526.799999999505</v>
      </c>
      <c r="BS505" s="87">
        <f>SUMIFS($AU$3:AU506,$AB$3:AB506,"*")</f>
        <v>9655.1799999999312</v>
      </c>
      <c r="BT505" s="87">
        <f>SUMIFS($AU$3:AU506,$AC$3:AC506,"*")</f>
        <v>13028.399999999998</v>
      </c>
      <c r="BU505" s="87">
        <f>SUMIFS($AU$3:AU506,$AA$3:AA506,"*",$AB$3:AB506,"*")</f>
        <v>5759.9999999998217</v>
      </c>
      <c r="BV505" s="87">
        <f>SUMIFS($AU$3:AU506,$AA$3:AA506,"*",$AC$3:AC506,"*")</f>
        <v>14324.400000000001</v>
      </c>
      <c r="BW505" s="87">
        <f>SUMIFS($AU$3:AU506,$AB$3:AB506,"*",$AC$3:AC506,"*")</f>
        <v>4639.9999999999982</v>
      </c>
      <c r="BX505" s="87">
        <f>SUMIFS($AV$3:AV506,$Q$3:Q506,"F")</f>
        <v>240.63675319849233</v>
      </c>
      <c r="BY505" s="87">
        <f>SUMIFS($AV$3:AV506,$Q$3:Q506,"S")</f>
        <v>488.81638392253404</v>
      </c>
      <c r="BZ505" s="87">
        <f>SUMIFS($AV$3:AV506,$Q$3:Q506,"O")</f>
        <v>897.63999999983673</v>
      </c>
    </row>
    <row r="506" spans="1:78" ht="15.75" customHeight="1">
      <c r="A506" s="45" t="s">
        <v>1310</v>
      </c>
      <c r="B506" s="59"/>
      <c r="C506" s="46"/>
      <c r="D506" s="46"/>
      <c r="E506" s="66" t="s">
        <v>1731</v>
      </c>
      <c r="F506" s="47" t="s">
        <v>1732</v>
      </c>
      <c r="G506" s="48"/>
      <c r="H506" s="49">
        <v>1</v>
      </c>
      <c r="I506" s="49"/>
      <c r="J506" s="49"/>
      <c r="K506" s="50" t="s">
        <v>142</v>
      </c>
      <c r="L506" s="49"/>
      <c r="M506" s="49"/>
      <c r="N506" s="49"/>
      <c r="O506" s="50"/>
      <c r="P506" s="50"/>
      <c r="Q506" s="50"/>
      <c r="R506" s="50"/>
      <c r="S506" s="50"/>
      <c r="T506" s="50"/>
      <c r="U506" s="50"/>
      <c r="V506" s="50"/>
      <c r="W506" s="50"/>
      <c r="X506" s="50"/>
      <c r="Y506" s="50"/>
      <c r="Z506" s="50"/>
      <c r="AA506" s="52"/>
      <c r="AB506" s="52"/>
      <c r="AC506" s="52"/>
      <c r="AD506" s="231"/>
      <c r="AE506" s="49"/>
      <c r="AF506" s="84"/>
      <c r="AG506" s="49"/>
      <c r="AH506" s="49"/>
      <c r="AI506" s="49"/>
      <c r="AJ506" s="226"/>
      <c r="AK506" s="49"/>
      <c r="AL506" s="113">
        <f t="shared" si="223"/>
        <v>0</v>
      </c>
      <c r="AM506" s="113">
        <f t="shared" si="211"/>
        <v>0</v>
      </c>
      <c r="AN506" s="218"/>
      <c r="AO506" s="49"/>
      <c r="AP506" s="49"/>
      <c r="AQ506" s="84" t="str">
        <f>UPPER(RIGHT(Journal_Live[[#This Row],[DURATION ]]))</f>
        <v/>
      </c>
      <c r="AR506" s="49"/>
      <c r="AS506" s="55"/>
      <c r="AT506" s="55"/>
      <c r="AU506" s="54"/>
      <c r="AV506" s="56"/>
      <c r="AW506" s="57"/>
      <c r="AX506" s="153"/>
      <c r="AY506" s="153"/>
      <c r="AZ506" s="153"/>
      <c r="BA506" s="153"/>
      <c r="BB506" s="153"/>
      <c r="BC506" s="153"/>
      <c r="BD506" s="151"/>
      <c r="BE506" s="152"/>
      <c r="BF506" s="151"/>
      <c r="BG506" s="94">
        <f>SUM($AV$4:AV506)</f>
        <v>3875.0931371208685</v>
      </c>
      <c r="BH506" s="95">
        <f>SUM($AU$4:AU506)</f>
        <v>31765.979999999618</v>
      </c>
      <c r="BI506" s="80">
        <f>SUMIFS($AU$3:AU507,$Q$3:Q507,"F")</f>
        <v>17627.257142857143</v>
      </c>
      <c r="BJ506" s="80">
        <f>SUMIFS($AU$3:AU507,$Q$3:Q507,"S")</f>
        <v>11439.999999999996</v>
      </c>
      <c r="BK506" s="87">
        <f>SUMIFS($AU$3:AU507,$P$3:P507,"W")</f>
        <v>22116.437142857485</v>
      </c>
      <c r="BL506" s="87">
        <f>SUMIFS($AU$3:AU507,$P$3:P507,"R")</f>
        <v>9497.9999999998618</v>
      </c>
      <c r="BM506" s="87">
        <f>SUMIFS($AU$3:AU507,$AQ$3:AQ507,"M")</f>
        <v>9254.3799999993262</v>
      </c>
      <c r="BN506" s="87">
        <f>SUMIFS($AU$3:AU507,$AQ$3:AQ507,"H")</f>
        <v>7059.2000000002827</v>
      </c>
      <c r="BO506" s="87">
        <f>SUMIFS($AU$3:AU507,$AQ$3:AQ507,"D")</f>
        <v>6332.8571428571395</v>
      </c>
      <c r="BP506" s="87">
        <f>SUMIFS($AS$3:AS1267,$AO$3:AO1267,"W")</f>
        <v>0</v>
      </c>
      <c r="BQ506" s="87">
        <f>SUMIFS($AU$3:AU507,$Q$3:Q507,"O")</f>
        <v>3253.5799999996261</v>
      </c>
      <c r="BR506" s="87">
        <f>SUMIFS($AU$3:AU507,$AA$3:AA507,"*")</f>
        <v>30526.799999999505</v>
      </c>
      <c r="BS506" s="87">
        <f>SUMIFS($AU$3:AU507,$AB$3:AB507,"*")</f>
        <v>9655.1799999999312</v>
      </c>
      <c r="BT506" s="87">
        <f>SUMIFS($AU$3:AU507,$AC$3:AC507,"*")</f>
        <v>15307.257142857139</v>
      </c>
      <c r="BU506" s="87">
        <f>SUMIFS($AU$3:AU507,$AA$3:AA507,"*",$AB$3:AB507,"*")</f>
        <v>5759.9999999998217</v>
      </c>
      <c r="BV506" s="87">
        <f>SUMIFS($AU$3:AU507,$AA$3:AA507,"*",$AC$3:AC507,"*")</f>
        <v>14324.400000000001</v>
      </c>
      <c r="BW506" s="87">
        <f>SUMIFS($AU$3:AU507,$AB$3:AB507,"*",$AC$3:AC507,"*")</f>
        <v>4639.9999999999982</v>
      </c>
      <c r="BX506" s="87">
        <f>SUMIFS($AV$3:AV507,$Q$3:Q507,"F")</f>
        <v>292.42896099070009</v>
      </c>
      <c r="BY506" s="87">
        <f>SUMIFS($AV$3:AV507,$Q$3:Q507,"S")</f>
        <v>488.81638392253404</v>
      </c>
      <c r="BZ506" s="87">
        <f>SUMIFS($AV$3:AV507,$Q$3:Q507,"O")</f>
        <v>897.63999999983673</v>
      </c>
    </row>
    <row r="507" spans="1:78" ht="15.75" customHeight="1">
      <c r="A507" s="45" t="s">
        <v>1310</v>
      </c>
      <c r="B507" s="59">
        <v>45407</v>
      </c>
      <c r="C507" s="46" t="s">
        <v>147</v>
      </c>
      <c r="D507" s="46" t="s">
        <v>107</v>
      </c>
      <c r="E507" s="66"/>
      <c r="F507" s="47"/>
      <c r="G507" s="110" t="s">
        <v>804</v>
      </c>
      <c r="H507" s="49"/>
      <c r="I507" s="49"/>
      <c r="J507" s="49"/>
      <c r="K507" s="50"/>
      <c r="L507" s="49">
        <v>3</v>
      </c>
      <c r="M507" s="49">
        <v>3</v>
      </c>
      <c r="N507" s="49"/>
      <c r="O507" s="50" t="s">
        <v>100</v>
      </c>
      <c r="P507" s="50" t="s">
        <v>101</v>
      </c>
      <c r="Q507" s="50" t="s">
        <v>127</v>
      </c>
      <c r="R507" s="50">
        <v>44</v>
      </c>
      <c r="S507" s="161">
        <v>44</v>
      </c>
      <c r="T507" s="50">
        <v>75</v>
      </c>
      <c r="U507" s="50" t="s">
        <v>102</v>
      </c>
      <c r="V507" s="50"/>
      <c r="W507" s="50"/>
      <c r="X507" s="50"/>
      <c r="Y507" s="51">
        <f>IF(ISBLANK(O507),"",(IF(O507=UPPER("IB"),0.005,0.01)))</f>
        <v>0.01</v>
      </c>
      <c r="Z507" s="52">
        <f>IF(ISBLANK(O507),"",IF(O507="IB",8.63*200,IF(O507="IR",16*100,IF(O507="YT",20*100,IF(O507="YT-XT",24*200,IF(O507="TED",80*100,IF(O507="XT",29*200)))))))</f>
        <v>1600</v>
      </c>
      <c r="AA507" s="52"/>
      <c r="AB507" s="52"/>
      <c r="AC507" s="52" t="s">
        <v>1733</v>
      </c>
      <c r="AD507" s="231">
        <f>(0.1*75+0.09*30)/105</f>
        <v>9.7142857142857142E-2</v>
      </c>
      <c r="AE507" s="49"/>
      <c r="AF507" s="84"/>
      <c r="AG507" s="49"/>
      <c r="AH507" s="49"/>
      <c r="AI507" s="49"/>
      <c r="AJ507" s="226"/>
      <c r="AK507" s="49"/>
      <c r="AL507" s="113">
        <f t="shared" si="223"/>
        <v>-32</v>
      </c>
      <c r="AM507" s="113">
        <f t="shared" ref="AM507:AM538" si="224">AL507*(R507-S507)</f>
        <v>0</v>
      </c>
      <c r="AN507" s="218"/>
      <c r="AO507" s="49"/>
      <c r="AP507" s="49" t="s">
        <v>1369</v>
      </c>
      <c r="AQ507" s="84" t="s">
        <v>155</v>
      </c>
      <c r="AR507" s="49"/>
      <c r="AS507" s="55">
        <f>((0.08*5)+(0.07*25)+(0.05*14))/44</f>
        <v>6.4772727272727287E-2</v>
      </c>
      <c r="AT507" s="55">
        <f>IF(ISBLANK(AS507),,IF(U507="S",AD507-AS507,AS507-AD507))</f>
        <v>3.2370129870129855E-2</v>
      </c>
      <c r="AU507" s="54">
        <f>AV507*R507</f>
        <v>2278.8571428571418</v>
      </c>
      <c r="AV507" s="56">
        <f t="shared" si="219"/>
        <v>51.792207792207769</v>
      </c>
      <c r="AW507" s="57" t="s">
        <v>101</v>
      </c>
      <c r="AX507" s="153" t="s">
        <v>1734</v>
      </c>
      <c r="AY507" s="153" t="s">
        <v>1735</v>
      </c>
      <c r="AZ507" s="153" t="s">
        <v>1736</v>
      </c>
      <c r="BA507" s="153" t="s">
        <v>1737</v>
      </c>
      <c r="BB507" s="153"/>
      <c r="BC507" s="153"/>
      <c r="BD507" s="151"/>
      <c r="BE507" s="152"/>
      <c r="BF507" s="151"/>
      <c r="BG507" s="94">
        <f>SUM($AV$4:AV507)</f>
        <v>3926.8853449130761</v>
      </c>
      <c r="BH507" s="95">
        <f>SUM($AU$4:AU507)</f>
        <v>34044.837142856763</v>
      </c>
      <c r="BI507" s="80">
        <f>SUMIFS($AU$3:AU508,$Q$3:Q508,"F")</f>
        <v>18827.257142857143</v>
      </c>
      <c r="BJ507" s="80">
        <f>SUMIFS($AU$3:AU508,$Q$3:Q508,"S")</f>
        <v>11439.999999999996</v>
      </c>
      <c r="BK507" s="87">
        <f>SUMIFS($AU$3:AU508,$P$3:P508,"W")</f>
        <v>23316.437142857485</v>
      </c>
      <c r="BL507" s="87">
        <f>SUMIFS($AU$3:AU508,$P$3:P508,"R")</f>
        <v>9497.9999999998618</v>
      </c>
      <c r="BM507" s="87">
        <f>SUMIFS($AU$3:AU508,$AQ$3:AQ508,"M")</f>
        <v>9254.3799999993262</v>
      </c>
      <c r="BN507" s="87">
        <f>SUMIFS($AU$3:AU508,$AQ$3:AQ508,"H")</f>
        <v>7059.2000000002827</v>
      </c>
      <c r="BO507" s="87">
        <f>SUMIFS($AU$3:AU508,$AQ$3:AQ508,"D")</f>
        <v>7532.8571428571395</v>
      </c>
      <c r="BP507" s="87">
        <f>SUMIFS($AS$3:AS1268,$AO$3:AO1268,"W")</f>
        <v>0</v>
      </c>
      <c r="BQ507" s="87">
        <f>SUMIFS($AU$3:AU508,$Q$3:Q508,"O")</f>
        <v>3253.5799999996261</v>
      </c>
      <c r="BR507" s="87">
        <f>SUMIFS($AU$3:AU508,$AA$3:AA508,"*")</f>
        <v>30526.799999999505</v>
      </c>
      <c r="BS507" s="87">
        <f>SUMIFS($AU$3:AU508,$AB$3:AB508,"*")</f>
        <v>10855.179999999931</v>
      </c>
      <c r="BT507" s="87">
        <f>SUMIFS($AU$3:AU508,$AC$3:AC508,"*")</f>
        <v>16507.257142857139</v>
      </c>
      <c r="BU507" s="87">
        <f>SUMIFS($AU$3:AU508,$AA$3:AA508,"*",$AB$3:AB508,"*")</f>
        <v>5759.9999999998217</v>
      </c>
      <c r="BV507" s="87">
        <f>SUMIFS($AU$3:AU508,$AA$3:AA508,"*",$AC$3:AC508,"*")</f>
        <v>14324.400000000001</v>
      </c>
      <c r="BW507" s="87">
        <f>SUMIFS($AU$3:AU508,$AB$3:AB508,"*",$AC$3:AC508,"*")</f>
        <v>5839.9999999999982</v>
      </c>
      <c r="BX507" s="87">
        <f>SUMIFS($AV$3:AV508,$Q$3:Q508,"F")</f>
        <v>332.42896099070009</v>
      </c>
      <c r="BY507" s="87">
        <f>SUMIFS($AV$3:AV508,$Q$3:Q508,"S")</f>
        <v>488.81638392253404</v>
      </c>
      <c r="BZ507" s="87">
        <f>SUMIFS($AV$3:AV508,$Q$3:Q508,"O")</f>
        <v>897.63999999983673</v>
      </c>
    </row>
    <row r="508" spans="1:78" ht="15.75" customHeight="1">
      <c r="A508" s="45" t="s">
        <v>1310</v>
      </c>
      <c r="B508" s="59">
        <v>45407</v>
      </c>
      <c r="C508" s="46" t="s">
        <v>147</v>
      </c>
      <c r="D508" s="46" t="s">
        <v>107</v>
      </c>
      <c r="E508" s="66"/>
      <c r="F508" s="47"/>
      <c r="G508" s="110" t="s">
        <v>527</v>
      </c>
      <c r="H508" s="49"/>
      <c r="I508" s="49"/>
      <c r="J508" s="49"/>
      <c r="K508" s="50"/>
      <c r="L508" s="49">
        <v>3</v>
      </c>
      <c r="M508" s="49">
        <v>3</v>
      </c>
      <c r="N508" s="49"/>
      <c r="O508" s="50" t="s">
        <v>100</v>
      </c>
      <c r="P508" s="50" t="s">
        <v>101</v>
      </c>
      <c r="Q508" s="50" t="s">
        <v>127</v>
      </c>
      <c r="R508" s="50">
        <v>30</v>
      </c>
      <c r="S508" s="161">
        <v>20</v>
      </c>
      <c r="T508" s="50">
        <v>70</v>
      </c>
      <c r="U508" s="50" t="s">
        <v>22</v>
      </c>
      <c r="V508" s="50"/>
      <c r="W508" s="50"/>
      <c r="X508" s="50"/>
      <c r="Y508" s="51">
        <f>IF(ISBLANK(O508),"",(IF(O508=UPPER("IB"),0.005,0.01)))</f>
        <v>0.01</v>
      </c>
      <c r="Z508" s="52">
        <f>IF(ISBLANK(O508),"",IF(O508="IB",8.63*200,IF(O508="IR",16*100,IF(O508="YT",20*100,IF(O508="YT-XT",24*200,IF(O508="TED",80*100,IF(O508="XT",29*200)))))))</f>
        <v>1600</v>
      </c>
      <c r="AA508" s="52"/>
      <c r="AB508" s="52" t="s">
        <v>1738</v>
      </c>
      <c r="AC508" s="52" t="s">
        <v>1739</v>
      </c>
      <c r="AD508" s="231">
        <v>0.03</v>
      </c>
      <c r="AE508" s="49"/>
      <c r="AF508" s="84"/>
      <c r="AG508" s="49"/>
      <c r="AH508" s="49"/>
      <c r="AI508" s="49"/>
      <c r="AJ508" s="226"/>
      <c r="AK508" s="49"/>
      <c r="AL508" s="113">
        <f t="shared" si="212"/>
        <v>-32</v>
      </c>
      <c r="AM508" s="113">
        <f t="shared" si="224"/>
        <v>-320</v>
      </c>
      <c r="AN508" s="218"/>
      <c r="AO508" s="49"/>
      <c r="AP508" s="49"/>
      <c r="AQ508" s="84" t="s">
        <v>155</v>
      </c>
      <c r="AR508" s="49"/>
      <c r="AS508" s="55">
        <f>(0.05*5+0.06*15+0.05*10)/30</f>
        <v>5.5E-2</v>
      </c>
      <c r="AT508" s="55">
        <f>IF(ISBLANK(AS508),,IF(U508="S",AD508-AS508,AS508-AD508))</f>
        <v>2.5000000000000001E-2</v>
      </c>
      <c r="AU508" s="54">
        <f>AV508*R508</f>
        <v>1200</v>
      </c>
      <c r="AV508" s="56">
        <f t="shared" ref="AV508" si="225">IF(ISBLANK(AS508),,(AT508*Z508))</f>
        <v>40</v>
      </c>
      <c r="AW508" s="57" t="s">
        <v>101</v>
      </c>
      <c r="AX508" s="153" t="s">
        <v>1740</v>
      </c>
      <c r="AY508" s="153" t="s">
        <v>1741</v>
      </c>
      <c r="AZ508" s="153" t="s">
        <v>1742</v>
      </c>
      <c r="BA508" s="153" t="s">
        <v>1743</v>
      </c>
      <c r="BB508" s="153" t="s">
        <v>1744</v>
      </c>
      <c r="BC508" s="153" t="s">
        <v>1745</v>
      </c>
      <c r="BD508" s="151"/>
      <c r="BE508" s="152"/>
      <c r="BF508" s="151"/>
      <c r="BG508" s="94">
        <f>SUM($AV$4:AV508)</f>
        <v>3966.8853449130761</v>
      </c>
      <c r="BH508" s="95">
        <f>SUM($AU$4:AU508)</f>
        <v>35244.837142856763</v>
      </c>
      <c r="BI508" s="80">
        <f>SUMIFS($AU$3:AU509,$Q$3:Q509,"F")</f>
        <v>18827.257142857143</v>
      </c>
      <c r="BJ508" s="80">
        <f>SUMIFS($AU$3:AU509,$Q$3:Q509,"S")</f>
        <v>11439.999999999996</v>
      </c>
      <c r="BK508" s="87">
        <f>SUMIFS($AU$3:AU509,$P$3:P509,"W")</f>
        <v>23316.437142857485</v>
      </c>
      <c r="BL508" s="87">
        <f>SUMIFS($AU$3:AU509,$P$3:P509,"R")</f>
        <v>9497.9999999998618</v>
      </c>
      <c r="BM508" s="87">
        <f>SUMIFS($AU$3:AU509,$AQ$3:AQ509,"M")</f>
        <v>9254.3799999993262</v>
      </c>
      <c r="BN508" s="87">
        <f>SUMIFS($AU$3:AU509,$AQ$3:AQ509,"H")</f>
        <v>7059.2000000002827</v>
      </c>
      <c r="BO508" s="87">
        <f>SUMIFS($AU$3:AU509,$AQ$3:AQ509,"D")</f>
        <v>7532.8571428571395</v>
      </c>
      <c r="BP508" s="87">
        <f>SUMIFS($AS$3:AS1269,$AO$3:AO1269,"W")</f>
        <v>0</v>
      </c>
      <c r="BQ508" s="87">
        <f>SUMIFS($AU$3:AU509,$Q$3:Q509,"O")</f>
        <v>3253.5799999996261</v>
      </c>
      <c r="BR508" s="87">
        <f>SUMIFS($AU$3:AU509,$AA$3:AA509,"*")</f>
        <v>30526.799999999505</v>
      </c>
      <c r="BS508" s="87">
        <f>SUMIFS($AU$3:AU509,$AB$3:AB509,"*")</f>
        <v>10855.179999999931</v>
      </c>
      <c r="BT508" s="87">
        <f>SUMIFS($AU$3:AU509,$AC$3:AC509,"*")</f>
        <v>16507.257142857139</v>
      </c>
      <c r="BU508" s="87">
        <f>SUMIFS($AU$3:AU509,$AA$3:AA509,"*",$AB$3:AB509,"*")</f>
        <v>5759.9999999998217</v>
      </c>
      <c r="BV508" s="87">
        <f>SUMIFS($AU$3:AU509,$AA$3:AA509,"*",$AC$3:AC509,"*")</f>
        <v>14324.400000000001</v>
      </c>
      <c r="BW508" s="87">
        <f>SUMIFS($AU$3:AU509,$AB$3:AB509,"*",$AC$3:AC509,"*")</f>
        <v>5839.9999999999982</v>
      </c>
      <c r="BX508" s="87">
        <f>SUMIFS($AV$3:AV509,$Q$3:Q509,"F")</f>
        <v>332.42896099070009</v>
      </c>
      <c r="BY508" s="87">
        <f>SUMIFS($AV$3:AV509,$Q$3:Q509,"S")</f>
        <v>488.81638392253404</v>
      </c>
      <c r="BZ508" s="87">
        <f>SUMIFS($AV$3:AV509,$Q$3:Q509,"O")</f>
        <v>897.63999999983673</v>
      </c>
    </row>
    <row r="509" spans="1:78" ht="15.75" customHeight="1">
      <c r="A509" s="45" t="s">
        <v>1310</v>
      </c>
      <c r="B509" s="59">
        <v>45407</v>
      </c>
      <c r="C509" s="46" t="s">
        <v>1143</v>
      </c>
      <c r="D509" s="46" t="s">
        <v>107</v>
      </c>
      <c r="E509" s="66" t="s">
        <v>1746</v>
      </c>
      <c r="F509" s="47"/>
      <c r="G509" s="48"/>
      <c r="H509" s="49">
        <v>1</v>
      </c>
      <c r="I509" s="49"/>
      <c r="J509" s="49"/>
      <c r="K509" s="50" t="s">
        <v>142</v>
      </c>
      <c r="L509" s="49"/>
      <c r="M509" s="49"/>
      <c r="N509" s="49"/>
      <c r="O509" s="50"/>
      <c r="P509" s="50"/>
      <c r="Q509" s="50"/>
      <c r="R509" s="50"/>
      <c r="S509" s="50"/>
      <c r="T509" s="50"/>
      <c r="U509" s="50"/>
      <c r="V509" s="50"/>
      <c r="W509" s="50"/>
      <c r="X509" s="50"/>
      <c r="Y509" s="50"/>
      <c r="Z509" s="50"/>
      <c r="AA509" s="52"/>
      <c r="AB509" s="52"/>
      <c r="AC509" s="52"/>
      <c r="AD509" s="231"/>
      <c r="AE509" s="49"/>
      <c r="AF509" s="84"/>
      <c r="AG509" s="49"/>
      <c r="AH509" s="49"/>
      <c r="AI509" s="49"/>
      <c r="AJ509" s="226"/>
      <c r="AK509" s="49"/>
      <c r="AL509" s="113">
        <f t="shared" si="212"/>
        <v>0</v>
      </c>
      <c r="AM509" s="113">
        <f t="shared" si="224"/>
        <v>0</v>
      </c>
      <c r="AN509" s="218"/>
      <c r="AO509" s="49"/>
      <c r="AP509" s="49"/>
      <c r="AQ509" s="84" t="str">
        <f>UPPER(RIGHT(Journal_Live[[#This Row],[DURATION ]]))</f>
        <v/>
      </c>
      <c r="AR509" s="49"/>
      <c r="AS509" s="55"/>
      <c r="AT509" s="55"/>
      <c r="AU509" s="54"/>
      <c r="AV509" s="56"/>
      <c r="AW509" s="57"/>
      <c r="AX509" s="153"/>
      <c r="AY509" s="153"/>
      <c r="AZ509" s="153"/>
      <c r="BA509" s="153"/>
      <c r="BB509" s="153"/>
      <c r="BC509" s="153"/>
      <c r="BD509" s="151"/>
      <c r="BE509" s="152"/>
      <c r="BF509" s="151"/>
      <c r="BG509" s="94">
        <f>SUM($AV$4:AV509)</f>
        <v>3966.8853449130761</v>
      </c>
      <c r="BH509" s="95">
        <f>SUM($AU$4:AU509)</f>
        <v>35244.837142856763</v>
      </c>
      <c r="BI509" s="80">
        <f>SUMIFS($AU$3:AU510,$Q$3:Q510,"F")</f>
        <v>18827.257142857143</v>
      </c>
      <c r="BJ509" s="80">
        <f>SUMIFS($AU$3:AU510,$Q$3:Q510,"S")</f>
        <v>11759.999999999996</v>
      </c>
      <c r="BK509" s="87">
        <f>SUMIFS($AU$3:AU510,$P$3:P510,"W")</f>
        <v>23636.437142857485</v>
      </c>
      <c r="BL509" s="87">
        <f>SUMIFS($AU$3:AU510,$P$3:P510,"R")</f>
        <v>9497.9999999998618</v>
      </c>
      <c r="BM509" s="87">
        <f>SUMIFS($AU$3:AU510,$AQ$3:AQ510,"M")</f>
        <v>9254.3799999993262</v>
      </c>
      <c r="BN509" s="87">
        <f>SUMIFS($AU$3:AU510,$AQ$3:AQ510,"H")</f>
        <v>7379.2000000002827</v>
      </c>
      <c r="BO509" s="87">
        <f>SUMIFS($AU$3:AU510,$AQ$3:AQ510,"D")</f>
        <v>7532.8571428571395</v>
      </c>
      <c r="BP509" s="87">
        <f>SUMIFS($AS$3:AS1270,$AO$3:AO1270,"W")</f>
        <v>0</v>
      </c>
      <c r="BQ509" s="87">
        <f>SUMIFS($AU$3:AU510,$Q$3:Q510,"O")</f>
        <v>3253.5799999996261</v>
      </c>
      <c r="BR509" s="87">
        <f>SUMIFS($AU$3:AU510,$AA$3:AA510,"*")</f>
        <v>30846.799999999505</v>
      </c>
      <c r="BS509" s="87">
        <f>SUMIFS($AU$3:AU510,$AB$3:AB510,"*")</f>
        <v>10855.179999999931</v>
      </c>
      <c r="BT509" s="87">
        <f>SUMIFS($AU$3:AU510,$AC$3:AC510,"*")</f>
        <v>16507.257142857139</v>
      </c>
      <c r="BU509" s="87">
        <f>SUMIFS($AU$3:AU510,$AA$3:AA510,"*",$AB$3:AB510,"*")</f>
        <v>5759.9999999998217</v>
      </c>
      <c r="BV509" s="87">
        <f>SUMIFS($AU$3:AU510,$AA$3:AA510,"*",$AC$3:AC510,"*")</f>
        <v>14324.400000000001</v>
      </c>
      <c r="BW509" s="87">
        <f>SUMIFS($AU$3:AU510,$AB$3:AB510,"*",$AC$3:AC510,"*")</f>
        <v>5839.9999999999982</v>
      </c>
      <c r="BX509" s="87">
        <f>SUMIFS($AV$3:AV510,$Q$3:Q510,"F")</f>
        <v>332.42896099070009</v>
      </c>
      <c r="BY509" s="87">
        <f>SUMIFS($AV$3:AV510,$Q$3:Q510,"S")</f>
        <v>504.81638392253404</v>
      </c>
      <c r="BZ509" s="87">
        <f>SUMIFS($AV$3:AV510,$Q$3:Q510,"O")</f>
        <v>897.63999999983673</v>
      </c>
    </row>
    <row r="510" spans="1:78" ht="15.75" customHeight="1">
      <c r="A510" s="45" t="s">
        <v>1310</v>
      </c>
      <c r="B510" s="59">
        <v>45407</v>
      </c>
      <c r="C510" s="46" t="s">
        <v>147</v>
      </c>
      <c r="D510" s="46" t="s">
        <v>107</v>
      </c>
      <c r="E510" s="66"/>
      <c r="F510" s="47"/>
      <c r="G510" s="106" t="s">
        <v>276</v>
      </c>
      <c r="H510" s="49"/>
      <c r="I510" s="49"/>
      <c r="J510" s="49"/>
      <c r="K510" s="50"/>
      <c r="L510" s="49">
        <v>2</v>
      </c>
      <c r="M510" s="49">
        <v>2</v>
      </c>
      <c r="N510" s="49"/>
      <c r="O510" s="50" t="s">
        <v>100</v>
      </c>
      <c r="P510" s="50" t="s">
        <v>101</v>
      </c>
      <c r="Q510" s="50" t="s">
        <v>102</v>
      </c>
      <c r="R510" s="50">
        <v>20</v>
      </c>
      <c r="S510" s="161">
        <v>0</v>
      </c>
      <c r="T510" s="50">
        <v>20</v>
      </c>
      <c r="U510" s="50" t="s">
        <v>102</v>
      </c>
      <c r="V510" s="50"/>
      <c r="W510" s="50"/>
      <c r="X510" s="50"/>
      <c r="Y510" s="51">
        <f t="shared" ref="Y510:Y516" si="226">IF(ISBLANK(O510),"",(IF(O510=UPPER("IB"),0.005,0.01)))</f>
        <v>0.01</v>
      </c>
      <c r="Z510" s="52">
        <f>IF(ISBLANK(O510),"",IF(O510="IB",8.63*200,IF(O510="IR",16*100,IF(O510="YT",20*100,IF(O510="YT-XT",24*200,IF(O510="TED",80*100,IF(O510="XT",29*200)))))))</f>
        <v>1600</v>
      </c>
      <c r="AA510" s="52" t="s">
        <v>1747</v>
      </c>
      <c r="AB510" s="52"/>
      <c r="AC510" s="52"/>
      <c r="AD510" s="231">
        <v>-7.0000000000000007E-2</v>
      </c>
      <c r="AE510" s="49"/>
      <c r="AF510" s="84"/>
      <c r="AG510" s="49"/>
      <c r="AH510" s="49"/>
      <c r="AI510" s="49"/>
      <c r="AJ510" s="226"/>
      <c r="AK510" s="49"/>
      <c r="AL510" s="113">
        <f t="shared" si="212"/>
        <v>-32</v>
      </c>
      <c r="AM510" s="113">
        <f t="shared" si="224"/>
        <v>-640</v>
      </c>
      <c r="AN510" s="218"/>
      <c r="AO510" s="49"/>
      <c r="AP510" s="49"/>
      <c r="AQ510" s="84" t="s">
        <v>142</v>
      </c>
      <c r="AR510" s="49"/>
      <c r="AS510" s="55">
        <v>-0.08</v>
      </c>
      <c r="AT510" s="55">
        <f t="shared" ref="AT510:AT516" si="227">IF(ISBLANK(AS510),,IF(U510="S",AD510-AS510,AS510-AD510))</f>
        <v>9.999999999999995E-3</v>
      </c>
      <c r="AU510" s="54">
        <f t="shared" ref="AU510:AU516" si="228">AV510*R510</f>
        <v>319.99999999999989</v>
      </c>
      <c r="AV510" s="56">
        <f t="shared" ref="AV510" si="229">IF(ISBLANK(AS510),,(AT510*Z510))</f>
        <v>15.999999999999993</v>
      </c>
      <c r="AW510" s="57" t="s">
        <v>101</v>
      </c>
      <c r="AX510" s="153"/>
      <c r="AY510" s="153"/>
      <c r="AZ510" s="153"/>
      <c r="BA510" s="153"/>
      <c r="BB510" s="153"/>
      <c r="BC510" s="153"/>
      <c r="BD510" s="151"/>
      <c r="BE510" s="152"/>
      <c r="BF510" s="151"/>
      <c r="BG510" s="94">
        <f>SUM($AV$4:AV510)</f>
        <v>3982.8853449130761</v>
      </c>
      <c r="BH510" s="95">
        <f>SUM($AU$4:AU510)</f>
        <v>35564.837142856763</v>
      </c>
      <c r="BI510" s="80">
        <f>SUMIFS($AU$3:AU511,$Q$3:Q511,"F")</f>
        <v>18827.257142857143</v>
      </c>
      <c r="BJ510" s="80">
        <f>SUMIFS($AU$3:AU511,$Q$3:Q511,"S")</f>
        <v>11759.999999999996</v>
      </c>
      <c r="BK510" s="87">
        <f>SUMIFS($AU$3:AU511,$P$3:P511,"W")</f>
        <v>23636.437142857485</v>
      </c>
      <c r="BL510" s="87">
        <f>SUMIFS($AU$3:AU511,$P$3:P511,"R")</f>
        <v>9497.9999999998618</v>
      </c>
      <c r="BM510" s="87">
        <f>SUMIFS($AU$3:AU511,$AQ$3:AQ511,"M")</f>
        <v>9254.3799999993262</v>
      </c>
      <c r="BN510" s="87">
        <f>SUMIFS($AU$3:AU511,$AQ$3:AQ511,"H")</f>
        <v>7379.2000000002827</v>
      </c>
      <c r="BO510" s="87">
        <f>SUMIFS($AU$3:AU511,$AQ$3:AQ511,"D")</f>
        <v>7532.8571428571395</v>
      </c>
      <c r="BP510" s="87">
        <f>SUMIFS($AS$3:AS1271,$AO$3:AO1271,"W")</f>
        <v>0</v>
      </c>
      <c r="BQ510" s="87">
        <f>SUMIFS($AU$3:AU511,$Q$3:Q511,"O")</f>
        <v>3253.5799999996261</v>
      </c>
      <c r="BR510" s="87">
        <f>SUMIFS($AU$3:AU511,$AA$3:AA511,"*")</f>
        <v>30846.799999999505</v>
      </c>
      <c r="BS510" s="87">
        <f>SUMIFS($AU$3:AU511,$AB$3:AB511,"*")</f>
        <v>10855.179999999931</v>
      </c>
      <c r="BT510" s="87">
        <f>SUMIFS($AU$3:AU511,$AC$3:AC511,"*")</f>
        <v>16507.257142857139</v>
      </c>
      <c r="BU510" s="87">
        <f>SUMIFS($AU$3:AU511,$AA$3:AA511,"*",$AB$3:AB511,"*")</f>
        <v>5759.9999999998217</v>
      </c>
      <c r="BV510" s="87">
        <f>SUMIFS($AU$3:AU511,$AA$3:AA511,"*",$AC$3:AC511,"*")</f>
        <v>14324.400000000001</v>
      </c>
      <c r="BW510" s="87">
        <f>SUMIFS($AU$3:AU511,$AB$3:AB511,"*",$AC$3:AC511,"*")</f>
        <v>5839.9999999999982</v>
      </c>
      <c r="BX510" s="87">
        <f>SUMIFS($AV$3:AV511,$Q$3:Q511,"F")</f>
        <v>332.42896099070009</v>
      </c>
      <c r="BY510" s="87">
        <f>SUMIFS($AV$3:AV511,$Q$3:Q511,"S")</f>
        <v>504.81638392253404</v>
      </c>
      <c r="BZ510" s="87">
        <f>SUMIFS($AV$3:AV511,$Q$3:Q511,"O")</f>
        <v>897.63999999983673</v>
      </c>
    </row>
    <row r="511" spans="1:78" ht="15.75" customHeight="1">
      <c r="A511" s="45" t="s">
        <v>1310</v>
      </c>
      <c r="B511" s="59">
        <v>45408</v>
      </c>
      <c r="C511" s="46" t="s">
        <v>652</v>
      </c>
      <c r="D511" s="46" t="s">
        <v>115</v>
      </c>
      <c r="E511" s="66"/>
      <c r="F511" s="47"/>
      <c r="G511" s="106" t="s">
        <v>111</v>
      </c>
      <c r="H511" s="49"/>
      <c r="I511" s="49"/>
      <c r="J511" s="49"/>
      <c r="K511" s="50"/>
      <c r="L511" s="49"/>
      <c r="M511" s="49">
        <v>2</v>
      </c>
      <c r="N511" s="49"/>
      <c r="O511" s="50" t="s">
        <v>100</v>
      </c>
      <c r="P511" s="50" t="s">
        <v>101</v>
      </c>
      <c r="Q511" s="50" t="s">
        <v>102</v>
      </c>
      <c r="R511" s="50">
        <v>60</v>
      </c>
      <c r="S511" s="161">
        <v>0</v>
      </c>
      <c r="T511" s="50">
        <v>60</v>
      </c>
      <c r="U511" s="50" t="s">
        <v>102</v>
      </c>
      <c r="V511" s="50"/>
      <c r="W511" s="50"/>
      <c r="X511" s="50"/>
      <c r="Y511" s="51">
        <f t="shared" si="226"/>
        <v>0.01</v>
      </c>
      <c r="Z511" s="52">
        <f>IF(ISBLANK(O511),"",IF(O511="IB",8.63*200,IF(O511="IR",16*100,IF(O511="YT",20*100,IF(O511="YT-XT",24*200,IF(O511="TED",80*100,IF(O511="XT",29*200)))))))</f>
        <v>1600</v>
      </c>
      <c r="AA511" s="52" t="s">
        <v>515</v>
      </c>
      <c r="AB511" s="52"/>
      <c r="AC511" s="52"/>
      <c r="AD511" s="231">
        <v>-0.12</v>
      </c>
      <c r="AE511" s="49"/>
      <c r="AF511" s="84"/>
      <c r="AG511" s="49"/>
      <c r="AH511" s="49"/>
      <c r="AI511" s="49"/>
      <c r="AJ511" s="226"/>
      <c r="AK511" s="49"/>
      <c r="AL511" s="113">
        <f t="shared" ref="AL511:AL528" si="230">-0.02*Z511</f>
        <v>-32</v>
      </c>
      <c r="AM511" s="113">
        <f t="shared" si="224"/>
        <v>-1920</v>
      </c>
      <c r="AN511" s="218"/>
      <c r="AO511" s="49"/>
      <c r="AP511" s="49"/>
      <c r="AQ511" s="84" t="str">
        <f>UPPER(RIGHT(Journal_Live[[#This Row],[DURATION ]]))</f>
        <v/>
      </c>
      <c r="AR511" s="49"/>
      <c r="AS511" s="55">
        <v>-0.12</v>
      </c>
      <c r="AT511" s="55">
        <f t="shared" si="227"/>
        <v>0</v>
      </c>
      <c r="AU511" s="54">
        <f t="shared" si="228"/>
        <v>0</v>
      </c>
      <c r="AV511" s="56">
        <f t="shared" ref="AV511" si="231">IF(ISBLANK(AS511),,(AT511*Z511))</f>
        <v>0</v>
      </c>
      <c r="AW511" s="57" t="s">
        <v>155</v>
      </c>
      <c r="AX511" s="153"/>
      <c r="AY511" s="153"/>
      <c r="AZ511" s="153"/>
      <c r="BA511" s="153"/>
      <c r="BB511" s="153"/>
      <c r="BC511" s="153"/>
      <c r="BD511" s="151"/>
      <c r="BE511" s="152"/>
      <c r="BF511" s="151"/>
      <c r="BG511" s="94">
        <f>SUM($AV$4:AV511)</f>
        <v>3982.8853449130761</v>
      </c>
      <c r="BH511" s="95">
        <f>SUM($AU$4:AU511)</f>
        <v>35564.837142856763</v>
      </c>
      <c r="BI511" s="80">
        <f>SUMIFS($AU$3:AU512,$Q$3:Q512,"F")</f>
        <v>18827.257142857143</v>
      </c>
      <c r="BJ511" s="80">
        <f>SUMIFS($AU$3:AU512,$Q$3:Q512,"S")</f>
        <v>11759.999999999996</v>
      </c>
      <c r="BK511" s="87">
        <f>SUMIFS($AU$3:AU512,$P$3:P512,"W")</f>
        <v>23636.437142857485</v>
      </c>
      <c r="BL511" s="87">
        <f>SUMIFS($AU$3:AU512,$P$3:P512,"R")</f>
        <v>9197.9999999998618</v>
      </c>
      <c r="BM511" s="87">
        <f>SUMIFS($AU$3:AU512,$AQ$3:AQ512,"M")</f>
        <v>9254.3799999993262</v>
      </c>
      <c r="BN511" s="87">
        <f>SUMIFS($AU$3:AU512,$AQ$3:AQ512,"H")</f>
        <v>7079.2000000002827</v>
      </c>
      <c r="BO511" s="87">
        <f>SUMIFS($AU$3:AU512,$AQ$3:AQ512,"D")</f>
        <v>7532.8571428571395</v>
      </c>
      <c r="BP511" s="87">
        <f>SUMIFS($AS$3:AS1272,$AO$3:AO1272,"W")</f>
        <v>0</v>
      </c>
      <c r="BQ511" s="87">
        <f>SUMIFS($AU$3:AU512,$Q$3:Q512,"O")</f>
        <v>3253.5799999996261</v>
      </c>
      <c r="BR511" s="87">
        <f>SUMIFS($AU$3:AU512,$AA$3:AA512,"*")</f>
        <v>30546.799999999505</v>
      </c>
      <c r="BS511" s="87">
        <f>SUMIFS($AU$3:AU512,$AB$3:AB512,"*")</f>
        <v>10855.179999999931</v>
      </c>
      <c r="BT511" s="87">
        <f>SUMIFS($AU$3:AU512,$AC$3:AC512,"*")</f>
        <v>16507.257142857139</v>
      </c>
      <c r="BU511" s="87">
        <f>SUMIFS($AU$3:AU512,$AA$3:AA512,"*",$AB$3:AB512,"*")</f>
        <v>5759.9999999998217</v>
      </c>
      <c r="BV511" s="87">
        <f>SUMIFS($AU$3:AU512,$AA$3:AA512,"*",$AC$3:AC512,"*")</f>
        <v>14324.400000000001</v>
      </c>
      <c r="BW511" s="87">
        <f>SUMIFS($AU$3:AU512,$AB$3:AB512,"*",$AC$3:AC512,"*")</f>
        <v>5839.9999999999982</v>
      </c>
      <c r="BX511" s="87">
        <f>SUMIFS($AV$3:AV512,$Q$3:Q512,"F")</f>
        <v>332.42896099070009</v>
      </c>
      <c r="BY511" s="87">
        <f>SUMIFS($AV$3:AV512,$Q$3:Q512,"S")</f>
        <v>504.81638392253404</v>
      </c>
      <c r="BZ511" s="87">
        <f>SUMIFS($AV$3:AV512,$Q$3:Q512,"O")</f>
        <v>897.63999999983673</v>
      </c>
    </row>
    <row r="512" spans="1:78" ht="15.75" customHeight="1">
      <c r="A512" s="45" t="s">
        <v>1310</v>
      </c>
      <c r="B512" s="59">
        <v>45408</v>
      </c>
      <c r="C512" s="46" t="s">
        <v>652</v>
      </c>
      <c r="D512" s="46" t="s">
        <v>115</v>
      </c>
      <c r="E512" s="66"/>
      <c r="F512" s="47"/>
      <c r="G512" s="163" t="s">
        <v>1748</v>
      </c>
      <c r="H512" s="49"/>
      <c r="I512" s="49"/>
      <c r="J512" s="49"/>
      <c r="K512" s="50"/>
      <c r="L512" s="49"/>
      <c r="M512" s="49">
        <v>1</v>
      </c>
      <c r="N512" s="49"/>
      <c r="O512" s="50" t="s">
        <v>740</v>
      </c>
      <c r="P512" s="50" t="s">
        <v>126</v>
      </c>
      <c r="Q512" s="50"/>
      <c r="R512" s="50">
        <v>1</v>
      </c>
      <c r="S512" s="50">
        <v>0</v>
      </c>
      <c r="T512" s="50">
        <v>1</v>
      </c>
      <c r="U512" s="50" t="s">
        <v>22</v>
      </c>
      <c r="V512" s="50"/>
      <c r="W512" s="50"/>
      <c r="X512" s="50"/>
      <c r="Y512" s="51">
        <f t="shared" si="226"/>
        <v>0.01</v>
      </c>
      <c r="Z512" s="52">
        <f>IF(ISBLANK(O512),"",IF(O512="IB",8.63*200,IF(O512="IR",16*100,IF(O512="YT",20*100,IF(O512="YT-XT",24*200,IF(O512="TED",80*100,IF(O512="IR|YT",300*100)))))))</f>
        <v>30000</v>
      </c>
      <c r="AA512" s="52" t="s">
        <v>177</v>
      </c>
      <c r="AB512" s="52"/>
      <c r="AC512" s="52"/>
      <c r="AD512" s="231">
        <v>-0.32</v>
      </c>
      <c r="AE512" s="49"/>
      <c r="AF512" s="84"/>
      <c r="AG512" s="49"/>
      <c r="AH512" s="49"/>
      <c r="AI512" s="49"/>
      <c r="AJ512" s="226"/>
      <c r="AK512" s="49"/>
      <c r="AL512" s="113">
        <f t="shared" si="230"/>
        <v>-600</v>
      </c>
      <c r="AM512" s="113">
        <f t="shared" si="224"/>
        <v>-600</v>
      </c>
      <c r="AN512" s="218"/>
      <c r="AO512" s="49"/>
      <c r="AP512" s="49"/>
      <c r="AQ512" s="84" t="s">
        <v>142</v>
      </c>
      <c r="AR512" s="49"/>
      <c r="AS512" s="55">
        <v>-0.33</v>
      </c>
      <c r="AT512" s="55">
        <f t="shared" si="227"/>
        <v>-1.0000000000000009E-2</v>
      </c>
      <c r="AU512" s="54">
        <f t="shared" si="228"/>
        <v>-300.00000000000028</v>
      </c>
      <c r="AV512" s="56">
        <f t="shared" ref="AV512:AV514" si="232">IF(ISBLANK(AS512),,(AT512*Z512))</f>
        <v>-300.00000000000028</v>
      </c>
      <c r="AW512" s="57" t="s">
        <v>121</v>
      </c>
      <c r="AX512" s="153" t="s">
        <v>1749</v>
      </c>
      <c r="AY512" s="153" t="s">
        <v>1750</v>
      </c>
      <c r="AZ512" s="153"/>
      <c r="BA512" s="153"/>
      <c r="BB512" s="153"/>
      <c r="BC512" s="153"/>
      <c r="BD512" s="151"/>
      <c r="BE512" s="152"/>
      <c r="BF512" s="151"/>
      <c r="BG512" s="94">
        <f>SUM($AV$4:AV512)</f>
        <v>3682.8853449130756</v>
      </c>
      <c r="BH512" s="95">
        <f>SUM($AU$4:AU512)</f>
        <v>35264.837142856763</v>
      </c>
      <c r="BI512" s="80">
        <f>SUMIFS($AU$3:AU513,$Q$3:Q513,"F")</f>
        <v>18827.257142857143</v>
      </c>
      <c r="BJ512" s="80">
        <f>SUMIFS($AU$3:AU513,$Q$3:Q513,"S")</f>
        <v>11759.999999999996</v>
      </c>
      <c r="BK512" s="87">
        <f>SUMIFS($AU$3:AU513,$P$3:P513,"W")</f>
        <v>23636.437142857485</v>
      </c>
      <c r="BL512" s="87">
        <f>SUMIFS($AU$3:AU513,$P$3:P513,"R")</f>
        <v>9197.9999999998618</v>
      </c>
      <c r="BM512" s="87">
        <f>SUMIFS($AU$3:AU513,$AQ$3:AQ513,"M")</f>
        <v>9254.3799999993262</v>
      </c>
      <c r="BN512" s="87">
        <f>SUMIFS($AU$3:AU513,$AQ$3:AQ513,"H")</f>
        <v>7079.2000000002827</v>
      </c>
      <c r="BO512" s="87">
        <f>SUMIFS($AU$3:AU513,$AQ$3:AQ513,"D")</f>
        <v>7532.8571428571395</v>
      </c>
      <c r="BP512" s="87">
        <f>SUMIFS($AS$3:AS1273,$AO$3:AO1273,"W")</f>
        <v>0</v>
      </c>
      <c r="BQ512" s="87">
        <f>SUMIFS($AU$3:AU513,$Q$3:Q513,"O")</f>
        <v>3253.5799999996261</v>
      </c>
      <c r="BR512" s="87">
        <f>SUMIFS($AU$3:AU513,$AA$3:AA513,"*")</f>
        <v>30546.799999999505</v>
      </c>
      <c r="BS512" s="87">
        <f>SUMIFS($AU$3:AU513,$AB$3:AB513,"*")</f>
        <v>10855.179999999931</v>
      </c>
      <c r="BT512" s="87">
        <f>SUMIFS($AU$3:AU513,$AC$3:AC513,"*")</f>
        <v>16507.257142857139</v>
      </c>
      <c r="BU512" s="87">
        <f>SUMIFS($AU$3:AU513,$AA$3:AA513,"*",$AB$3:AB513,"*")</f>
        <v>5759.9999999998217</v>
      </c>
      <c r="BV512" s="87">
        <f>SUMIFS($AU$3:AU513,$AA$3:AA513,"*",$AC$3:AC513,"*")</f>
        <v>14324.400000000001</v>
      </c>
      <c r="BW512" s="87">
        <f>SUMIFS($AU$3:AU513,$AB$3:AB513,"*",$AC$3:AC513,"*")</f>
        <v>5839.9999999999982</v>
      </c>
      <c r="BX512" s="87">
        <f>SUMIFS($AV$3:AV513,$Q$3:Q513,"F")</f>
        <v>332.42896099070009</v>
      </c>
      <c r="BY512" s="87">
        <f>SUMIFS($AV$3:AV513,$Q$3:Q513,"S")</f>
        <v>504.81638392253404</v>
      </c>
      <c r="BZ512" s="87">
        <f>SUMIFS($AV$3:AV513,$Q$3:Q513,"O")</f>
        <v>897.63999999983673</v>
      </c>
    </row>
    <row r="513" spans="1:78" ht="15.75" customHeight="1">
      <c r="A513" s="45" t="s">
        <v>1310</v>
      </c>
      <c r="B513" s="59">
        <v>45408</v>
      </c>
      <c r="C513" s="46" t="s">
        <v>652</v>
      </c>
      <c r="D513" s="46" t="s">
        <v>115</v>
      </c>
      <c r="E513" s="66"/>
      <c r="F513" s="47"/>
      <c r="G513" s="163" t="s">
        <v>1751</v>
      </c>
      <c r="H513" s="49"/>
      <c r="I513" s="49"/>
      <c r="J513" s="49"/>
      <c r="K513" s="50"/>
      <c r="L513" s="49"/>
      <c r="M513" s="49">
        <v>1</v>
      </c>
      <c r="N513" s="49"/>
      <c r="O513" s="50" t="s">
        <v>740</v>
      </c>
      <c r="P513" s="50" t="s">
        <v>126</v>
      </c>
      <c r="Q513" s="50"/>
      <c r="R513" s="50">
        <v>1</v>
      </c>
      <c r="S513" s="50">
        <v>0</v>
      </c>
      <c r="T513" s="50">
        <v>1</v>
      </c>
      <c r="U513" s="50" t="s">
        <v>22</v>
      </c>
      <c r="V513" s="50"/>
      <c r="W513" s="50"/>
      <c r="X513" s="50"/>
      <c r="Y513" s="51">
        <f t="shared" si="226"/>
        <v>0.01</v>
      </c>
      <c r="Z513" s="52">
        <f>IF(ISBLANK(O513),"",IF(O513="IB",8.63*200,IF(O513="IR",16*100,IF(O513="YT",20*100,IF(O513="YT-XT",24*200,IF(O513="TED",80*100,IF(O513="IR|YT",300*100)))))))</f>
        <v>30000</v>
      </c>
      <c r="AA513" s="52" t="s">
        <v>177</v>
      </c>
      <c r="AB513" s="52"/>
      <c r="AC513" s="52"/>
      <c r="AD513" s="231">
        <v>-0.25</v>
      </c>
      <c r="AE513" s="49"/>
      <c r="AF513" s="84"/>
      <c r="AG513" s="49"/>
      <c r="AH513" s="49"/>
      <c r="AI513" s="49"/>
      <c r="AJ513" s="226"/>
      <c r="AK513" s="49"/>
      <c r="AL513" s="113">
        <f t="shared" si="230"/>
        <v>-600</v>
      </c>
      <c r="AM513" s="113">
        <f t="shared" si="224"/>
        <v>-600</v>
      </c>
      <c r="AN513" s="218"/>
      <c r="AO513" s="49"/>
      <c r="AP513" s="49"/>
      <c r="AQ513" s="84" t="str">
        <f>UPPER(RIGHT(Journal_Live[[#This Row],[DURATION ]]))</f>
        <v/>
      </c>
      <c r="AR513" s="49"/>
      <c r="AS513" s="55">
        <v>-0.25</v>
      </c>
      <c r="AT513" s="55">
        <f t="shared" si="227"/>
        <v>0</v>
      </c>
      <c r="AU513" s="54">
        <f t="shared" si="228"/>
        <v>0</v>
      </c>
      <c r="AV513" s="56">
        <f t="shared" si="232"/>
        <v>0</v>
      </c>
      <c r="AW513" s="57" t="s">
        <v>155</v>
      </c>
      <c r="AX513" s="153"/>
      <c r="AY513" s="153"/>
      <c r="AZ513" s="153"/>
      <c r="BA513" s="153"/>
      <c r="BB513" s="153"/>
      <c r="BC513" s="153"/>
      <c r="BD513" s="151"/>
      <c r="BE513" s="152"/>
      <c r="BF513" s="151"/>
      <c r="BG513" s="94">
        <f>SUM($AV$4:AV513)</f>
        <v>3682.8853449130756</v>
      </c>
      <c r="BH513" s="95">
        <f>SUM($AU$4:AU513)</f>
        <v>35264.837142856763</v>
      </c>
      <c r="BI513" s="80">
        <f>SUMIFS($AU$3:AU514,$Q$3:Q514,"F")</f>
        <v>18827.257142857143</v>
      </c>
      <c r="BJ513" s="80">
        <f>SUMIFS($AU$3:AU514,$Q$3:Q514,"S")</f>
        <v>12719.999999999996</v>
      </c>
      <c r="BK513" s="87">
        <f>SUMIFS($AU$3:AU514,$P$3:P514,"W")</f>
        <v>24596.437142857485</v>
      </c>
      <c r="BL513" s="87">
        <f>SUMIFS($AU$3:AU514,$P$3:P514,"R")</f>
        <v>9197.9999999998618</v>
      </c>
      <c r="BM513" s="87">
        <f>SUMIFS($AU$3:AU514,$AQ$3:AQ514,"M")</f>
        <v>9254.3799999993262</v>
      </c>
      <c r="BN513" s="87">
        <f>SUMIFS($AU$3:AU514,$AQ$3:AQ514,"H")</f>
        <v>8039.2000000002827</v>
      </c>
      <c r="BO513" s="87">
        <f>SUMIFS($AU$3:AU514,$AQ$3:AQ514,"D")</f>
        <v>7532.8571428571395</v>
      </c>
      <c r="BP513" s="87">
        <f>SUMIFS($AS$3:AS1274,$AO$3:AO1274,"W")</f>
        <v>0</v>
      </c>
      <c r="BQ513" s="87">
        <f>SUMIFS($AU$3:AU514,$Q$3:Q514,"O")</f>
        <v>3253.5799999996261</v>
      </c>
      <c r="BR513" s="87">
        <f>SUMIFS($AU$3:AU514,$AA$3:AA514,"*")</f>
        <v>30546.799999999505</v>
      </c>
      <c r="BS513" s="87">
        <f>SUMIFS($AU$3:AU514,$AB$3:AB514,"*")</f>
        <v>10855.179999999931</v>
      </c>
      <c r="BT513" s="87">
        <f>SUMIFS($AU$3:AU514,$AC$3:AC514,"*")</f>
        <v>17467.257142857139</v>
      </c>
      <c r="BU513" s="87">
        <f>SUMIFS($AU$3:AU514,$AA$3:AA514,"*",$AB$3:AB514,"*")</f>
        <v>5759.9999999998217</v>
      </c>
      <c r="BV513" s="87">
        <f>SUMIFS($AU$3:AU514,$AA$3:AA514,"*",$AC$3:AC514,"*")</f>
        <v>14324.400000000001</v>
      </c>
      <c r="BW513" s="87">
        <f>SUMIFS($AU$3:AU514,$AB$3:AB514,"*",$AC$3:AC514,"*")</f>
        <v>5839.9999999999982</v>
      </c>
      <c r="BX513" s="87">
        <f>SUMIFS($AV$3:AV514,$Q$3:Q514,"F")</f>
        <v>332.42896099070009</v>
      </c>
      <c r="BY513" s="87">
        <f>SUMIFS($AV$3:AV514,$Q$3:Q514,"S")</f>
        <v>520.8163839225341</v>
      </c>
      <c r="BZ513" s="87">
        <f>SUMIFS($AV$3:AV514,$Q$3:Q514,"O")</f>
        <v>897.63999999983673</v>
      </c>
    </row>
    <row r="514" spans="1:78" ht="15.75" customHeight="1">
      <c r="A514" s="45" t="s">
        <v>1310</v>
      </c>
      <c r="B514" s="59">
        <v>45408</v>
      </c>
      <c r="C514" s="46" t="s">
        <v>652</v>
      </c>
      <c r="D514" s="46" t="s">
        <v>115</v>
      </c>
      <c r="E514" s="66"/>
      <c r="F514" s="47"/>
      <c r="G514" s="106" t="s">
        <v>227</v>
      </c>
      <c r="H514" s="49"/>
      <c r="I514" s="49"/>
      <c r="J514" s="49"/>
      <c r="K514" s="50"/>
      <c r="L514" s="49"/>
      <c r="M514" s="49">
        <v>2</v>
      </c>
      <c r="N514" s="49"/>
      <c r="O514" s="50" t="s">
        <v>100</v>
      </c>
      <c r="P514" s="50" t="s">
        <v>101</v>
      </c>
      <c r="Q514" s="50" t="s">
        <v>102</v>
      </c>
      <c r="R514" s="50">
        <v>60</v>
      </c>
      <c r="S514" s="161">
        <v>30</v>
      </c>
      <c r="T514" s="50">
        <v>30</v>
      </c>
      <c r="U514" s="50" t="s">
        <v>22</v>
      </c>
      <c r="V514" s="50"/>
      <c r="W514" s="50"/>
      <c r="X514" s="50"/>
      <c r="Y514" s="51">
        <f t="shared" si="226"/>
        <v>0.01</v>
      </c>
      <c r="Z514" s="52">
        <f>IF(ISBLANK(O514),"",IF(O514="IB",8.63*200,IF(O514="IR",16*100,IF(O514="YT",20*100,IF(O514="YT-XT",24*200,IF(O514="TED",80*100,IF(O514="XT",29*200)))))))</f>
        <v>1600</v>
      </c>
      <c r="AA514" s="52"/>
      <c r="AB514" s="52"/>
      <c r="AC514" s="52" t="s">
        <v>1752</v>
      </c>
      <c r="AD514" s="231">
        <v>-2.5000000000000001E-2</v>
      </c>
      <c r="AE514" s="49"/>
      <c r="AF514" s="84"/>
      <c r="AG514" s="49"/>
      <c r="AH514" s="49"/>
      <c r="AI514" s="49"/>
      <c r="AJ514" s="226"/>
      <c r="AK514" s="49"/>
      <c r="AL514" s="113">
        <f t="shared" si="230"/>
        <v>-32</v>
      </c>
      <c r="AM514" s="113">
        <f t="shared" si="224"/>
        <v>-960</v>
      </c>
      <c r="AN514" s="218"/>
      <c r="AO514" s="49"/>
      <c r="AP514" s="49" t="s">
        <v>1753</v>
      </c>
      <c r="AQ514" s="84" t="s">
        <v>142</v>
      </c>
      <c r="AR514" s="49" t="s">
        <v>1754</v>
      </c>
      <c r="AS514" s="55">
        <f>((-0.02*30)+(-0.01*30))/60</f>
        <v>-1.4999999999999998E-2</v>
      </c>
      <c r="AT514" s="55">
        <f t="shared" si="227"/>
        <v>1.0000000000000004E-2</v>
      </c>
      <c r="AU514" s="54">
        <f t="shared" si="228"/>
        <v>960.00000000000045</v>
      </c>
      <c r="AV514" s="56">
        <f t="shared" si="232"/>
        <v>16.000000000000007</v>
      </c>
      <c r="AW514" s="57" t="s">
        <v>101</v>
      </c>
      <c r="AX514" s="153"/>
      <c r="AY514" s="153"/>
      <c r="AZ514" s="153"/>
      <c r="BA514" s="153"/>
      <c r="BB514" s="153"/>
      <c r="BC514" s="153"/>
      <c r="BD514" s="151"/>
      <c r="BE514" s="152"/>
      <c r="BF514" s="151"/>
      <c r="BG514" s="94">
        <f>SUM($AV$4:AV514)</f>
        <v>3698.8853449130756</v>
      </c>
      <c r="BH514" s="95">
        <f>SUM($AU$4:AU514)</f>
        <v>36224.837142856763</v>
      </c>
      <c r="BI514" s="80">
        <f>SUMIFS($AU$3:AU515,$Q$3:Q515,"F")</f>
        <v>20795.257142857143</v>
      </c>
      <c r="BJ514" s="80">
        <f>SUMIFS($AU$3:AU515,$Q$3:Q515,"S")</f>
        <v>12719.999999999996</v>
      </c>
      <c r="BK514" s="87">
        <f>SUMIFS($AU$3:AU515,$P$3:P515,"W")</f>
        <v>24596.437142857485</v>
      </c>
      <c r="BL514" s="87">
        <f>SUMIFS($AU$3:AU515,$P$3:P515,"R")</f>
        <v>11165.999999999862</v>
      </c>
      <c r="BM514" s="87">
        <f>SUMIFS($AU$3:AU515,$AQ$3:AQ515,"M")</f>
        <v>9254.3799999993262</v>
      </c>
      <c r="BN514" s="87">
        <f>SUMIFS($AU$3:AU515,$AQ$3:AQ515,"H")</f>
        <v>8039.2000000002827</v>
      </c>
      <c r="BO514" s="87">
        <f>SUMIFS($AU$3:AU515,$AQ$3:AQ515,"D")</f>
        <v>7532.8571428571395</v>
      </c>
      <c r="BP514" s="87">
        <f>SUMIFS($AS$3:AS1275,$AO$3:AO1275,"W")</f>
        <v>0</v>
      </c>
      <c r="BQ514" s="87">
        <f>SUMIFS($AU$3:AU515,$Q$3:Q515,"O")</f>
        <v>3253.5799999996261</v>
      </c>
      <c r="BR514" s="87">
        <f>SUMIFS($AU$3:AU515,$AA$3:AA515,"*")</f>
        <v>30546.799999999505</v>
      </c>
      <c r="BS514" s="87">
        <f>SUMIFS($AU$3:AU515,$AB$3:AB515,"*")</f>
        <v>10855.179999999931</v>
      </c>
      <c r="BT514" s="87">
        <f>SUMIFS($AU$3:AU515,$AC$3:AC515,"*")</f>
        <v>19435.257142857139</v>
      </c>
      <c r="BU514" s="87">
        <f>SUMIFS($AU$3:AU515,$AA$3:AA515,"*",$AB$3:AB515,"*")</f>
        <v>5759.9999999998217</v>
      </c>
      <c r="BV514" s="87">
        <f>SUMIFS($AU$3:AU515,$AA$3:AA515,"*",$AC$3:AC515,"*")</f>
        <v>14324.400000000001</v>
      </c>
      <c r="BW514" s="87">
        <f>SUMIFS($AU$3:AU515,$AB$3:AB515,"*",$AC$3:AC515,"*")</f>
        <v>5839.9999999999982</v>
      </c>
      <c r="BX514" s="87">
        <f>SUMIFS($AV$3:AV515,$Q$3:Q515,"F")</f>
        <v>343.80468353405269</v>
      </c>
      <c r="BY514" s="87">
        <f>SUMIFS($AV$3:AV515,$Q$3:Q515,"S")</f>
        <v>520.8163839225341</v>
      </c>
      <c r="BZ514" s="87">
        <f>SUMIFS($AV$3:AV515,$Q$3:Q515,"O")</f>
        <v>897.63999999983673</v>
      </c>
    </row>
    <row r="515" spans="1:78" ht="15.75" customHeight="1">
      <c r="A515" s="45" t="s">
        <v>1310</v>
      </c>
      <c r="B515" s="59">
        <v>45408</v>
      </c>
      <c r="C515" s="46" t="s">
        <v>1755</v>
      </c>
      <c r="D515" s="46" t="s">
        <v>115</v>
      </c>
      <c r="E515" s="66"/>
      <c r="F515" s="47"/>
      <c r="G515" s="107" t="s">
        <v>1756</v>
      </c>
      <c r="H515" s="49"/>
      <c r="I515" s="49"/>
      <c r="J515" s="49"/>
      <c r="K515" s="50"/>
      <c r="L515" s="49">
        <v>2</v>
      </c>
      <c r="M515" s="49">
        <v>1</v>
      </c>
      <c r="N515" s="49"/>
      <c r="O515" s="50" t="s">
        <v>100</v>
      </c>
      <c r="P515" s="50" t="s">
        <v>126</v>
      </c>
      <c r="Q515" s="50" t="s">
        <v>127</v>
      </c>
      <c r="R515" s="50">
        <v>173</v>
      </c>
      <c r="S515" s="161">
        <v>123</v>
      </c>
      <c r="T515" s="50">
        <v>100</v>
      </c>
      <c r="U515" s="50" t="s">
        <v>102</v>
      </c>
      <c r="V515" s="50"/>
      <c r="W515" s="50"/>
      <c r="X515" s="50"/>
      <c r="Y515" s="51">
        <f t="shared" si="226"/>
        <v>0.01</v>
      </c>
      <c r="Z515" s="52">
        <f>IF(ISBLANK(O515),"",IF(O515="IB",8.63*200,IF(O515="IR",16*100,IF(O515="YT",20*100,IF(O515="YT-XT",24*200,IF(O515="TED",80*100,IF(O515="XT",29*200)))))))</f>
        <v>1600</v>
      </c>
      <c r="AA515" s="52"/>
      <c r="AB515" s="52"/>
      <c r="AC515" s="52" t="s">
        <v>1757</v>
      </c>
      <c r="AD515" s="231">
        <f>((-0.01*100)+(0*73))/173</f>
        <v>-5.7803468208092483E-3</v>
      </c>
      <c r="AE515" s="49"/>
      <c r="AF515" s="84"/>
      <c r="AG515" s="49"/>
      <c r="AH515" s="49"/>
      <c r="AI515" s="49"/>
      <c r="AJ515" s="226"/>
      <c r="AK515" s="49"/>
      <c r="AL515" s="113">
        <f>-0.015*Z515</f>
        <v>-24</v>
      </c>
      <c r="AM515" s="113">
        <f t="shared" si="224"/>
        <v>-1200</v>
      </c>
      <c r="AN515" s="218"/>
      <c r="AO515" s="49"/>
      <c r="AP515" s="49" t="s">
        <v>843</v>
      </c>
      <c r="AQ515" s="84" t="s">
        <v>101</v>
      </c>
      <c r="AR515" s="74">
        <v>45419</v>
      </c>
      <c r="AS515" s="55">
        <f>((-0.01*72)+(-0.01*51)+(-0.02*50))/173</f>
        <v>-1.2890173410404625E-2</v>
      </c>
      <c r="AT515" s="55">
        <f t="shared" si="227"/>
        <v>7.1098265895953765E-3</v>
      </c>
      <c r="AU515" s="54">
        <f t="shared" si="228"/>
        <v>1968</v>
      </c>
      <c r="AV515" s="56">
        <f t="shared" ref="AV515:AV516" si="233">IF(ISBLANK(AS515),,(AT515*Z515))</f>
        <v>11.375722543352602</v>
      </c>
      <c r="AW515" s="57" t="s">
        <v>101</v>
      </c>
      <c r="AX515" s="153" t="s">
        <v>1758</v>
      </c>
      <c r="AY515" s="153" t="s">
        <v>1759</v>
      </c>
      <c r="AZ515" s="153"/>
      <c r="BA515" s="153"/>
      <c r="BB515" s="153"/>
      <c r="BC515" s="153"/>
      <c r="BD515" s="151"/>
      <c r="BE515" s="152"/>
      <c r="BF515" s="151"/>
      <c r="BG515" s="94">
        <f>SUM($AV$4:AV515)</f>
        <v>3710.2610674564285</v>
      </c>
      <c r="BH515" s="95">
        <f>SUM($AU$4:AU515)</f>
        <v>38192.837142856763</v>
      </c>
      <c r="BI515" s="80">
        <f>SUMIFS($AU$3:AU516,$Q$3:Q516,"F")</f>
        <v>20795.257142857143</v>
      </c>
      <c r="BJ515" s="80">
        <f>SUMIFS($AU$3:AU516,$Q$3:Q516,"S")</f>
        <v>12719.999999999996</v>
      </c>
      <c r="BK515" s="87">
        <f>SUMIFS($AU$3:AU516,$P$3:P516,"W")</f>
        <v>24596.437142857485</v>
      </c>
      <c r="BL515" s="87">
        <f>SUMIFS($AU$3:AU516,$P$3:P516,"R")</f>
        <v>11165.999999999862</v>
      </c>
      <c r="BM515" s="87">
        <f>SUMIFS($AU$3:AU516,$AQ$3:AQ516,"M")</f>
        <v>9254.3799999993262</v>
      </c>
      <c r="BN515" s="87">
        <f>SUMIFS($AU$3:AU516,$AQ$3:AQ516,"H")</f>
        <v>8039.2000000002827</v>
      </c>
      <c r="BO515" s="87">
        <f>SUMIFS($AU$3:AU516,$AQ$3:AQ516,"D")</f>
        <v>7532.8571428571395</v>
      </c>
      <c r="BP515" s="87">
        <f>SUMIFS($AS$3:AS1276,$AO$3:AO1276,"W")</f>
        <v>0</v>
      </c>
      <c r="BQ515" s="87">
        <f>SUMIFS($AU$3:AU516,$Q$3:Q516,"O")</f>
        <v>2735.7799999996064</v>
      </c>
      <c r="BR515" s="87">
        <f>SUMIFS($AU$3:AU516,$AA$3:AA516,"*")</f>
        <v>30546.799999999505</v>
      </c>
      <c r="BS515" s="87">
        <f>SUMIFS($AU$3:AU516,$AB$3:AB516,"*")</f>
        <v>10337.379999999912</v>
      </c>
      <c r="BT515" s="87">
        <f>SUMIFS($AU$3:AU516,$AC$3:AC516,"*")</f>
        <v>19435.257142857139</v>
      </c>
      <c r="BU515" s="87">
        <f>SUMIFS($AU$3:AU516,$AA$3:AA516,"*",$AB$3:AB516,"*")</f>
        <v>5759.9999999998217</v>
      </c>
      <c r="BV515" s="87">
        <f>SUMIFS($AU$3:AU516,$AA$3:AA516,"*",$AC$3:AC516,"*")</f>
        <v>14324.400000000001</v>
      </c>
      <c r="BW515" s="87">
        <f>SUMIFS($AU$3:AU516,$AB$3:AB516,"*",$AC$3:AC516,"*")</f>
        <v>5839.9999999999982</v>
      </c>
      <c r="BX515" s="87">
        <f>SUMIFS($AV$3:AV516,$Q$3:Q516,"F")</f>
        <v>343.80468353405269</v>
      </c>
      <c r="BY515" s="87">
        <f>SUMIFS($AV$3:AV516,$Q$3:Q516,"S")</f>
        <v>520.8163839225341</v>
      </c>
      <c r="BZ515" s="87">
        <f>SUMIFS($AV$3:AV516,$Q$3:Q516,"O")</f>
        <v>887.28399999983628</v>
      </c>
    </row>
    <row r="516" spans="1:78" ht="15.75" customHeight="1">
      <c r="A516" s="45" t="s">
        <v>1310</v>
      </c>
      <c r="B516" s="59">
        <v>45408</v>
      </c>
      <c r="C516" s="46" t="s">
        <v>1760</v>
      </c>
      <c r="D516" s="46" t="s">
        <v>115</v>
      </c>
      <c r="E516" s="66"/>
      <c r="F516" s="47"/>
      <c r="G516" s="171" t="s">
        <v>1761</v>
      </c>
      <c r="H516" s="49"/>
      <c r="I516" s="49"/>
      <c r="J516" s="49"/>
      <c r="K516" s="50"/>
      <c r="L516" s="49"/>
      <c r="M516" s="49">
        <v>2</v>
      </c>
      <c r="N516" s="49"/>
      <c r="O516" s="50" t="s">
        <v>559</v>
      </c>
      <c r="P516" s="50"/>
      <c r="Q516" s="50" t="s">
        <v>198</v>
      </c>
      <c r="R516" s="50">
        <v>50</v>
      </c>
      <c r="S516" s="50">
        <v>20</v>
      </c>
      <c r="T516" s="50">
        <v>20</v>
      </c>
      <c r="U516" s="50" t="s">
        <v>102</v>
      </c>
      <c r="V516" s="50"/>
      <c r="W516" s="50"/>
      <c r="X516" s="50"/>
      <c r="Y516" s="51">
        <f t="shared" si="226"/>
        <v>5.0000000000000001E-3</v>
      </c>
      <c r="Z516" s="52">
        <f>IF(ISBLANK(O516),"",IF(O516="IB",8.63*200,IF(O516="IR",16*100,IF(O516="YT",20*100,IF(O516="YT-XT",24*200,IF(O516="TED",80*100,IF(O516="XT",29*200)))))))</f>
        <v>1726.0000000000002</v>
      </c>
      <c r="AA516" s="52"/>
      <c r="AB516" s="52" t="s">
        <v>1762</v>
      </c>
      <c r="AC516" s="52"/>
      <c r="AD516" s="231">
        <v>95.67</v>
      </c>
      <c r="AE516" s="49"/>
      <c r="AF516" s="84"/>
      <c r="AG516" s="49"/>
      <c r="AH516" s="49"/>
      <c r="AI516" s="49"/>
      <c r="AJ516" s="226"/>
      <c r="AK516" s="49"/>
      <c r="AL516" s="113">
        <f t="shared" ref="AL516:AL519" si="234">-0.02*Z516</f>
        <v>-34.520000000000003</v>
      </c>
      <c r="AM516" s="113">
        <f t="shared" si="224"/>
        <v>-1035.6000000000001</v>
      </c>
      <c r="AN516" s="218"/>
      <c r="AO516" s="49"/>
      <c r="AP516" s="49" t="s">
        <v>843</v>
      </c>
      <c r="AQ516" s="84" t="s">
        <v>101</v>
      </c>
      <c r="AR516" s="74" t="s">
        <v>1763</v>
      </c>
      <c r="AS516" s="55">
        <f>(95.665*10+95.66*10+95.685*30)/50</f>
        <v>95.676000000000002</v>
      </c>
      <c r="AT516" s="55">
        <f t="shared" si="227"/>
        <v>-6.0000000000002274E-3</v>
      </c>
      <c r="AU516" s="54">
        <f t="shared" si="228"/>
        <v>-517.80000000001974</v>
      </c>
      <c r="AV516" s="56">
        <f t="shared" si="233"/>
        <v>-10.356000000000394</v>
      </c>
      <c r="AW516" s="57" t="s">
        <v>121</v>
      </c>
      <c r="AX516" s="153" t="s">
        <v>1764</v>
      </c>
      <c r="AY516" s="153" t="s">
        <v>1765</v>
      </c>
      <c r="AZ516" s="153"/>
      <c r="BA516" s="153"/>
      <c r="BB516" s="153"/>
      <c r="BC516" s="153"/>
      <c r="BD516" s="151"/>
      <c r="BE516" s="152"/>
      <c r="BF516" s="151"/>
      <c r="BG516" s="94">
        <f>SUM($AV$4:AV516)</f>
        <v>3699.9050674564282</v>
      </c>
      <c r="BH516" s="95">
        <f>SUM($AU$4:AU516)</f>
        <v>37675.037142856745</v>
      </c>
      <c r="BI516" s="80">
        <f>SUMIFS($AU$3:AU517,$Q$3:Q517,"F")</f>
        <v>20795.257142857143</v>
      </c>
      <c r="BJ516" s="80">
        <f>SUMIFS($AU$3:AU517,$Q$3:Q517,"S")</f>
        <v>12719.999999999996</v>
      </c>
      <c r="BK516" s="87">
        <f>SUMIFS($AU$3:AU517,$P$3:P517,"W")</f>
        <v>24596.437142857485</v>
      </c>
      <c r="BL516" s="87">
        <f>SUMIFS($AU$3:AU517,$P$3:P517,"R")</f>
        <v>11165.999999999862</v>
      </c>
      <c r="BM516" s="87">
        <f>SUMIFS($AU$3:AU517,$AQ$3:AQ517,"M")</f>
        <v>9254.3799999993262</v>
      </c>
      <c r="BN516" s="87">
        <f>SUMIFS($AU$3:AU517,$AQ$3:AQ517,"H")</f>
        <v>8039.2000000002827</v>
      </c>
      <c r="BO516" s="87">
        <f>SUMIFS($AU$3:AU517,$AQ$3:AQ517,"D")</f>
        <v>7532.8571428571395</v>
      </c>
      <c r="BP516" s="87">
        <f>SUMIFS($AS$3:AS1277,$AO$3:AO1277,"W")</f>
        <v>0</v>
      </c>
      <c r="BQ516" s="87">
        <f>SUMIFS($AU$3:AU517,$Q$3:Q517,"O")</f>
        <v>2735.7799999996064</v>
      </c>
      <c r="BR516" s="87">
        <f>SUMIFS($AU$3:AU517,$AA$3:AA517,"*")</f>
        <v>30546.799999999505</v>
      </c>
      <c r="BS516" s="87">
        <f>SUMIFS($AU$3:AU517,$AB$3:AB517,"*")</f>
        <v>10337.379999999912</v>
      </c>
      <c r="BT516" s="87">
        <f>SUMIFS($AU$3:AU517,$AC$3:AC517,"*")</f>
        <v>19435.257142857139</v>
      </c>
      <c r="BU516" s="87">
        <f>SUMIFS($AU$3:AU517,$AA$3:AA517,"*",$AB$3:AB517,"*")</f>
        <v>5759.9999999998217</v>
      </c>
      <c r="BV516" s="87">
        <f>SUMIFS($AU$3:AU517,$AA$3:AA517,"*",$AC$3:AC517,"*")</f>
        <v>14324.400000000001</v>
      </c>
      <c r="BW516" s="87">
        <f>SUMIFS($AU$3:AU517,$AB$3:AB517,"*",$AC$3:AC517,"*")</f>
        <v>5839.9999999999982</v>
      </c>
      <c r="BX516" s="87">
        <f>SUMIFS($AV$3:AV517,$Q$3:Q517,"F")</f>
        <v>343.80468353405269</v>
      </c>
      <c r="BY516" s="87">
        <f>SUMIFS($AV$3:AV517,$Q$3:Q517,"S")</f>
        <v>520.8163839225341</v>
      </c>
      <c r="BZ516" s="87">
        <f>SUMIFS($AV$3:AV517,$Q$3:Q517,"O")</f>
        <v>887.28399999983628</v>
      </c>
    </row>
    <row r="517" spans="1:78" ht="15.75" customHeight="1">
      <c r="A517" s="45" t="s">
        <v>1310</v>
      </c>
      <c r="B517" s="59">
        <v>45408</v>
      </c>
      <c r="C517" s="46" t="s">
        <v>1185</v>
      </c>
      <c r="D517" s="46" t="s">
        <v>115</v>
      </c>
      <c r="E517" s="66" t="s">
        <v>1766</v>
      </c>
      <c r="F517" s="47"/>
      <c r="G517" s="48"/>
      <c r="H517" s="49"/>
      <c r="I517" s="49"/>
      <c r="J517" s="49"/>
      <c r="K517" s="50"/>
      <c r="L517" s="49"/>
      <c r="M517" s="49"/>
      <c r="N517" s="49"/>
      <c r="O517" s="50"/>
      <c r="P517" s="50"/>
      <c r="Q517" s="50"/>
      <c r="R517" s="50"/>
      <c r="S517" s="50"/>
      <c r="T517" s="50"/>
      <c r="U517" s="50"/>
      <c r="V517" s="50"/>
      <c r="W517" s="50"/>
      <c r="X517" s="50"/>
      <c r="Y517" s="50"/>
      <c r="Z517" s="50"/>
      <c r="AA517" s="52"/>
      <c r="AB517" s="52"/>
      <c r="AC517" s="52"/>
      <c r="AD517" s="231"/>
      <c r="AE517" s="49"/>
      <c r="AF517" s="84"/>
      <c r="AG517" s="49"/>
      <c r="AH517" s="49"/>
      <c r="AI517" s="49"/>
      <c r="AJ517" s="226"/>
      <c r="AK517" s="49"/>
      <c r="AL517" s="113">
        <f t="shared" si="234"/>
        <v>0</v>
      </c>
      <c r="AM517" s="113">
        <f t="shared" si="224"/>
        <v>0</v>
      </c>
      <c r="AN517" s="218"/>
      <c r="AO517" s="49"/>
      <c r="AP517" s="49"/>
      <c r="AQ517" s="84" t="str">
        <f>UPPER(RIGHT(Journal_Live[[#This Row],[DURATION ]]))</f>
        <v/>
      </c>
      <c r="AR517" s="49"/>
      <c r="AS517" s="55"/>
      <c r="AT517" s="55"/>
      <c r="AU517" s="54"/>
      <c r="AV517" s="56"/>
      <c r="AW517" s="57"/>
      <c r="AX517" s="153"/>
      <c r="AY517" s="153"/>
      <c r="AZ517" s="153"/>
      <c r="BA517" s="153"/>
      <c r="BB517" s="153"/>
      <c r="BC517" s="153"/>
      <c r="BD517" s="151"/>
      <c r="BE517" s="152"/>
      <c r="BF517" s="151"/>
      <c r="BG517" s="94">
        <f>SUM($AV$4:AV517)</f>
        <v>3699.9050674564282</v>
      </c>
      <c r="BH517" s="95">
        <f>SUM($AU$4:AU517)</f>
        <v>37675.037142856745</v>
      </c>
      <c r="BI517" s="80">
        <f>SUMIFS($AU$3:AU518,$Q$3:Q518,"F")</f>
        <v>20795.257142857143</v>
      </c>
      <c r="BJ517" s="80">
        <f>SUMIFS($AU$3:AU518,$Q$3:Q518,"S")</f>
        <v>12719.999999999996</v>
      </c>
      <c r="BK517" s="87">
        <f>SUMIFS($AU$3:AU518,$P$3:P518,"W")</f>
        <v>24596.437142857485</v>
      </c>
      <c r="BL517" s="87">
        <f>SUMIFS($AU$3:AU518,$P$3:P518,"R")</f>
        <v>11165.999999999862</v>
      </c>
      <c r="BM517" s="87">
        <f>SUMIFS($AU$3:AU518,$AQ$3:AQ518,"M")</f>
        <v>9225.3799999992698</v>
      </c>
      <c r="BN517" s="87">
        <f>SUMIFS($AU$3:AU518,$AQ$3:AQ518,"H")</f>
        <v>8039.2000000002827</v>
      </c>
      <c r="BO517" s="87">
        <f>SUMIFS($AU$3:AU518,$AQ$3:AQ518,"D")</f>
        <v>7532.8571428571395</v>
      </c>
      <c r="BP517" s="87">
        <f>SUMIFS($AS$3:AS1278,$AO$3:AO1278,"W")</f>
        <v>0</v>
      </c>
      <c r="BQ517" s="87">
        <f>SUMIFS($AU$3:AU518,$Q$3:Q518,"O")</f>
        <v>2706.7799999995505</v>
      </c>
      <c r="BR517" s="87">
        <f>SUMIFS($AU$3:AU518,$AA$3:AA518,"*")</f>
        <v>30517.79999999945</v>
      </c>
      <c r="BS517" s="87">
        <f>SUMIFS($AU$3:AU518,$AB$3:AB518,"*")</f>
        <v>10337.379999999912</v>
      </c>
      <c r="BT517" s="87">
        <f>SUMIFS($AU$3:AU518,$AC$3:AC518,"*")</f>
        <v>19435.257142857139</v>
      </c>
      <c r="BU517" s="87">
        <f>SUMIFS($AU$3:AU518,$AA$3:AA518,"*",$AB$3:AB518,"*")</f>
        <v>5759.9999999998217</v>
      </c>
      <c r="BV517" s="87">
        <f>SUMIFS($AU$3:AU518,$AA$3:AA518,"*",$AC$3:AC518,"*")</f>
        <v>14324.400000000001</v>
      </c>
      <c r="BW517" s="87">
        <f>SUMIFS($AU$3:AU518,$AB$3:AB518,"*",$AC$3:AC518,"*")</f>
        <v>5839.9999999999982</v>
      </c>
      <c r="BX517" s="87">
        <f>SUMIFS($AV$3:AV518,$Q$3:Q518,"F")</f>
        <v>343.80468353405269</v>
      </c>
      <c r="BY517" s="87">
        <f>SUMIFS($AV$3:AV518,$Q$3:Q518,"S")</f>
        <v>520.8163839225341</v>
      </c>
      <c r="BZ517" s="87">
        <f>SUMIFS($AV$3:AV518,$Q$3:Q518,"O")</f>
        <v>858.28399999978024</v>
      </c>
    </row>
    <row r="518" spans="1:78" ht="15.75" customHeight="1">
      <c r="A518" s="45" t="s">
        <v>1310</v>
      </c>
      <c r="B518" s="59">
        <v>45408</v>
      </c>
      <c r="C518" s="46" t="s">
        <v>1185</v>
      </c>
      <c r="D518" s="46" t="s">
        <v>115</v>
      </c>
      <c r="E518" s="66"/>
      <c r="F518" s="47"/>
      <c r="G518" s="48" t="s">
        <v>1169</v>
      </c>
      <c r="H518" s="49"/>
      <c r="I518" s="49"/>
      <c r="J518" s="49"/>
      <c r="K518" s="50"/>
      <c r="L518" s="49">
        <v>1</v>
      </c>
      <c r="M518" s="49"/>
      <c r="N518" s="49"/>
      <c r="O518" s="50" t="s">
        <v>196</v>
      </c>
      <c r="P518" s="50" t="s">
        <v>197</v>
      </c>
      <c r="Q518" s="50" t="s">
        <v>198</v>
      </c>
      <c r="R518" s="50">
        <v>1</v>
      </c>
      <c r="S518" s="50">
        <v>0</v>
      </c>
      <c r="T518" s="50">
        <v>1</v>
      </c>
      <c r="U518" s="50" t="s">
        <v>22</v>
      </c>
      <c r="V518" s="50"/>
      <c r="W518" s="50"/>
      <c r="X518" s="50"/>
      <c r="Y518" s="51">
        <f>IF(ISBLANK(O518),"",(IF(O518=UPPER("IB"),0.005,0.01)))</f>
        <v>0.01</v>
      </c>
      <c r="Z518" s="52">
        <f>IF(ISBLANK(O518),"",IF(O518="IB",8.63*200,IF(O518="IR",16*100,IF(O518="YT",20*100,IF(O518="YT-XT",24*200,IF(O518="TED",80*100,IF(O518="XT",29*200)))))))</f>
        <v>5800</v>
      </c>
      <c r="AA518" s="52" t="s">
        <v>908</v>
      </c>
      <c r="AB518" s="52"/>
      <c r="AC518" s="52"/>
      <c r="AD518" s="231">
        <v>95.465000000000003</v>
      </c>
      <c r="AE518" s="49"/>
      <c r="AF518" s="84"/>
      <c r="AG518" s="49"/>
      <c r="AH518" s="49"/>
      <c r="AI518" s="49"/>
      <c r="AJ518" s="226"/>
      <c r="AK518" s="49"/>
      <c r="AL518" s="113">
        <f t="shared" si="234"/>
        <v>-116</v>
      </c>
      <c r="AM518" s="113">
        <f t="shared" si="224"/>
        <v>-116</v>
      </c>
      <c r="AN518" s="218"/>
      <c r="AO518" s="49"/>
      <c r="AP518" s="49"/>
      <c r="AQ518" s="84" t="s">
        <v>350</v>
      </c>
      <c r="AR518" s="49"/>
      <c r="AS518" s="55">
        <v>95.46</v>
      </c>
      <c r="AT518" s="55">
        <f>IF(ISBLANK(AS518),,IF(U518="S",AD518-AS518,AS518-AD518))</f>
        <v>-5.0000000000096634E-3</v>
      </c>
      <c r="AU518" s="54">
        <f>AV518*R518</f>
        <v>-29.000000000056048</v>
      </c>
      <c r="AV518" s="56">
        <f t="shared" ref="AV518" si="235">IF(ISBLANK(AS518),,(AT518*Z518))</f>
        <v>-29.000000000056048</v>
      </c>
      <c r="AW518" s="57" t="s">
        <v>121</v>
      </c>
      <c r="AX518" s="153"/>
      <c r="AY518" s="153"/>
      <c r="AZ518" s="153"/>
      <c r="BA518" s="153"/>
      <c r="BB518" s="153"/>
      <c r="BC518" s="153"/>
      <c r="BD518" s="151"/>
      <c r="BE518" s="152"/>
      <c r="BF518" s="151"/>
      <c r="BG518" s="94">
        <f>SUM($AV$4:AV518)</f>
        <v>3670.9050674563723</v>
      </c>
      <c r="BH518" s="95">
        <f>SUM($AU$4:AU518)</f>
        <v>37646.037142856687</v>
      </c>
      <c r="BI518" s="80">
        <f>SUMIFS($AU$3:AU519,$Q$3:Q519,"F")</f>
        <v>20795.257142857143</v>
      </c>
      <c r="BJ518" s="80">
        <f>SUMIFS($AU$3:AU519,$Q$3:Q519,"S")</f>
        <v>12719.999999999996</v>
      </c>
      <c r="BK518" s="87">
        <f>SUMIFS($AU$3:AU519,$P$3:P519,"W")</f>
        <v>24596.437142857485</v>
      </c>
      <c r="BL518" s="87">
        <f>SUMIFS($AU$3:AU519,$P$3:P519,"R")</f>
        <v>11165.999999999862</v>
      </c>
      <c r="BM518" s="87">
        <f>SUMIFS($AU$3:AU519,$AQ$3:AQ519,"M")</f>
        <v>9225.3799999992698</v>
      </c>
      <c r="BN518" s="87">
        <f>SUMIFS($AU$3:AU519,$AQ$3:AQ519,"H")</f>
        <v>8039.2000000002827</v>
      </c>
      <c r="BO518" s="87">
        <f>SUMIFS($AU$3:AU519,$AQ$3:AQ519,"D")</f>
        <v>7662.307142857022</v>
      </c>
      <c r="BP518" s="87">
        <f>SUMIFS($AS$3:AS1279,$AO$3:AO1279,"W")</f>
        <v>0</v>
      </c>
      <c r="BQ518" s="87">
        <f>SUMIFS($AU$3:AU519,$Q$3:Q519,"O")</f>
        <v>2836.2299999994329</v>
      </c>
      <c r="BR518" s="87">
        <f>SUMIFS($AU$3:AU519,$AA$3:AA519,"*")</f>
        <v>30517.79999999945</v>
      </c>
      <c r="BS518" s="87">
        <f>SUMIFS($AU$3:AU519,$AB$3:AB519,"*")</f>
        <v>10466.829999999794</v>
      </c>
      <c r="BT518" s="87">
        <f>SUMIFS($AU$3:AU519,$AC$3:AC519,"*")</f>
        <v>19435.257142857139</v>
      </c>
      <c r="BU518" s="87">
        <f>SUMIFS($AU$3:AU519,$AA$3:AA519,"*",$AB$3:AB519,"*")</f>
        <v>5759.9999999998217</v>
      </c>
      <c r="BV518" s="87">
        <f>SUMIFS($AU$3:AU519,$AA$3:AA519,"*",$AC$3:AC519,"*")</f>
        <v>14324.400000000001</v>
      </c>
      <c r="BW518" s="87">
        <f>SUMIFS($AU$3:AU519,$AB$3:AB519,"*",$AC$3:AC519,"*")</f>
        <v>5839.9999999999982</v>
      </c>
      <c r="BX518" s="87">
        <f>SUMIFS($AV$3:AV519,$Q$3:Q519,"F")</f>
        <v>343.80468353405269</v>
      </c>
      <c r="BY518" s="87">
        <f>SUMIFS($AV$3:AV519,$Q$3:Q519,"S")</f>
        <v>520.8163839225341</v>
      </c>
      <c r="BZ518" s="87">
        <f>SUMIFS($AV$3:AV519,$Q$3:Q519,"O")</f>
        <v>871.22899999976846</v>
      </c>
    </row>
    <row r="519" spans="1:78" ht="15.75" customHeight="1">
      <c r="A519" s="45" t="s">
        <v>1310</v>
      </c>
      <c r="B519" s="59">
        <v>45408</v>
      </c>
      <c r="C519" s="46" t="s">
        <v>1760</v>
      </c>
      <c r="D519" s="46" t="s">
        <v>115</v>
      </c>
      <c r="E519" s="66"/>
      <c r="F519" s="47"/>
      <c r="G519" s="171" t="s">
        <v>1767</v>
      </c>
      <c r="H519" s="49"/>
      <c r="I519" s="49"/>
      <c r="J519" s="49"/>
      <c r="K519" s="50"/>
      <c r="L519" s="49"/>
      <c r="M519" s="49">
        <v>2</v>
      </c>
      <c r="N519" s="49"/>
      <c r="O519" s="50" t="s">
        <v>559</v>
      </c>
      <c r="P519" s="50"/>
      <c r="Q519" s="50" t="s">
        <v>198</v>
      </c>
      <c r="R519" s="50">
        <v>10</v>
      </c>
      <c r="S519" s="50">
        <v>0</v>
      </c>
      <c r="T519" s="50">
        <v>5</v>
      </c>
      <c r="U519" s="50" t="s">
        <v>102</v>
      </c>
      <c r="V519" s="50"/>
      <c r="W519" s="50"/>
      <c r="X519" s="50"/>
      <c r="Y519" s="51">
        <f>IF(ISBLANK(O519),"",(IF(O519=UPPER("IB"),0.005,0.01)))</f>
        <v>5.0000000000000001E-3</v>
      </c>
      <c r="Z519" s="52">
        <f>IF(ISBLANK(O519),"",IF(O519="IB",8.63*200,IF(O519="IR",16*100,IF(O519="YT",20*100,IF(O519="YT-XT",24*200,IF(O519="TED",80*100,IF(O519="XT",29*200)))))))</f>
        <v>1726.0000000000002</v>
      </c>
      <c r="AA519" s="52"/>
      <c r="AB519" s="52" t="s">
        <v>1768</v>
      </c>
      <c r="AC519" s="52"/>
      <c r="AD519" s="231">
        <f>(95.66*10+95.665*10)/20</f>
        <v>95.662499999999994</v>
      </c>
      <c r="AE519" s="49"/>
      <c r="AF519" s="84"/>
      <c r="AG519" s="49"/>
      <c r="AH519" s="49"/>
      <c r="AI519" s="49"/>
      <c r="AJ519" s="226"/>
      <c r="AK519" s="49"/>
      <c r="AL519" s="113">
        <f t="shared" si="234"/>
        <v>-34.520000000000003</v>
      </c>
      <c r="AM519" s="113">
        <f t="shared" si="224"/>
        <v>-345.20000000000005</v>
      </c>
      <c r="AN519" s="218"/>
      <c r="AO519" s="49"/>
      <c r="AP519" s="49"/>
      <c r="AQ519" s="84" t="s">
        <v>155</v>
      </c>
      <c r="AR519" s="74">
        <v>45414</v>
      </c>
      <c r="AS519" s="55">
        <f>(95.655)</f>
        <v>95.655000000000001</v>
      </c>
      <c r="AT519" s="55">
        <f>IF(ISBLANK(AS519),,IF(U519="S",AD519-AS519,AS519-AD519))</f>
        <v>7.4999999999931788E-3</v>
      </c>
      <c r="AU519" s="54">
        <f>AV519*R519</f>
        <v>129.44999999988229</v>
      </c>
      <c r="AV519" s="56">
        <f t="shared" ref="AV519" si="236">IF(ISBLANK(AS519),,(AT519*Z519))</f>
        <v>12.944999999988228</v>
      </c>
      <c r="AW519" s="57" t="s">
        <v>101</v>
      </c>
      <c r="AX519" s="153"/>
      <c r="AY519" s="153"/>
      <c r="AZ519" s="153"/>
      <c r="BA519" s="153"/>
      <c r="BB519" s="153"/>
      <c r="BC519" s="153"/>
      <c r="BD519" s="151"/>
      <c r="BE519" s="152"/>
      <c r="BF519" s="151"/>
      <c r="BG519" s="94">
        <f>SUM($AV$4:AV519)</f>
        <v>3683.8500674563606</v>
      </c>
      <c r="BH519" s="95">
        <f>SUM($AU$4:AU519)</f>
        <v>37775.487142856568</v>
      </c>
      <c r="BI519" s="80">
        <f>SUMIFS($AU$3:AU520,$Q$3:Q520,"F")</f>
        <v>20795.257142857143</v>
      </c>
      <c r="BJ519" s="80">
        <f>SUMIFS($AU$3:AU520,$Q$3:Q520,"S")</f>
        <v>12767.999999999996</v>
      </c>
      <c r="BK519" s="87">
        <f>SUMIFS($AU$3:AU520,$P$3:P520,"W")</f>
        <v>24644.437142857485</v>
      </c>
      <c r="BL519" s="87">
        <f>SUMIFS($AU$3:AU520,$P$3:P520,"R")</f>
        <v>11165.999999999862</v>
      </c>
      <c r="BM519" s="87">
        <f>SUMIFS($AU$3:AU520,$AQ$3:AQ520,"M")</f>
        <v>9225.3799999992698</v>
      </c>
      <c r="BN519" s="87">
        <f>SUMIFS($AU$3:AU520,$AQ$3:AQ520,"H")</f>
        <v>8087.2000000002827</v>
      </c>
      <c r="BO519" s="87">
        <f>SUMIFS($AU$3:AU520,$AQ$3:AQ520,"D")</f>
        <v>7662.307142857022</v>
      </c>
      <c r="BP519" s="87">
        <f>SUMIFS($AS$3:AS1280,$AO$3:AO1280,"W")</f>
        <v>0</v>
      </c>
      <c r="BQ519" s="87">
        <f>SUMIFS($AU$3:AU520,$Q$3:Q520,"O")</f>
        <v>2836.2299999994329</v>
      </c>
      <c r="BR519" s="87">
        <f>SUMIFS($AU$3:AU520,$AA$3:AA520,"*")</f>
        <v>30565.79999999945</v>
      </c>
      <c r="BS519" s="87">
        <f>SUMIFS($AU$3:AU520,$AB$3:AB520,"*")</f>
        <v>10514.829999999794</v>
      </c>
      <c r="BT519" s="87">
        <f>SUMIFS($AU$3:AU520,$AC$3:AC520,"*")</f>
        <v>19435.257142857139</v>
      </c>
      <c r="BU519" s="87">
        <f>SUMIFS($AU$3:AU520,$AA$3:AA520,"*",$AB$3:AB520,"*")</f>
        <v>5807.9999999998217</v>
      </c>
      <c r="BV519" s="87">
        <f>SUMIFS($AU$3:AU520,$AA$3:AA520,"*",$AC$3:AC520,"*")</f>
        <v>14324.400000000001</v>
      </c>
      <c r="BW519" s="87">
        <f>SUMIFS($AU$3:AU520,$AB$3:AB520,"*",$AC$3:AC520,"*")</f>
        <v>5839.9999999999982</v>
      </c>
      <c r="BX519" s="87">
        <f>SUMIFS($AV$3:AV520,$Q$3:Q520,"F")</f>
        <v>343.80468353405269</v>
      </c>
      <c r="BY519" s="87">
        <f>SUMIFS($AV$3:AV520,$Q$3:Q520,"S")</f>
        <v>523.63991333429885</v>
      </c>
      <c r="BZ519" s="87">
        <f>SUMIFS($AV$3:AV520,$Q$3:Q520,"O")</f>
        <v>871.22899999976846</v>
      </c>
    </row>
    <row r="520" spans="1:78" ht="15.75" customHeight="1">
      <c r="A520" s="45" t="s">
        <v>1310</v>
      </c>
      <c r="B520" s="59">
        <v>45408</v>
      </c>
      <c r="C520" s="46" t="s">
        <v>1769</v>
      </c>
      <c r="D520" s="46" t="s">
        <v>115</v>
      </c>
      <c r="E520" s="66"/>
      <c r="F520" s="47"/>
      <c r="G520" s="106" t="s">
        <v>111</v>
      </c>
      <c r="H520" s="49"/>
      <c r="I520" s="49"/>
      <c r="J520" s="49"/>
      <c r="K520" s="50"/>
      <c r="L520" s="49">
        <v>1</v>
      </c>
      <c r="M520" s="49"/>
      <c r="N520" s="49"/>
      <c r="O520" s="50" t="s">
        <v>100</v>
      </c>
      <c r="P520" s="50" t="s">
        <v>101</v>
      </c>
      <c r="Q520" s="50" t="s">
        <v>102</v>
      </c>
      <c r="R520" s="50">
        <v>17</v>
      </c>
      <c r="S520" s="161">
        <v>3</v>
      </c>
      <c r="T520" s="50">
        <v>17</v>
      </c>
      <c r="U520" s="50" t="s">
        <v>102</v>
      </c>
      <c r="V520" s="50"/>
      <c r="W520" s="50"/>
      <c r="X520" s="50"/>
      <c r="Y520" s="51">
        <f>IF(ISBLANK(O520),"",(IF(O520=UPPER("IB"),0.005,0.01)))</f>
        <v>0.01</v>
      </c>
      <c r="Z520" s="52">
        <f>IF(ISBLANK(O520),"",IF(O520="IB",8.63*200,IF(O520="IR",16*100,IF(O520="YT",20*100,IF(O520="YT-XT",24*200,IF(O520="TED",80*100,IF(O520="XT",29*200)))))))</f>
        <v>1600</v>
      </c>
      <c r="AA520" s="52" t="s">
        <v>177</v>
      </c>
      <c r="AB520" s="52" t="s">
        <v>1770</v>
      </c>
      <c r="AC520" s="52"/>
      <c r="AD520" s="231">
        <v>0.12</v>
      </c>
      <c r="AE520" s="49"/>
      <c r="AF520" s="84"/>
      <c r="AG520" s="49"/>
      <c r="AH520" s="49"/>
      <c r="AI520" s="49"/>
      <c r="AJ520" s="226"/>
      <c r="AK520" s="49"/>
      <c r="AL520" s="113">
        <f t="shared" si="230"/>
        <v>-32</v>
      </c>
      <c r="AM520" s="113">
        <f t="shared" si="224"/>
        <v>-448</v>
      </c>
      <c r="AN520" s="218"/>
      <c r="AO520" s="49"/>
      <c r="AP520" s="49" t="s">
        <v>104</v>
      </c>
      <c r="AQ520" s="84" t="s">
        <v>142</v>
      </c>
      <c r="AR520" s="49" t="s">
        <v>1771</v>
      </c>
      <c r="AS520" s="55">
        <f>(0.11*3+0.12*14)/17</f>
        <v>0.11823529411764705</v>
      </c>
      <c r="AT520" s="55">
        <f>IF(ISBLANK(AS520),,IF(U520="S",AD520-AS520,AS520-AD520))</f>
        <v>1.764705882352946E-3</v>
      </c>
      <c r="AU520" s="54">
        <f>AV520*R520</f>
        <v>48.000000000000128</v>
      </c>
      <c r="AV520" s="56">
        <f t="shared" ref="AV520:AV521" si="237">IF(ISBLANK(AS520),,(AT520*Z520))</f>
        <v>2.8235294117647136</v>
      </c>
      <c r="AW520" s="57" t="s">
        <v>101</v>
      </c>
      <c r="AX520" s="153" t="s">
        <v>1772</v>
      </c>
      <c r="AY520" s="153"/>
      <c r="AZ520" s="153"/>
      <c r="BA520" s="153"/>
      <c r="BB520" s="153"/>
      <c r="BC520" s="153"/>
      <c r="BD520" s="151"/>
      <c r="BE520" s="152"/>
      <c r="BF520" s="151"/>
      <c r="BG520" s="94">
        <f>SUM($AV$4:AV520)</f>
        <v>3686.6735968681255</v>
      </c>
      <c r="BH520" s="95">
        <f>SUM($AU$4:AU520)</f>
        <v>37823.487142856568</v>
      </c>
      <c r="BI520" s="80">
        <f>SUMIFS($AU$3:AU521,$Q$3:Q521,"F")</f>
        <v>20795.257142857143</v>
      </c>
      <c r="BJ520" s="80">
        <f>SUMIFS($AU$3:AU521,$Q$3:Q521,"S")</f>
        <v>12767.999999999996</v>
      </c>
      <c r="BK520" s="87">
        <f>SUMIFS($AU$3:AU521,$P$3:P521,"W")</f>
        <v>24644.437142857485</v>
      </c>
      <c r="BL520" s="87">
        <f>SUMIFS($AU$3:AU521,$P$3:P521,"R")</f>
        <v>11165.999999999862</v>
      </c>
      <c r="BM520" s="87">
        <f>SUMIFS($AU$3:AU521,$AQ$3:AQ521,"M")</f>
        <v>9225.3799999992698</v>
      </c>
      <c r="BN520" s="87">
        <f>SUMIFS($AU$3:AU521,$AQ$3:AQ521,"H")</f>
        <v>8087.2000000002827</v>
      </c>
      <c r="BO520" s="87">
        <f>SUMIFS($AU$3:AU521,$AQ$3:AQ521,"D")</f>
        <v>7662.307142857022</v>
      </c>
      <c r="BP520" s="87">
        <f>SUMIFS($AS$3:AS1281,$AO$3:AO1281,"W")</f>
        <v>0</v>
      </c>
      <c r="BQ520" s="87">
        <f>SUMIFS($AU$3:AU521,$Q$3:Q521,"O")</f>
        <v>2836.2299999994329</v>
      </c>
      <c r="BR520" s="87">
        <f>SUMIFS($AU$3:AU521,$AA$3:AA521,"*")</f>
        <v>30565.79999999945</v>
      </c>
      <c r="BS520" s="87">
        <f>SUMIFS($AU$3:AU521,$AB$3:AB521,"*")</f>
        <v>10514.829999999794</v>
      </c>
      <c r="BT520" s="87">
        <f>SUMIFS($AU$3:AU521,$AC$3:AC521,"*")</f>
        <v>19435.257142857139</v>
      </c>
      <c r="BU520" s="87">
        <f>SUMIFS($AU$3:AU521,$AA$3:AA521,"*",$AB$3:AB521,"*")</f>
        <v>5807.9999999998217</v>
      </c>
      <c r="BV520" s="87">
        <f>SUMIFS($AU$3:AU521,$AA$3:AA521,"*",$AC$3:AC521,"*")</f>
        <v>14324.400000000001</v>
      </c>
      <c r="BW520" s="87">
        <f>SUMIFS($AU$3:AU521,$AB$3:AB521,"*",$AC$3:AC521,"*")</f>
        <v>5839.9999999999982</v>
      </c>
      <c r="BX520" s="87">
        <f>SUMIFS($AV$3:AV521,$Q$3:Q521,"F")</f>
        <v>343.80468353405269</v>
      </c>
      <c r="BY520" s="87">
        <f>SUMIFS($AV$3:AV521,$Q$3:Q521,"S")</f>
        <v>523.63991333429885</v>
      </c>
      <c r="BZ520" s="87">
        <f>SUMIFS($AV$3:AV521,$Q$3:Q521,"O")</f>
        <v>871.22899999976846</v>
      </c>
    </row>
    <row r="521" spans="1:78" ht="15.75" customHeight="1">
      <c r="A521" s="45" t="s">
        <v>1310</v>
      </c>
      <c r="B521" s="59">
        <v>45408</v>
      </c>
      <c r="C521" s="46" t="s">
        <v>1769</v>
      </c>
      <c r="D521" s="46" t="s">
        <v>115</v>
      </c>
      <c r="E521" s="66"/>
      <c r="F521" s="47"/>
      <c r="G521" s="106" t="s">
        <v>1773</v>
      </c>
      <c r="H521" s="49"/>
      <c r="I521" s="49"/>
      <c r="J521" s="49"/>
      <c r="K521" s="50"/>
      <c r="L521" s="49">
        <v>1</v>
      </c>
      <c r="M521" s="49"/>
      <c r="N521" s="49"/>
      <c r="O521" s="50" t="s">
        <v>100</v>
      </c>
      <c r="P521" s="50" t="s">
        <v>101</v>
      </c>
      <c r="Q521" s="50" t="s">
        <v>102</v>
      </c>
      <c r="R521" s="50">
        <v>3</v>
      </c>
      <c r="S521" s="161">
        <v>0</v>
      </c>
      <c r="T521" s="50">
        <v>3</v>
      </c>
      <c r="U521" s="50" t="s">
        <v>22</v>
      </c>
      <c r="V521" s="50"/>
      <c r="W521" s="50"/>
      <c r="X521" s="50"/>
      <c r="Y521" s="51">
        <f>IF(ISBLANK(O521),"",(IF(O521=UPPER("IB"),0.005,0.01)))</f>
        <v>0.01</v>
      </c>
      <c r="Z521" s="52">
        <f>IF(ISBLANK(O521),"",IF(O521="IB",8.63*200,IF(O521="IR",16*100,IF(O521="YT",20*100,IF(O521="YT-XT",24*200,IF(O521="TED",80*100,IF(O521="XT",29*200)))))))</f>
        <v>1600</v>
      </c>
      <c r="AA521" s="52" t="s">
        <v>177</v>
      </c>
      <c r="AB521" s="52" t="s">
        <v>1770</v>
      </c>
      <c r="AC521" s="52"/>
      <c r="AD521" s="231">
        <v>-0.01</v>
      </c>
      <c r="AE521" s="49"/>
      <c r="AF521" s="84"/>
      <c r="AG521" s="49"/>
      <c r="AH521" s="49"/>
      <c r="AI521" s="49"/>
      <c r="AJ521" s="226"/>
      <c r="AK521" s="49"/>
      <c r="AL521" s="113">
        <f t="shared" si="230"/>
        <v>-32</v>
      </c>
      <c r="AM521" s="113">
        <f t="shared" si="224"/>
        <v>-96</v>
      </c>
      <c r="AN521" s="218"/>
      <c r="AO521" s="49"/>
      <c r="AP521" s="49" t="s">
        <v>104</v>
      </c>
      <c r="AQ521" s="84" t="s">
        <v>142</v>
      </c>
      <c r="AR521" s="49" t="s">
        <v>1771</v>
      </c>
      <c r="AS521" s="55">
        <v>-0.01</v>
      </c>
      <c r="AT521" s="55">
        <f>IF(ISBLANK(AS521),,IF(U521="S",AD521-AS521,AS521-AD521))</f>
        <v>0</v>
      </c>
      <c r="AU521" s="54">
        <f>AV521*R521</f>
        <v>0</v>
      </c>
      <c r="AV521" s="56">
        <f t="shared" si="237"/>
        <v>0</v>
      </c>
      <c r="AW521" s="57" t="s">
        <v>155</v>
      </c>
      <c r="AX521" s="153" t="s">
        <v>1774</v>
      </c>
      <c r="AY521" s="153"/>
      <c r="AZ521" s="153"/>
      <c r="BA521" s="153"/>
      <c r="BB521" s="153"/>
      <c r="BC521" s="153"/>
      <c r="BD521" s="151"/>
      <c r="BE521" s="152"/>
      <c r="BF521" s="151"/>
      <c r="BG521" s="94">
        <f>SUM($AV$4:AV521)</f>
        <v>3686.6735968681255</v>
      </c>
      <c r="BH521" s="95">
        <f>SUM($AU$4:AU521)</f>
        <v>37823.487142856568</v>
      </c>
      <c r="BI521" s="80">
        <f>SUMIFS($AU$3:AU522,$Q$3:Q522,"F")</f>
        <v>20795.257142857143</v>
      </c>
      <c r="BJ521" s="80">
        <f>SUMIFS($AU$3:AU522,$Q$3:Q522,"S")</f>
        <v>12767.999999999996</v>
      </c>
      <c r="BK521" s="87">
        <f>SUMIFS($AU$3:AU522,$P$3:P522,"W")</f>
        <v>24644.437142857485</v>
      </c>
      <c r="BL521" s="87">
        <f>SUMIFS($AU$3:AU522,$P$3:P522,"R")</f>
        <v>11165.999999999862</v>
      </c>
      <c r="BM521" s="87">
        <f>SUMIFS($AU$3:AU522,$AQ$3:AQ522,"M")</f>
        <v>9225.3799999992698</v>
      </c>
      <c r="BN521" s="87">
        <f>SUMIFS($AU$3:AU522,$AQ$3:AQ522,"H")</f>
        <v>8087.2000000002827</v>
      </c>
      <c r="BO521" s="87">
        <f>SUMIFS($AU$3:AU522,$AQ$3:AQ522,"D")</f>
        <v>7662.307142857022</v>
      </c>
      <c r="BP521" s="87">
        <f>SUMIFS($AS$3:AS1282,$AO$3:AO1282,"W")</f>
        <v>0</v>
      </c>
      <c r="BQ521" s="87">
        <f>SUMIFS($AU$3:AU522,$Q$3:Q522,"O")</f>
        <v>2836.2299999994329</v>
      </c>
      <c r="BR521" s="87">
        <f>SUMIFS($AU$3:AU522,$AA$3:AA522,"*")</f>
        <v>30565.79999999945</v>
      </c>
      <c r="BS521" s="87">
        <f>SUMIFS($AU$3:AU522,$AB$3:AB522,"*")</f>
        <v>10514.829999999794</v>
      </c>
      <c r="BT521" s="87">
        <f>SUMIFS($AU$3:AU522,$AC$3:AC522,"*")</f>
        <v>19435.257142857139</v>
      </c>
      <c r="BU521" s="87">
        <f>SUMIFS($AU$3:AU522,$AA$3:AA522,"*",$AB$3:AB522,"*")</f>
        <v>5807.9999999998217</v>
      </c>
      <c r="BV521" s="87">
        <f>SUMIFS($AU$3:AU522,$AA$3:AA522,"*",$AC$3:AC522,"*")</f>
        <v>14324.400000000001</v>
      </c>
      <c r="BW521" s="87">
        <f>SUMIFS($AU$3:AU522,$AB$3:AB522,"*",$AC$3:AC522,"*")</f>
        <v>5839.9999999999982</v>
      </c>
      <c r="BX521" s="87">
        <f>SUMIFS($AV$3:AV522,$Q$3:Q522,"F")</f>
        <v>343.80468353405269</v>
      </c>
      <c r="BY521" s="87">
        <f>SUMIFS($AV$3:AV522,$Q$3:Q522,"S")</f>
        <v>523.63991333429885</v>
      </c>
      <c r="BZ521" s="87">
        <f>SUMIFS($AV$3:AV522,$Q$3:Q522,"O")</f>
        <v>871.22899999976846</v>
      </c>
    </row>
    <row r="522" spans="1:78" ht="15.75" customHeight="1">
      <c r="A522" s="45" t="s">
        <v>1310</v>
      </c>
      <c r="B522" s="59">
        <v>45408</v>
      </c>
      <c r="C522" s="46" t="s">
        <v>1775</v>
      </c>
      <c r="D522" s="46" t="s">
        <v>115</v>
      </c>
      <c r="E522" s="66"/>
      <c r="F522" s="47"/>
      <c r="G522" s="48" t="s">
        <v>181</v>
      </c>
      <c r="H522" s="49"/>
      <c r="I522" s="49"/>
      <c r="J522" s="49"/>
      <c r="K522" s="50"/>
      <c r="L522" s="49"/>
      <c r="M522" s="49"/>
      <c r="N522" s="49"/>
      <c r="O522" s="50"/>
      <c r="P522" s="50"/>
      <c r="Q522" s="50"/>
      <c r="R522" s="50"/>
      <c r="S522" s="161"/>
      <c r="T522" s="50"/>
      <c r="U522" s="50"/>
      <c r="V522" s="50"/>
      <c r="W522" s="50"/>
      <c r="X522" s="50"/>
      <c r="Y522" s="51"/>
      <c r="Z522" s="52"/>
      <c r="AA522" s="52"/>
      <c r="AB522" s="52"/>
      <c r="AC522" s="52"/>
      <c r="AD522" s="231"/>
      <c r="AE522" s="49"/>
      <c r="AF522" s="84"/>
      <c r="AG522" s="49"/>
      <c r="AH522" s="49"/>
      <c r="AI522" s="49"/>
      <c r="AJ522" s="226"/>
      <c r="AK522" s="49"/>
      <c r="AL522" s="113">
        <f t="shared" si="230"/>
        <v>0</v>
      </c>
      <c r="AM522" s="113">
        <f t="shared" si="224"/>
        <v>0</v>
      </c>
      <c r="AN522" s="218"/>
      <c r="AO522" s="49"/>
      <c r="AP522" s="49"/>
      <c r="AQ522" s="84" t="str">
        <f>UPPER(RIGHT(Journal_Live[[#This Row],[DURATION ]]))</f>
        <v/>
      </c>
      <c r="AR522" s="49"/>
      <c r="AS522" s="55"/>
      <c r="AT522" s="55"/>
      <c r="AU522" s="54"/>
      <c r="AV522" s="56"/>
      <c r="AW522" s="57"/>
      <c r="AX522" s="153"/>
      <c r="AY522" s="153"/>
      <c r="AZ522" s="153"/>
      <c r="BA522" s="153"/>
      <c r="BB522" s="153"/>
      <c r="BC522" s="153"/>
      <c r="BD522" s="151"/>
      <c r="BE522" s="152"/>
      <c r="BF522" s="151"/>
      <c r="BG522" s="94">
        <f>SUM($AV$4:AV522)</f>
        <v>3686.6735968681255</v>
      </c>
      <c r="BH522" s="95">
        <f>SUM($AU$4:AU522)</f>
        <v>37823.487142856568</v>
      </c>
      <c r="BI522" s="80">
        <f>SUMIFS($AU$3:AU523,$Q$3:Q523,"F")</f>
        <v>20795.257142857143</v>
      </c>
      <c r="BJ522" s="80">
        <f>SUMIFS($AU$3:AU523,$Q$3:Q523,"S")</f>
        <v>12767.999999999996</v>
      </c>
      <c r="BK522" s="87">
        <f>SUMIFS($AU$3:AU523,$P$3:P523,"W")</f>
        <v>24644.437142857485</v>
      </c>
      <c r="BL522" s="87">
        <f>SUMIFS($AU$3:AU523,$P$3:P523,"R")</f>
        <v>11165.999999999862</v>
      </c>
      <c r="BM522" s="87">
        <f>SUMIFS($AU$3:AU523,$AQ$3:AQ523,"M")</f>
        <v>9225.3799999992698</v>
      </c>
      <c r="BN522" s="87">
        <f>SUMIFS($AU$3:AU523,$AQ$3:AQ523,"H")</f>
        <v>8087.2000000002827</v>
      </c>
      <c r="BO522" s="87">
        <f>SUMIFS($AU$3:AU523,$AQ$3:AQ523,"D")</f>
        <v>7662.307142857022</v>
      </c>
      <c r="BP522" s="87">
        <f>SUMIFS($AS$3:AS1283,$AO$3:AO1283,"W")</f>
        <v>0</v>
      </c>
      <c r="BQ522" s="87">
        <f>SUMIFS($AU$3:AU523,$Q$3:Q523,"O")</f>
        <v>2836.2299999994329</v>
      </c>
      <c r="BR522" s="87">
        <f>SUMIFS($AU$3:AU523,$AA$3:AA523,"*")</f>
        <v>30565.79999999945</v>
      </c>
      <c r="BS522" s="87">
        <f>SUMIFS($AU$3:AU523,$AB$3:AB523,"*")</f>
        <v>10514.829999999794</v>
      </c>
      <c r="BT522" s="87">
        <f>SUMIFS($AU$3:AU523,$AC$3:AC523,"*")</f>
        <v>19435.257142857139</v>
      </c>
      <c r="BU522" s="87">
        <f>SUMIFS($AU$3:AU523,$AA$3:AA523,"*",$AB$3:AB523,"*")</f>
        <v>5807.9999999998217</v>
      </c>
      <c r="BV522" s="87">
        <f>SUMIFS($AU$3:AU523,$AA$3:AA523,"*",$AC$3:AC523,"*")</f>
        <v>14324.400000000001</v>
      </c>
      <c r="BW522" s="87">
        <f>SUMIFS($AU$3:AU523,$AB$3:AB523,"*",$AC$3:AC523,"*")</f>
        <v>5839.9999999999982</v>
      </c>
      <c r="BX522" s="87">
        <f>SUMIFS($AV$3:AV523,$Q$3:Q523,"F")</f>
        <v>343.80468353405269</v>
      </c>
      <c r="BY522" s="87">
        <f>SUMIFS($AV$3:AV523,$Q$3:Q523,"S")</f>
        <v>523.63991333429885</v>
      </c>
      <c r="BZ522" s="87">
        <f>SUMIFS($AV$3:AV523,$Q$3:Q523,"O")</f>
        <v>871.22899999976846</v>
      </c>
    </row>
    <row r="523" spans="1:78" ht="15.75" customHeight="1">
      <c r="A523" s="45" t="s">
        <v>1310</v>
      </c>
      <c r="B523" s="59">
        <v>45408</v>
      </c>
      <c r="C523" s="46" t="s">
        <v>871</v>
      </c>
      <c r="D523" s="46" t="s">
        <v>115</v>
      </c>
      <c r="E523" s="66" t="s">
        <v>1776</v>
      </c>
      <c r="F523" s="47"/>
      <c r="G523" s="48"/>
      <c r="H523" s="49"/>
      <c r="I523" s="49"/>
      <c r="J523" s="49"/>
      <c r="K523" s="50"/>
      <c r="L523" s="49"/>
      <c r="M523" s="49"/>
      <c r="N523" s="49"/>
      <c r="O523" s="50"/>
      <c r="P523" s="50"/>
      <c r="Q523" s="50"/>
      <c r="R523" s="50"/>
      <c r="S523" s="50"/>
      <c r="T523" s="50"/>
      <c r="U523" s="50"/>
      <c r="V523" s="50"/>
      <c r="W523" s="50"/>
      <c r="X523" s="50"/>
      <c r="Y523" s="50"/>
      <c r="Z523" s="50"/>
      <c r="AA523" s="52"/>
      <c r="AB523" s="52"/>
      <c r="AC523" s="52"/>
      <c r="AD523" s="231"/>
      <c r="AE523" s="49"/>
      <c r="AF523" s="84"/>
      <c r="AG523" s="49"/>
      <c r="AH523" s="49"/>
      <c r="AI523" s="49"/>
      <c r="AJ523" s="226"/>
      <c r="AK523" s="49"/>
      <c r="AL523" s="113">
        <f t="shared" ref="AL523:AL525" si="238">-0.02*Z523</f>
        <v>0</v>
      </c>
      <c r="AM523" s="113">
        <f t="shared" si="224"/>
        <v>0</v>
      </c>
      <c r="AN523" s="218"/>
      <c r="AO523" s="49"/>
      <c r="AP523" s="49"/>
      <c r="AQ523" s="84" t="str">
        <f>UPPER(RIGHT(Journal_Live[[#This Row],[DURATION ]]))</f>
        <v/>
      </c>
      <c r="AR523" s="49"/>
      <c r="AS523" s="55"/>
      <c r="AT523" s="55"/>
      <c r="AU523" s="54"/>
      <c r="AV523" s="56"/>
      <c r="AW523" s="57"/>
      <c r="AX523" s="153"/>
      <c r="AY523" s="153"/>
      <c r="AZ523" s="153"/>
      <c r="BA523" s="153"/>
      <c r="BB523" s="153"/>
      <c r="BC523" s="153"/>
      <c r="BD523" s="151"/>
      <c r="BE523" s="152"/>
      <c r="BF523" s="151"/>
      <c r="BG523" s="94">
        <f>SUM($AV$4:AV523)</f>
        <v>3686.6735968681255</v>
      </c>
      <c r="BH523" s="95">
        <f>SUM($AU$4:AU523)</f>
        <v>37823.487142856568</v>
      </c>
      <c r="BI523" s="80">
        <f>SUMIFS($AU$3:AU524,$Q$3:Q524,"F")</f>
        <v>20795.257142857143</v>
      </c>
      <c r="BJ523" s="80">
        <f>SUMIFS($AU$3:AU524,$Q$3:Q524,"S")</f>
        <v>12767.999999999996</v>
      </c>
      <c r="BK523" s="87">
        <f>SUMIFS($AU$3:AU524,$P$3:P524,"W")</f>
        <v>24644.437142857485</v>
      </c>
      <c r="BL523" s="87">
        <f>SUMIFS($AU$3:AU524,$P$3:P524,"R")</f>
        <v>11165.999999999862</v>
      </c>
      <c r="BM523" s="87">
        <f>SUMIFS($AU$3:AU524,$AQ$3:AQ524,"M")</f>
        <v>9225.3799999992698</v>
      </c>
      <c r="BN523" s="87">
        <f>SUMIFS($AU$3:AU524,$AQ$3:AQ524,"H")</f>
        <v>8087.2000000002827</v>
      </c>
      <c r="BO523" s="87">
        <f>SUMIFS($AU$3:AU524,$AQ$3:AQ524,"D")</f>
        <v>7662.307142857022</v>
      </c>
      <c r="BP523" s="87">
        <f>SUMIFS($AS$3:AS1284,$AO$3:AO1284,"W")</f>
        <v>0</v>
      </c>
      <c r="BQ523" s="87">
        <f>SUMIFS($AU$3:AU524,$Q$3:Q524,"O")</f>
        <v>2836.2299999994329</v>
      </c>
      <c r="BR523" s="87">
        <f>SUMIFS($AU$3:AU524,$AA$3:AA524,"*")</f>
        <v>30565.79999999945</v>
      </c>
      <c r="BS523" s="87">
        <f>SUMIFS($AU$3:AU524,$AB$3:AB524,"*")</f>
        <v>10514.829999999794</v>
      </c>
      <c r="BT523" s="87">
        <f>SUMIFS($AU$3:AU524,$AC$3:AC524,"*")</f>
        <v>19435.257142857139</v>
      </c>
      <c r="BU523" s="87">
        <f>SUMIFS($AU$3:AU524,$AA$3:AA524,"*",$AB$3:AB524,"*")</f>
        <v>5807.9999999998217</v>
      </c>
      <c r="BV523" s="87">
        <f>SUMIFS($AU$3:AU524,$AA$3:AA524,"*",$AC$3:AC524,"*")</f>
        <v>14324.400000000001</v>
      </c>
      <c r="BW523" s="87">
        <f>SUMIFS($AU$3:AU524,$AB$3:AB524,"*",$AC$3:AC524,"*")</f>
        <v>5839.9999999999982</v>
      </c>
      <c r="BX523" s="87">
        <f>SUMIFS($AV$3:AV524,$Q$3:Q524,"F")</f>
        <v>343.80468353405269</v>
      </c>
      <c r="BY523" s="87">
        <f>SUMIFS($AV$3:AV524,$Q$3:Q524,"S")</f>
        <v>523.63991333429885</v>
      </c>
      <c r="BZ523" s="87">
        <f>SUMIFS($AV$3:AV524,$Q$3:Q524,"O")</f>
        <v>871.22899999976846</v>
      </c>
    </row>
    <row r="524" spans="1:78" ht="15.75" customHeight="1">
      <c r="A524" s="45" t="s">
        <v>1310</v>
      </c>
      <c r="B524" s="59"/>
      <c r="C524" s="46"/>
      <c r="D524" s="46"/>
      <c r="E524" s="66" t="s">
        <v>1777</v>
      </c>
      <c r="F524" s="47"/>
      <c r="G524" s="48"/>
      <c r="H524" s="49"/>
      <c r="I524" s="49"/>
      <c r="J524" s="49"/>
      <c r="K524" s="50"/>
      <c r="L524" s="49"/>
      <c r="M524" s="49"/>
      <c r="N524" s="49"/>
      <c r="O524" s="50"/>
      <c r="P524" s="50"/>
      <c r="Q524" s="50"/>
      <c r="R524" s="50"/>
      <c r="S524" s="50"/>
      <c r="T524" s="50"/>
      <c r="U524" s="50"/>
      <c r="V524" s="50"/>
      <c r="W524" s="50"/>
      <c r="X524" s="50"/>
      <c r="Y524" s="50"/>
      <c r="Z524" s="50"/>
      <c r="AA524" s="52"/>
      <c r="AB524" s="52"/>
      <c r="AC524" s="52"/>
      <c r="AD524" s="231"/>
      <c r="AE524" s="49"/>
      <c r="AF524" s="84"/>
      <c r="AG524" s="49"/>
      <c r="AH524" s="49"/>
      <c r="AI524" s="49"/>
      <c r="AJ524" s="226"/>
      <c r="AK524" s="49"/>
      <c r="AL524" s="113">
        <f t="shared" si="238"/>
        <v>0</v>
      </c>
      <c r="AM524" s="113">
        <f t="shared" si="224"/>
        <v>0</v>
      </c>
      <c r="AN524" s="218"/>
      <c r="AO524" s="49"/>
      <c r="AP524" s="49"/>
      <c r="AQ524" s="84" t="str">
        <f>UPPER(RIGHT(Journal_Live[[#This Row],[DURATION ]]))</f>
        <v/>
      </c>
      <c r="AR524" s="49" t="s">
        <v>95</v>
      </c>
      <c r="AS524" s="55"/>
      <c r="AT524" s="55"/>
      <c r="AU524" s="54"/>
      <c r="AV524" s="56"/>
      <c r="AW524" s="57"/>
      <c r="AX524" s="153"/>
      <c r="AY524" s="153"/>
      <c r="AZ524" s="153"/>
      <c r="BA524" s="153"/>
      <c r="BB524" s="153"/>
      <c r="BC524" s="153"/>
      <c r="BD524" s="151"/>
      <c r="BE524" s="152"/>
      <c r="BF524" s="151"/>
      <c r="BG524" s="94">
        <f>SUM($AV$4:AV524)</f>
        <v>3686.6735968681255</v>
      </c>
      <c r="BH524" s="95">
        <f>SUM($AU$4:AU524)</f>
        <v>37823.487142856568</v>
      </c>
      <c r="BI524" s="80">
        <f>SUMIFS($AU$3:AU525,$Q$3:Q525,"F")</f>
        <v>20795.257142857143</v>
      </c>
      <c r="BJ524" s="80">
        <f>SUMIFS($AU$3:AU525,$Q$3:Q525,"S")</f>
        <v>12767.999999999996</v>
      </c>
      <c r="BK524" s="87">
        <f>SUMIFS($AU$3:AU525,$P$3:P525,"W")</f>
        <v>24644.437142857485</v>
      </c>
      <c r="BL524" s="87">
        <f>SUMIFS($AU$3:AU525,$P$3:P525,"R")</f>
        <v>11165.999999999862</v>
      </c>
      <c r="BM524" s="87">
        <f>SUMIFS($AU$3:AU525,$AQ$3:AQ525,"M")</f>
        <v>9225.3799999992698</v>
      </c>
      <c r="BN524" s="87">
        <f>SUMIFS($AU$3:AU525,$AQ$3:AQ525,"H")</f>
        <v>8087.2000000002827</v>
      </c>
      <c r="BO524" s="87">
        <f>SUMIFS($AU$3:AU525,$AQ$3:AQ525,"D")</f>
        <v>7662.307142857022</v>
      </c>
      <c r="BP524" s="87">
        <f>SUMIFS($AS$3:AS1285,$AO$3:AO1285,"W")</f>
        <v>0</v>
      </c>
      <c r="BQ524" s="87">
        <f>SUMIFS($AU$3:AU525,$Q$3:Q525,"O")</f>
        <v>2836.2299999994329</v>
      </c>
      <c r="BR524" s="87">
        <f>SUMIFS($AU$3:AU525,$AA$3:AA525,"*")</f>
        <v>30565.79999999945</v>
      </c>
      <c r="BS524" s="87">
        <f>SUMIFS($AU$3:AU525,$AB$3:AB525,"*")</f>
        <v>10514.829999999794</v>
      </c>
      <c r="BT524" s="87">
        <f>SUMIFS($AU$3:AU525,$AC$3:AC525,"*")</f>
        <v>19435.257142857139</v>
      </c>
      <c r="BU524" s="87">
        <f>SUMIFS($AU$3:AU525,$AA$3:AA525,"*",$AB$3:AB525,"*")</f>
        <v>5807.9999999998217</v>
      </c>
      <c r="BV524" s="87">
        <f>SUMIFS($AU$3:AU525,$AA$3:AA525,"*",$AC$3:AC525,"*")</f>
        <v>14324.400000000001</v>
      </c>
      <c r="BW524" s="87">
        <f>SUMIFS($AU$3:AU525,$AB$3:AB525,"*",$AC$3:AC525,"*")</f>
        <v>5839.9999999999982</v>
      </c>
      <c r="BX524" s="87">
        <f>SUMIFS($AV$3:AV525,$Q$3:Q525,"F")</f>
        <v>343.80468353405269</v>
      </c>
      <c r="BY524" s="87">
        <f>SUMIFS($AV$3:AV525,$Q$3:Q525,"S")</f>
        <v>523.63991333429885</v>
      </c>
      <c r="BZ524" s="87">
        <f>SUMIFS($AV$3:AV525,$Q$3:Q525,"O")</f>
        <v>871.22899999976846</v>
      </c>
    </row>
    <row r="525" spans="1:78" ht="15.75" customHeight="1">
      <c r="A525" s="45" t="s">
        <v>1310</v>
      </c>
      <c r="B525" s="59"/>
      <c r="C525" s="46"/>
      <c r="D525" s="46"/>
      <c r="E525" s="66" t="s">
        <v>1778</v>
      </c>
      <c r="F525" s="47"/>
      <c r="G525" s="48"/>
      <c r="H525" s="49"/>
      <c r="I525" s="49"/>
      <c r="J525" s="49"/>
      <c r="K525" s="50"/>
      <c r="L525" s="49"/>
      <c r="M525" s="49"/>
      <c r="N525" s="49"/>
      <c r="O525" s="50"/>
      <c r="P525" s="50"/>
      <c r="Q525" s="50"/>
      <c r="R525" s="50"/>
      <c r="S525" s="50"/>
      <c r="T525" s="50"/>
      <c r="U525" s="50"/>
      <c r="V525" s="50"/>
      <c r="W525" s="50"/>
      <c r="X525" s="50"/>
      <c r="Y525" s="50"/>
      <c r="Z525" s="50"/>
      <c r="AA525" s="52"/>
      <c r="AB525" s="52"/>
      <c r="AC525" s="52"/>
      <c r="AD525" s="231"/>
      <c r="AE525" s="49"/>
      <c r="AF525" s="84"/>
      <c r="AG525" s="49"/>
      <c r="AH525" s="49"/>
      <c r="AI525" s="49"/>
      <c r="AJ525" s="226"/>
      <c r="AK525" s="49"/>
      <c r="AL525" s="113">
        <f t="shared" si="238"/>
        <v>0</v>
      </c>
      <c r="AM525" s="113">
        <f t="shared" si="224"/>
        <v>0</v>
      </c>
      <c r="AN525" s="218"/>
      <c r="AO525" s="49"/>
      <c r="AP525" s="49"/>
      <c r="AQ525" s="84" t="str">
        <f>UPPER(RIGHT(Journal_Live[[#This Row],[DURATION ]]))</f>
        <v/>
      </c>
      <c r="AR525" s="49"/>
      <c r="AS525" s="55"/>
      <c r="AT525" s="55"/>
      <c r="AU525" s="54"/>
      <c r="AV525" s="56"/>
      <c r="AW525" s="57"/>
      <c r="AX525" s="153"/>
      <c r="AY525" s="153"/>
      <c r="AZ525" s="153"/>
      <c r="BA525" s="153"/>
      <c r="BB525" s="153"/>
      <c r="BC525" s="153"/>
      <c r="BD525" s="151"/>
      <c r="BE525" s="152"/>
      <c r="BF525" s="151"/>
      <c r="BG525" s="94">
        <f>SUM($AV$4:AV525)</f>
        <v>3686.6735968681255</v>
      </c>
      <c r="BH525" s="95">
        <f>SUM($AU$4:AU525)</f>
        <v>37823.487142856568</v>
      </c>
      <c r="BI525" s="80">
        <f>SUMIFS($AU$3:AU526,$Q$3:Q526,"F")</f>
        <v>20795.257142857143</v>
      </c>
      <c r="BJ525" s="80">
        <f>SUMIFS($AU$3:AU526,$Q$3:Q526,"S")</f>
        <v>12767.999999999996</v>
      </c>
      <c r="BK525" s="87">
        <f>SUMIFS($AU$3:AU526,$P$3:P526,"W")</f>
        <v>24644.437142857485</v>
      </c>
      <c r="BL525" s="87">
        <f>SUMIFS($AU$3:AU526,$P$3:P526,"R")</f>
        <v>11165.999999999862</v>
      </c>
      <c r="BM525" s="87">
        <f>SUMIFS($AU$3:AU526,$AQ$3:AQ526,"M")</f>
        <v>9225.3799999992698</v>
      </c>
      <c r="BN525" s="87">
        <f>SUMIFS($AU$3:AU526,$AQ$3:AQ526,"H")</f>
        <v>8087.2000000002827</v>
      </c>
      <c r="BO525" s="87">
        <f>SUMIFS($AU$3:AU526,$AQ$3:AQ526,"D")</f>
        <v>7662.307142857022</v>
      </c>
      <c r="BP525" s="87">
        <f>SUMIFS($AS$3:AS1286,$AO$3:AO1286,"W")</f>
        <v>0</v>
      </c>
      <c r="BQ525" s="87">
        <f>SUMIFS($AU$3:AU526,$Q$3:Q526,"O")</f>
        <v>2836.2299999994329</v>
      </c>
      <c r="BR525" s="87">
        <f>SUMIFS($AU$3:AU526,$AA$3:AA526,"*")</f>
        <v>30565.79999999945</v>
      </c>
      <c r="BS525" s="87">
        <f>SUMIFS($AU$3:AU526,$AB$3:AB526,"*")</f>
        <v>10514.829999999794</v>
      </c>
      <c r="BT525" s="87">
        <f>SUMIFS($AU$3:AU526,$AC$3:AC526,"*")</f>
        <v>19435.257142857139</v>
      </c>
      <c r="BU525" s="87">
        <f>SUMIFS($AU$3:AU526,$AA$3:AA526,"*",$AB$3:AB526,"*")</f>
        <v>5807.9999999998217</v>
      </c>
      <c r="BV525" s="87">
        <f>SUMIFS($AU$3:AU526,$AA$3:AA526,"*",$AC$3:AC526,"*")</f>
        <v>14324.400000000001</v>
      </c>
      <c r="BW525" s="87">
        <f>SUMIFS($AU$3:AU526,$AB$3:AB526,"*",$AC$3:AC526,"*")</f>
        <v>5839.9999999999982</v>
      </c>
      <c r="BX525" s="87">
        <f>SUMIFS($AV$3:AV526,$Q$3:Q526,"F")</f>
        <v>343.80468353405269</v>
      </c>
      <c r="BY525" s="87">
        <f>SUMIFS($AV$3:AV526,$Q$3:Q526,"S")</f>
        <v>523.63991333429885</v>
      </c>
      <c r="BZ525" s="87">
        <f>SUMIFS($AV$3:AV526,$Q$3:Q526,"O")</f>
        <v>871.22899999976846</v>
      </c>
    </row>
    <row r="526" spans="1:78" ht="15.75" customHeight="1">
      <c r="A526" s="45" t="s">
        <v>1310</v>
      </c>
      <c r="B526" s="59"/>
      <c r="C526" s="46"/>
      <c r="D526" s="46"/>
      <c r="E526" s="66" t="s">
        <v>1779</v>
      </c>
      <c r="F526" s="47"/>
      <c r="G526" s="48"/>
      <c r="H526" s="49"/>
      <c r="I526" s="49"/>
      <c r="J526" s="49"/>
      <c r="K526" s="50"/>
      <c r="L526" s="49"/>
      <c r="M526" s="49"/>
      <c r="N526" s="49"/>
      <c r="O526" s="50"/>
      <c r="P526" s="50"/>
      <c r="Q526" s="50"/>
      <c r="R526" s="50"/>
      <c r="S526" s="50"/>
      <c r="T526" s="50"/>
      <c r="U526" s="50"/>
      <c r="V526" s="50"/>
      <c r="W526" s="50"/>
      <c r="X526" s="50"/>
      <c r="Y526" s="50"/>
      <c r="Z526" s="50"/>
      <c r="AA526" s="52"/>
      <c r="AB526" s="52"/>
      <c r="AC526" s="52"/>
      <c r="AD526" s="231"/>
      <c r="AE526" s="49"/>
      <c r="AF526" s="84"/>
      <c r="AG526" s="49"/>
      <c r="AH526" s="49"/>
      <c r="AI526" s="49"/>
      <c r="AJ526" s="226"/>
      <c r="AK526" s="49"/>
      <c r="AL526" s="113">
        <f t="shared" si="230"/>
        <v>0</v>
      </c>
      <c r="AM526" s="113">
        <f t="shared" si="224"/>
        <v>0</v>
      </c>
      <c r="AN526" s="218"/>
      <c r="AO526" s="49"/>
      <c r="AP526" s="49"/>
      <c r="AQ526" s="84" t="str">
        <f>UPPER(RIGHT(Journal_Live[[#This Row],[DURATION ]]))</f>
        <v/>
      </c>
      <c r="AR526" s="49"/>
      <c r="AS526" s="55"/>
      <c r="AT526" s="55"/>
      <c r="AU526" s="54"/>
      <c r="AV526" s="56"/>
      <c r="AW526" s="57"/>
      <c r="AX526" s="153"/>
      <c r="AY526" s="153"/>
      <c r="AZ526" s="153"/>
      <c r="BA526" s="153"/>
      <c r="BB526" s="153"/>
      <c r="BC526" s="153"/>
      <c r="BD526" s="151"/>
      <c r="BE526" s="152"/>
      <c r="BF526" s="151"/>
      <c r="BG526" s="94">
        <f>SUM($AV$4:AV526)</f>
        <v>3686.6735968681255</v>
      </c>
      <c r="BH526" s="95">
        <f>SUM($AU$4:AU526)</f>
        <v>37823.487142856568</v>
      </c>
      <c r="BI526" s="80">
        <f>SUMIFS($AU$3:AU527,$Q$3:Q527,"F")</f>
        <v>20795.257142857143</v>
      </c>
      <c r="BJ526" s="80">
        <f>SUMIFS($AU$3:AU527,$Q$3:Q527,"S")</f>
        <v>14047.999999999996</v>
      </c>
      <c r="BK526" s="87">
        <f>SUMIFS($AU$3:AU527,$P$3:P527,"W")</f>
        <v>25924.437142857485</v>
      </c>
      <c r="BL526" s="87">
        <f>SUMIFS($AU$3:AU527,$P$3:P527,"R")</f>
        <v>11165.999999999862</v>
      </c>
      <c r="BM526" s="87">
        <f>SUMIFS($AU$3:AU527,$AQ$3:AQ527,"M")</f>
        <v>9225.3799999992698</v>
      </c>
      <c r="BN526" s="87">
        <f>SUMIFS($AU$3:AU527,$AQ$3:AQ527,"H")</f>
        <v>8087.2000000002827</v>
      </c>
      <c r="BO526" s="87">
        <f>SUMIFS($AU$3:AU527,$AQ$3:AQ527,"D")</f>
        <v>8942.307142857022</v>
      </c>
      <c r="BP526" s="87">
        <f>SUMIFS($AS$3:AS1287,$AO$3:AO1287,"W")</f>
        <v>0</v>
      </c>
      <c r="BQ526" s="87">
        <f>SUMIFS($AU$3:AU527,$Q$3:Q527,"O")</f>
        <v>2836.2299999994329</v>
      </c>
      <c r="BR526" s="87">
        <f>SUMIFS($AU$3:AU527,$AA$3:AA527,"*")</f>
        <v>30565.79999999945</v>
      </c>
      <c r="BS526" s="87">
        <f>SUMIFS($AU$3:AU527,$AB$3:AB527,"*")</f>
        <v>11794.829999999794</v>
      </c>
      <c r="BT526" s="87">
        <f>SUMIFS($AU$3:AU527,$AC$3:AC527,"*")</f>
        <v>20715.257142857139</v>
      </c>
      <c r="BU526" s="87">
        <f>SUMIFS($AU$3:AU527,$AA$3:AA527,"*",$AB$3:AB527,"*")</f>
        <v>5807.9999999998217</v>
      </c>
      <c r="BV526" s="87">
        <f>SUMIFS($AU$3:AU527,$AA$3:AA527,"*",$AC$3:AC527,"*")</f>
        <v>14324.400000000001</v>
      </c>
      <c r="BW526" s="87">
        <f>SUMIFS($AU$3:AU527,$AB$3:AB527,"*",$AC$3:AC527,"*")</f>
        <v>7119.9999999999982</v>
      </c>
      <c r="BX526" s="87">
        <f>SUMIFS($AV$3:AV527,$Q$3:Q527,"F")</f>
        <v>343.80468353405269</v>
      </c>
      <c r="BY526" s="87">
        <f>SUMIFS($AV$3:AV527,$Q$3:Q527,"S")</f>
        <v>555.63991333429885</v>
      </c>
      <c r="BZ526" s="87">
        <f>SUMIFS($AV$3:AV527,$Q$3:Q527,"O")</f>
        <v>871.22899999976846</v>
      </c>
    </row>
    <row r="527" spans="1:78" ht="15.75" customHeight="1">
      <c r="A527" s="45" t="s">
        <v>1310</v>
      </c>
      <c r="B527" s="59">
        <v>45408</v>
      </c>
      <c r="C527" s="46" t="s">
        <v>1780</v>
      </c>
      <c r="D527" s="46" t="s">
        <v>115</v>
      </c>
      <c r="E527" s="66"/>
      <c r="F527" s="47"/>
      <c r="G527" s="110" t="s">
        <v>804</v>
      </c>
      <c r="H527" s="49"/>
      <c r="I527" s="49"/>
      <c r="J527" s="49"/>
      <c r="K527" s="50"/>
      <c r="L527" s="49">
        <v>1</v>
      </c>
      <c r="M527" s="49"/>
      <c r="N527" s="49"/>
      <c r="O527" s="50" t="s">
        <v>100</v>
      </c>
      <c r="P527" s="50" t="s">
        <v>101</v>
      </c>
      <c r="Q527" s="50" t="s">
        <v>102</v>
      </c>
      <c r="R527" s="50">
        <v>40</v>
      </c>
      <c r="S527" s="161">
        <v>0</v>
      </c>
      <c r="T527" s="50">
        <v>30</v>
      </c>
      <c r="U527" s="50" t="s">
        <v>102</v>
      </c>
      <c r="V527" s="50"/>
      <c r="W527" s="50"/>
      <c r="X527" s="50"/>
      <c r="Y527" s="51">
        <f>IF(ISBLANK(O527),"",(IF(O527=UPPER("IB"),0.005,0.01)))</f>
        <v>0.01</v>
      </c>
      <c r="Z527" s="52">
        <f>IF(ISBLANK(O527),"",IF(O527="IB",8.63*200,IF(O527="IR",16*100,IF(O527="YT",20*100,IF(O527="YT-XT",24*200,IF(O527="TED",80*100,IF(O527="XT",29*200)))))))</f>
        <v>1600</v>
      </c>
      <c r="AA527" s="52"/>
      <c r="AB527" s="52" t="s">
        <v>1781</v>
      </c>
      <c r="AC527" s="52" t="s">
        <v>1782</v>
      </c>
      <c r="AD527" s="231">
        <v>0.08</v>
      </c>
      <c r="AE527" s="49"/>
      <c r="AF527" s="84"/>
      <c r="AG527" s="49"/>
      <c r="AH527" s="49"/>
      <c r="AI527" s="49"/>
      <c r="AJ527" s="226"/>
      <c r="AK527" s="49"/>
      <c r="AL527" s="113">
        <f t="shared" si="230"/>
        <v>-32</v>
      </c>
      <c r="AM527" s="113">
        <f t="shared" si="224"/>
        <v>-1280</v>
      </c>
      <c r="AN527" s="218"/>
      <c r="AO527" s="49"/>
      <c r="AP527" s="49" t="s">
        <v>279</v>
      </c>
      <c r="AQ527" s="84" t="s">
        <v>155</v>
      </c>
      <c r="AR527" s="49"/>
      <c r="AS527" s="55">
        <v>0.06</v>
      </c>
      <c r="AT527" s="55">
        <f>IF(ISBLANK(AS527),,IF(U527="S",AD527-AS527,AS527-AD527))</f>
        <v>2.0000000000000004E-2</v>
      </c>
      <c r="AU527" s="54">
        <f>AV527*R527</f>
        <v>1280.0000000000002</v>
      </c>
      <c r="AV527" s="56">
        <f t="shared" ref="AV527:AV531" si="239">IF(ISBLANK(AS527),,(AT527*Z527))</f>
        <v>32.000000000000007</v>
      </c>
      <c r="AW527" s="57" t="s">
        <v>101</v>
      </c>
      <c r="AX527" s="153" t="s">
        <v>1783</v>
      </c>
      <c r="AY527" s="153" t="s">
        <v>419</v>
      </c>
      <c r="AZ527" s="153" t="s">
        <v>1784</v>
      </c>
      <c r="BA527" s="153"/>
      <c r="BB527" s="153"/>
      <c r="BC527" s="153"/>
      <c r="BD527" s="151" t="s">
        <v>1785</v>
      </c>
      <c r="BE527" s="152"/>
      <c r="BF527" s="151"/>
      <c r="BG527" s="94">
        <f>SUM($AV$4:AV527)</f>
        <v>3718.6735968681255</v>
      </c>
      <c r="BH527" s="95">
        <f>SUM($AU$4:AU527)</f>
        <v>39103.487142856568</v>
      </c>
      <c r="BI527" s="80">
        <f>SUMIFS($AU$3:AU528,$Q$3:Q528,"F")</f>
        <v>20795.257142857143</v>
      </c>
      <c r="BJ527" s="80">
        <f>SUMIFS($AU$3:AU528,$Q$3:Q528,"S")</f>
        <v>14527.999999999996</v>
      </c>
      <c r="BK527" s="87">
        <f>SUMIFS($AU$3:AU528,$P$3:P528,"W")</f>
        <v>25924.437142857485</v>
      </c>
      <c r="BL527" s="87">
        <f>SUMIFS($AU$3:AU528,$P$3:P528,"R")</f>
        <v>11645.999999999862</v>
      </c>
      <c r="BM527" s="87">
        <f>SUMIFS($AU$3:AU528,$AQ$3:AQ528,"M")</f>
        <v>9225.3799999992698</v>
      </c>
      <c r="BN527" s="87">
        <f>SUMIFS($AU$3:AU528,$AQ$3:AQ528,"H")</f>
        <v>8087.2000000002827</v>
      </c>
      <c r="BO527" s="87">
        <f>SUMIFS($AU$3:AU528,$AQ$3:AQ528,"D")</f>
        <v>9422.307142857022</v>
      </c>
      <c r="BP527" s="87">
        <f>SUMIFS($AS$3:AS1288,$AO$3:AO1288,"W")</f>
        <v>0</v>
      </c>
      <c r="BQ527" s="87">
        <f>SUMIFS($AU$3:AU528,$Q$3:Q528,"O")</f>
        <v>2836.2299999994329</v>
      </c>
      <c r="BR527" s="87">
        <f>SUMIFS($AU$3:AU528,$AA$3:AA528,"*")</f>
        <v>31045.79999999945</v>
      </c>
      <c r="BS527" s="87">
        <f>SUMIFS($AU$3:AU528,$AB$3:AB528,"*")</f>
        <v>11794.829999999794</v>
      </c>
      <c r="BT527" s="87">
        <f>SUMIFS($AU$3:AU528,$AC$3:AC528,"*")</f>
        <v>21195.257142857139</v>
      </c>
      <c r="BU527" s="87">
        <f>SUMIFS($AU$3:AU528,$AA$3:AA528,"*",$AB$3:AB528,"*")</f>
        <v>5807.9999999998217</v>
      </c>
      <c r="BV527" s="87">
        <f>SUMIFS($AU$3:AU528,$AA$3:AA528,"*",$AC$3:AC528,"*")</f>
        <v>14804.400000000001</v>
      </c>
      <c r="BW527" s="87">
        <f>SUMIFS($AU$3:AU528,$AB$3:AB528,"*",$AC$3:AC528,"*")</f>
        <v>7119.9999999999982</v>
      </c>
      <c r="BX527" s="87">
        <f>SUMIFS($AV$3:AV528,$Q$3:Q528,"F")</f>
        <v>343.80468353405269</v>
      </c>
      <c r="BY527" s="87">
        <f>SUMIFS($AV$3:AV528,$Q$3:Q528,"S")</f>
        <v>571.63991333429885</v>
      </c>
      <c r="BZ527" s="87">
        <f>SUMIFS($AV$3:AV528,$Q$3:Q528,"O")</f>
        <v>871.22899999976846</v>
      </c>
    </row>
    <row r="528" spans="1:78" ht="15.75" customHeight="1">
      <c r="A528" s="45" t="s">
        <v>1310</v>
      </c>
      <c r="B528" s="59">
        <v>45408</v>
      </c>
      <c r="C528" s="46" t="s">
        <v>147</v>
      </c>
      <c r="D528" s="46" t="s">
        <v>115</v>
      </c>
      <c r="E528" s="66"/>
      <c r="F528" s="47"/>
      <c r="G528" s="172" t="s">
        <v>276</v>
      </c>
      <c r="H528" s="49"/>
      <c r="I528" s="49"/>
      <c r="J528" s="49"/>
      <c r="K528" s="50"/>
      <c r="L528" s="49"/>
      <c r="M528" s="49">
        <v>2</v>
      </c>
      <c r="N528" s="49"/>
      <c r="O528" s="50" t="s">
        <v>100</v>
      </c>
      <c r="P528" s="50" t="s">
        <v>126</v>
      </c>
      <c r="Q528" s="50" t="s">
        <v>102</v>
      </c>
      <c r="R528" s="50">
        <v>30</v>
      </c>
      <c r="S528" s="161">
        <v>7</v>
      </c>
      <c r="T528" s="50">
        <v>30</v>
      </c>
      <c r="U528" s="50" t="s">
        <v>22</v>
      </c>
      <c r="V528" s="50"/>
      <c r="W528" s="50"/>
      <c r="X528" s="50"/>
      <c r="Y528" s="51">
        <f>IF(ISBLANK(O528),"",(IF(O528=UPPER("IB"),0.005,0.01)))</f>
        <v>0.01</v>
      </c>
      <c r="Z528" s="52">
        <f>IF(ISBLANK(O528),"",IF(O528="IB",8.63*200,IF(O528="IR",16*100,IF(O528="YT",20*100,IF(O528="YT-XT",24*200,IF(O528="TED",80*100,IF(O528="XT",29*200)))))))</f>
        <v>1600</v>
      </c>
      <c r="AA528" s="52" t="s">
        <v>277</v>
      </c>
      <c r="AB528" s="52"/>
      <c r="AC528" s="52" t="s">
        <v>1786</v>
      </c>
      <c r="AD528" s="231">
        <v>-0.1</v>
      </c>
      <c r="AE528" s="49"/>
      <c r="AF528" s="84"/>
      <c r="AG528" s="49"/>
      <c r="AH528" s="49"/>
      <c r="AI528" s="49"/>
      <c r="AJ528" s="226"/>
      <c r="AK528" s="49"/>
      <c r="AL528" s="113">
        <f t="shared" si="230"/>
        <v>-32</v>
      </c>
      <c r="AM528" s="113">
        <f t="shared" si="224"/>
        <v>-736</v>
      </c>
      <c r="AN528" s="218"/>
      <c r="AO528" s="49"/>
      <c r="AP528" s="49" t="s">
        <v>1162</v>
      </c>
      <c r="AQ528" s="84" t="s">
        <v>155</v>
      </c>
      <c r="AR528" s="49"/>
      <c r="AS528" s="55">
        <v>-0.09</v>
      </c>
      <c r="AT528" s="55">
        <f>IF(ISBLANK(AS528),,IF(U528="S",AD528-AS528,AS528-AD528))</f>
        <v>1.0000000000000009E-2</v>
      </c>
      <c r="AU528" s="54">
        <f>AV528*R528</f>
        <v>480.00000000000045</v>
      </c>
      <c r="AV528" s="56">
        <f t="shared" si="239"/>
        <v>16.000000000000014</v>
      </c>
      <c r="AW528" s="57" t="s">
        <v>101</v>
      </c>
      <c r="AX528" s="153" t="s">
        <v>1787</v>
      </c>
      <c r="AY528" s="153"/>
      <c r="AZ528" s="153"/>
      <c r="BA528" s="153"/>
      <c r="BB528" s="153"/>
      <c r="BC528" s="153"/>
      <c r="BD528" s="151"/>
      <c r="BE528" s="152"/>
      <c r="BF528" s="151"/>
      <c r="BG528" s="94">
        <f>SUM($AV$4:AV528)</f>
        <v>3734.6735968681255</v>
      </c>
      <c r="BH528" s="95">
        <f>SUM($AU$4:AU528)</f>
        <v>39583.487142856568</v>
      </c>
      <c r="BI528" s="80">
        <f>SUMIFS($AU$3:AU529,$Q$3:Q529,"F")</f>
        <v>25718.457142857143</v>
      </c>
      <c r="BJ528" s="80">
        <f>SUMIFS($AU$3:AU529,$Q$3:Q529,"S")</f>
        <v>14527.999999999996</v>
      </c>
      <c r="BK528" s="87">
        <f>SUMIFS($AU$3:AU529,$P$3:P529,"W")</f>
        <v>30847.637142857486</v>
      </c>
      <c r="BL528" s="87">
        <f>SUMIFS($AU$3:AU529,$P$3:P529,"R")</f>
        <v>11645.999999999862</v>
      </c>
      <c r="BM528" s="87">
        <f>SUMIFS($AU$3:AU529,$AQ$3:AQ529,"M")</f>
        <v>9225.3799999992698</v>
      </c>
      <c r="BN528" s="87">
        <f>SUMIFS($AU$3:AU529,$AQ$3:AQ529,"H")</f>
        <v>8087.2000000002827</v>
      </c>
      <c r="BO528" s="87">
        <f>SUMIFS($AU$3:AU529,$AQ$3:AQ529,"D")</f>
        <v>14345.507142857023</v>
      </c>
      <c r="BP528" s="87">
        <f>SUMIFS($AS$3:AS1289,$AO$3:AO1289,"W")</f>
        <v>0</v>
      </c>
      <c r="BQ528" s="87">
        <f>SUMIFS($AU$3:AU529,$Q$3:Q529,"O")</f>
        <v>2836.2299999994329</v>
      </c>
      <c r="BR528" s="87">
        <f>SUMIFS($AU$3:AU529,$AA$3:AA529,"*")</f>
        <v>31045.79999999945</v>
      </c>
      <c r="BS528" s="87">
        <f>SUMIFS($AU$3:AU529,$AB$3:AB529,"*")</f>
        <v>11794.829999999794</v>
      </c>
      <c r="BT528" s="87">
        <f>SUMIFS($AU$3:AU529,$AC$3:AC529,"*")</f>
        <v>26118.45714285714</v>
      </c>
      <c r="BU528" s="87">
        <f>SUMIFS($AU$3:AU529,$AA$3:AA529,"*",$AB$3:AB529,"*")</f>
        <v>5807.9999999998217</v>
      </c>
      <c r="BV528" s="87">
        <f>SUMIFS($AU$3:AU529,$AA$3:AA529,"*",$AC$3:AC529,"*")</f>
        <v>14804.400000000001</v>
      </c>
      <c r="BW528" s="87">
        <f>SUMIFS($AU$3:AU529,$AB$3:AB529,"*",$AC$3:AC529,"*")</f>
        <v>7119.9999999999982</v>
      </c>
      <c r="BX528" s="87">
        <f>SUMIFS($AV$3:AV529,$Q$3:Q529,"F")</f>
        <v>397.90578243515159</v>
      </c>
      <c r="BY528" s="87">
        <f>SUMIFS($AV$3:AV529,$Q$3:Q529,"S")</f>
        <v>571.63991333429885</v>
      </c>
      <c r="BZ528" s="87">
        <f>SUMIFS($AV$3:AV529,$Q$3:Q529,"O")</f>
        <v>871.22899999976846</v>
      </c>
    </row>
    <row r="529" spans="1:78" ht="15.75" customHeight="1">
      <c r="A529" s="45" t="s">
        <v>1310</v>
      </c>
      <c r="B529" s="59">
        <v>45408</v>
      </c>
      <c r="C529" s="46" t="s">
        <v>147</v>
      </c>
      <c r="D529" s="46" t="s">
        <v>115</v>
      </c>
      <c r="E529" s="66"/>
      <c r="F529" s="47"/>
      <c r="G529" s="155" t="s">
        <v>804</v>
      </c>
      <c r="H529" s="49"/>
      <c r="I529" s="49"/>
      <c r="J529" s="49"/>
      <c r="K529" s="50"/>
      <c r="L529" s="49">
        <v>3</v>
      </c>
      <c r="M529" s="49">
        <v>1</v>
      </c>
      <c r="N529" s="49"/>
      <c r="O529" s="50" t="s">
        <v>100</v>
      </c>
      <c r="P529" s="50" t="s">
        <v>101</v>
      </c>
      <c r="Q529" s="50" t="s">
        <v>127</v>
      </c>
      <c r="R529" s="50">
        <v>91</v>
      </c>
      <c r="S529" s="161">
        <v>30</v>
      </c>
      <c r="T529" s="50">
        <v>30</v>
      </c>
      <c r="U529" s="50" t="s">
        <v>102</v>
      </c>
      <c r="V529" s="50"/>
      <c r="W529" s="50"/>
      <c r="X529" s="50"/>
      <c r="Y529" s="51">
        <f>IF(ISBLANK(O529),"",(IF(O529=UPPER("IB"),0.005,0.01)))</f>
        <v>0.01</v>
      </c>
      <c r="Z529" s="52">
        <f>IF(ISBLANK(O529),"",IF(O529="IB",8.63*200,IF(O529="IR",16*100,IF(O529="YT",20*100,IF(O529="YT-XT",24*200,IF(O529="TED",80*100,IF(O529="XT",29*200)))))))</f>
        <v>1600</v>
      </c>
      <c r="AA529" s="52"/>
      <c r="AB529" s="52"/>
      <c r="AC529" s="52" t="s">
        <v>1788</v>
      </c>
      <c r="AD529" s="231">
        <f>(0.06*25+0.04*5+0.097*61)/91</f>
        <v>8.3703296703296709E-2</v>
      </c>
      <c r="AE529" s="49"/>
      <c r="AF529" s="84"/>
      <c r="AG529" s="49"/>
      <c r="AH529" s="49"/>
      <c r="AI529" s="49"/>
      <c r="AJ529" s="226"/>
      <c r="AK529" s="49"/>
      <c r="AL529" s="113">
        <f t="shared" si="212"/>
        <v>-32</v>
      </c>
      <c r="AM529" s="113">
        <f t="shared" si="224"/>
        <v>-1952</v>
      </c>
      <c r="AN529" s="218"/>
      <c r="AO529" s="49"/>
      <c r="AP529" s="49" t="s">
        <v>1162</v>
      </c>
      <c r="AQ529" s="84" t="s">
        <v>155</v>
      </c>
      <c r="AR529" s="74">
        <v>45412</v>
      </c>
      <c r="AS529" s="55">
        <f>(0.05*30+0.06*30+0.04*31)/91</f>
        <v>4.9890109890109891E-2</v>
      </c>
      <c r="AT529" s="55">
        <f>IF(ISBLANK(AS529),,IF(U529="S",AD529-AS529,AS529-AD529))</f>
        <v>3.3813186813186819E-2</v>
      </c>
      <c r="AU529" s="54">
        <f>AV529*R529</f>
        <v>4923.2000000000007</v>
      </c>
      <c r="AV529" s="56">
        <f t="shared" si="239"/>
        <v>54.101098901098908</v>
      </c>
      <c r="AW529" s="57" t="s">
        <v>101</v>
      </c>
      <c r="AX529" s="153" t="s">
        <v>1789</v>
      </c>
      <c r="AY529" s="153" t="s">
        <v>1790</v>
      </c>
      <c r="AZ529" s="153" t="s">
        <v>1791</v>
      </c>
      <c r="BA529" s="153" t="s">
        <v>1792</v>
      </c>
      <c r="BB529" s="153" t="s">
        <v>1793</v>
      </c>
      <c r="BC529" s="153" t="s">
        <v>489</v>
      </c>
      <c r="BD529" s="151" t="s">
        <v>1794</v>
      </c>
      <c r="BE529" s="152"/>
      <c r="BF529" s="151"/>
      <c r="BG529" s="94">
        <f>SUM($AV$4:AV529)</f>
        <v>3788.7746957692243</v>
      </c>
      <c r="BH529" s="95">
        <f>SUM($AU$4:AU529)</f>
        <v>44506.687142856565</v>
      </c>
      <c r="BI529" s="80">
        <f>SUMIFS($AU$3:AU530,$Q$3:Q530,"F")</f>
        <v>25718.457142857143</v>
      </c>
      <c r="BJ529" s="80">
        <f>SUMIFS($AU$3:AU530,$Q$3:Q530,"S")</f>
        <v>14527.999999999996</v>
      </c>
      <c r="BK529" s="87">
        <f>SUMIFS($AU$3:AU530,$P$3:P530,"W")</f>
        <v>30847.637142857486</v>
      </c>
      <c r="BL529" s="87">
        <f>SUMIFS($AU$3:AU530,$P$3:P530,"R")</f>
        <v>11645.999999999862</v>
      </c>
      <c r="BM529" s="87">
        <f>SUMIFS($AU$3:AU530,$AQ$3:AQ530,"M")</f>
        <v>9225.3799999992698</v>
      </c>
      <c r="BN529" s="87">
        <f>SUMIFS($AU$3:AU530,$AQ$3:AQ530,"H")</f>
        <v>8087.2000000002827</v>
      </c>
      <c r="BO529" s="87">
        <f>SUMIFS($AU$3:AU530,$AQ$3:AQ530,"D")</f>
        <v>14345.507142857023</v>
      </c>
      <c r="BP529" s="87">
        <f>SUMIFS($AS$3:AS1290,$AO$3:AO1290,"W")</f>
        <v>0</v>
      </c>
      <c r="BQ529" s="87">
        <f>SUMIFS($AU$3:AU530,$Q$3:Q530,"O")</f>
        <v>2836.2299999994329</v>
      </c>
      <c r="BR529" s="87">
        <f>SUMIFS($AU$3:AU530,$AA$3:AA530,"*")</f>
        <v>31045.79999999945</v>
      </c>
      <c r="BS529" s="87">
        <f>SUMIFS($AU$3:AU530,$AB$3:AB530,"*")</f>
        <v>11794.829999999794</v>
      </c>
      <c r="BT529" s="87">
        <f>SUMIFS($AU$3:AU530,$AC$3:AC530,"*")</f>
        <v>26118.45714285714</v>
      </c>
      <c r="BU529" s="87">
        <f>SUMIFS($AU$3:AU530,$AA$3:AA530,"*",$AB$3:AB530,"*")</f>
        <v>5807.9999999998217</v>
      </c>
      <c r="BV529" s="87">
        <f>SUMIFS($AU$3:AU530,$AA$3:AA530,"*",$AC$3:AC530,"*")</f>
        <v>14804.400000000001</v>
      </c>
      <c r="BW529" s="87">
        <f>SUMIFS($AU$3:AU530,$AB$3:AB530,"*",$AC$3:AC530,"*")</f>
        <v>7119.9999999999982</v>
      </c>
      <c r="BX529" s="87">
        <f>SUMIFS($AV$3:AV530,$Q$3:Q530,"F")</f>
        <v>397.90578243515159</v>
      </c>
      <c r="BY529" s="87">
        <f>SUMIFS($AV$3:AV530,$Q$3:Q530,"S")</f>
        <v>571.63991333429885</v>
      </c>
      <c r="BZ529" s="87">
        <f>SUMIFS($AV$3:AV530,$Q$3:Q530,"O")</f>
        <v>871.22899999976846</v>
      </c>
    </row>
    <row r="530" spans="1:78" ht="15.75" customHeight="1">
      <c r="A530" s="45" t="s">
        <v>1310</v>
      </c>
      <c r="B530" s="59">
        <v>45408</v>
      </c>
      <c r="C530" s="46" t="s">
        <v>147</v>
      </c>
      <c r="D530" s="46" t="s">
        <v>115</v>
      </c>
      <c r="E530" s="66"/>
      <c r="F530" s="47"/>
      <c r="G530" s="48" t="s">
        <v>111</v>
      </c>
      <c r="H530" s="49"/>
      <c r="I530" s="49"/>
      <c r="J530" s="49"/>
      <c r="K530" s="50"/>
      <c r="L530" s="49"/>
      <c r="M530" s="49"/>
      <c r="N530" s="49"/>
      <c r="O530" s="50"/>
      <c r="P530" s="50"/>
      <c r="Q530" s="50"/>
      <c r="R530" s="50"/>
      <c r="S530" s="161"/>
      <c r="T530" s="50"/>
      <c r="U530" s="50"/>
      <c r="V530" s="50"/>
      <c r="W530" s="50"/>
      <c r="X530" s="50"/>
      <c r="Y530" s="51"/>
      <c r="Z530" s="52"/>
      <c r="AA530" s="52"/>
      <c r="AB530" s="52"/>
      <c r="AC530" s="52"/>
      <c r="AD530" s="231"/>
      <c r="AE530" s="49"/>
      <c r="AF530" s="84"/>
      <c r="AG530" s="49"/>
      <c r="AH530" s="49"/>
      <c r="AI530" s="49"/>
      <c r="AJ530" s="226"/>
      <c r="AK530" s="49"/>
      <c r="AL530" s="113">
        <f t="shared" si="212"/>
        <v>0</v>
      </c>
      <c r="AM530" s="113">
        <f t="shared" si="224"/>
        <v>0</v>
      </c>
      <c r="AN530" s="218"/>
      <c r="AO530" s="49"/>
      <c r="AP530" s="49"/>
      <c r="AQ530" s="84" t="str">
        <f>UPPER(RIGHT(Journal_Live[[#This Row],[DURATION ]]))</f>
        <v/>
      </c>
      <c r="AR530" s="49"/>
      <c r="AS530" s="55"/>
      <c r="AT530" s="55"/>
      <c r="AU530" s="54"/>
      <c r="AV530" s="56"/>
      <c r="AW530" s="57"/>
      <c r="AX530" s="153"/>
      <c r="AY530" s="153"/>
      <c r="AZ530" s="153"/>
      <c r="BA530" s="153"/>
      <c r="BB530" s="153"/>
      <c r="BC530" s="153"/>
      <c r="BD530" s="151"/>
      <c r="BE530" s="152"/>
      <c r="BF530" s="151"/>
      <c r="BG530" s="94">
        <f>SUM($AV$4:AV530)</f>
        <v>3788.7746957692243</v>
      </c>
      <c r="BH530" s="95">
        <f>SUM($AU$4:AU530)</f>
        <v>44506.687142856565</v>
      </c>
      <c r="BI530" s="80">
        <f>SUMIFS($AU$3:AU531,$Q$3:Q531,"F")</f>
        <v>25718.457142857143</v>
      </c>
      <c r="BJ530" s="80">
        <f>SUMIFS($AU$3:AU531,$Q$3:Q531,"S")</f>
        <v>15167.999999999996</v>
      </c>
      <c r="BK530" s="87">
        <f>SUMIFS($AU$3:AU531,$P$3:P531,"W")</f>
        <v>31487.637142857486</v>
      </c>
      <c r="BL530" s="87">
        <f>SUMIFS($AU$3:AU531,$P$3:P531,"R")</f>
        <v>11645.999999999862</v>
      </c>
      <c r="BM530" s="87">
        <f>SUMIFS($AU$3:AU531,$AQ$3:AQ531,"M")</f>
        <v>9225.3799999992698</v>
      </c>
      <c r="BN530" s="87">
        <f>SUMIFS($AU$3:AU531,$AQ$3:AQ531,"H")</f>
        <v>8087.2000000002827</v>
      </c>
      <c r="BO530" s="87">
        <f>SUMIFS($AU$3:AU531,$AQ$3:AQ531,"D")</f>
        <v>14985.507142857023</v>
      </c>
      <c r="BP530" s="87">
        <f>SUMIFS($AS$3:AS1291,$AO$3:AO1291,"W")</f>
        <v>0</v>
      </c>
      <c r="BQ530" s="87">
        <f>SUMIFS($AU$3:AU531,$Q$3:Q531,"O")</f>
        <v>2836.2299999994329</v>
      </c>
      <c r="BR530" s="87">
        <f>SUMIFS($AU$3:AU531,$AA$3:AA531,"*")</f>
        <v>31685.79999999945</v>
      </c>
      <c r="BS530" s="87">
        <f>SUMIFS($AU$3:AU531,$AB$3:AB531,"*")</f>
        <v>11794.829999999794</v>
      </c>
      <c r="BT530" s="87">
        <f>SUMIFS($AU$3:AU531,$AC$3:AC531,"*")</f>
        <v>26118.45714285714</v>
      </c>
      <c r="BU530" s="87">
        <f>SUMIFS($AU$3:AU531,$AA$3:AA531,"*",$AB$3:AB531,"*")</f>
        <v>5807.9999999998217</v>
      </c>
      <c r="BV530" s="87">
        <f>SUMIFS($AU$3:AU531,$AA$3:AA531,"*",$AC$3:AC531,"*")</f>
        <v>14804.400000000001</v>
      </c>
      <c r="BW530" s="87">
        <f>SUMIFS($AU$3:AU531,$AB$3:AB531,"*",$AC$3:AC531,"*")</f>
        <v>7119.9999999999982</v>
      </c>
      <c r="BX530" s="87">
        <f>SUMIFS($AV$3:AV531,$Q$3:Q531,"F")</f>
        <v>397.90578243515159</v>
      </c>
      <c r="BY530" s="87">
        <f>SUMIFS($AV$3:AV531,$Q$3:Q531,"S")</f>
        <v>587.63991333429885</v>
      </c>
      <c r="BZ530" s="87">
        <f>SUMIFS($AV$3:AV531,$Q$3:Q531,"O")</f>
        <v>871.22899999976846</v>
      </c>
    </row>
    <row r="531" spans="1:78" ht="15.75" customHeight="1">
      <c r="A531" s="45" t="s">
        <v>1310</v>
      </c>
      <c r="B531" s="59">
        <v>45408</v>
      </c>
      <c r="C531" s="46" t="s">
        <v>166</v>
      </c>
      <c r="D531" s="46" t="s">
        <v>115</v>
      </c>
      <c r="E531" s="66"/>
      <c r="F531" s="47"/>
      <c r="G531" s="172" t="s">
        <v>111</v>
      </c>
      <c r="H531" s="49"/>
      <c r="I531" s="49"/>
      <c r="J531" s="49"/>
      <c r="K531" s="50"/>
      <c r="L531" s="49">
        <v>1</v>
      </c>
      <c r="M531" s="49"/>
      <c r="N531" s="49"/>
      <c r="O531" s="50" t="s">
        <v>100</v>
      </c>
      <c r="P531" s="50" t="s">
        <v>101</v>
      </c>
      <c r="Q531" s="50" t="s">
        <v>102</v>
      </c>
      <c r="R531" s="50">
        <v>40</v>
      </c>
      <c r="S531" s="161">
        <v>0</v>
      </c>
      <c r="T531" s="50">
        <v>40</v>
      </c>
      <c r="U531" s="50" t="s">
        <v>102</v>
      </c>
      <c r="V531" s="50"/>
      <c r="W531" s="50"/>
      <c r="X531" s="50"/>
      <c r="Y531" s="51">
        <f>IF(ISBLANK(O531),"",(IF(O531=UPPER("IB"),0.005,0.01)))</f>
        <v>0.01</v>
      </c>
      <c r="Z531" s="52">
        <f>IF(ISBLANK(O531),"",IF(O531="IB",8.63*200,IF(O531="IR",16*100,IF(O531="YT",20*100,IF(O531="YT-XT",24*200,IF(O531="TED",80*100,IF(O531="XT",29*200)))))))</f>
        <v>1600</v>
      </c>
      <c r="AA531" s="52" t="s">
        <v>177</v>
      </c>
      <c r="AB531" s="52"/>
      <c r="AC531" s="52"/>
      <c r="AD531" s="231">
        <v>0.12</v>
      </c>
      <c r="AE531" s="49"/>
      <c r="AF531" s="84"/>
      <c r="AG531" s="49"/>
      <c r="AH531" s="49"/>
      <c r="AI531" s="49"/>
      <c r="AJ531" s="226"/>
      <c r="AK531" s="49"/>
      <c r="AL531" s="113">
        <f t="shared" si="212"/>
        <v>-32</v>
      </c>
      <c r="AM531" s="113">
        <f t="shared" si="224"/>
        <v>-1280</v>
      </c>
      <c r="AN531" s="218"/>
      <c r="AO531" s="49"/>
      <c r="AP531" s="49" t="s">
        <v>279</v>
      </c>
      <c r="AQ531" s="84" t="s">
        <v>155</v>
      </c>
      <c r="AR531" s="49" t="s">
        <v>1795</v>
      </c>
      <c r="AS531" s="55">
        <v>0.11</v>
      </c>
      <c r="AT531" s="55">
        <f>IF(ISBLANK(AS531),,IF(U531="S",AD531-AS531,AS531-AD531))</f>
        <v>9.999999999999995E-3</v>
      </c>
      <c r="AU531" s="54">
        <f>AV531*R531</f>
        <v>639.99999999999977</v>
      </c>
      <c r="AV531" s="56">
        <f t="shared" si="239"/>
        <v>15.999999999999993</v>
      </c>
      <c r="AW531" s="57" t="s">
        <v>101</v>
      </c>
      <c r="AX531" s="153" t="s">
        <v>1796</v>
      </c>
      <c r="AY531" s="153" t="s">
        <v>1797</v>
      </c>
      <c r="AZ531" s="153" t="s">
        <v>445</v>
      </c>
      <c r="BA531" s="153"/>
      <c r="BB531" s="153"/>
      <c r="BC531" s="153"/>
      <c r="BD531" s="151"/>
      <c r="BE531" s="152"/>
      <c r="BF531" s="151"/>
      <c r="BG531" s="94">
        <f>SUM($AV$4:AV531)</f>
        <v>3804.7746957692243</v>
      </c>
      <c r="BH531" s="95">
        <f>SUM($AU$4:AU531)</f>
        <v>45146.687142856565</v>
      </c>
      <c r="BI531" s="80">
        <f>SUMIFS($AU$3:AU532,$Q$3:Q532,"F")</f>
        <v>25718.457142857143</v>
      </c>
      <c r="BJ531" s="80">
        <f>SUMIFS($AU$3:AU532,$Q$3:Q532,"S")</f>
        <v>15167.999999999996</v>
      </c>
      <c r="BK531" s="87">
        <f>SUMIFS($AU$3:AU532,$P$3:P532,"W")</f>
        <v>31487.637142857486</v>
      </c>
      <c r="BL531" s="87">
        <f>SUMIFS($AU$3:AU532,$P$3:P532,"R")</f>
        <v>11645.999999999862</v>
      </c>
      <c r="BM531" s="87">
        <f>SUMIFS($AU$3:AU532,$AQ$3:AQ532,"M")</f>
        <v>9225.3799999992698</v>
      </c>
      <c r="BN531" s="87">
        <f>SUMIFS($AU$3:AU532,$AQ$3:AQ532,"H")</f>
        <v>8087.2000000002827</v>
      </c>
      <c r="BO531" s="87">
        <f>SUMIFS($AU$3:AU532,$AQ$3:AQ532,"D")</f>
        <v>14985.507142857023</v>
      </c>
      <c r="BP531" s="87">
        <f>SUMIFS($AS$3:AS1292,$AO$3:AO1292,"W")</f>
        <v>0</v>
      </c>
      <c r="BQ531" s="87">
        <f>SUMIFS($AU$3:AU532,$Q$3:Q532,"O")</f>
        <v>2836.2299999994329</v>
      </c>
      <c r="BR531" s="87">
        <f>SUMIFS($AU$3:AU532,$AA$3:AA532,"*")</f>
        <v>31685.79999999945</v>
      </c>
      <c r="BS531" s="87">
        <f>SUMIFS($AU$3:AU532,$AB$3:AB532,"*")</f>
        <v>11794.829999999794</v>
      </c>
      <c r="BT531" s="87">
        <f>SUMIFS($AU$3:AU532,$AC$3:AC532,"*")</f>
        <v>26118.45714285714</v>
      </c>
      <c r="BU531" s="87">
        <f>SUMIFS($AU$3:AU532,$AA$3:AA532,"*",$AB$3:AB532,"*")</f>
        <v>5807.9999999998217</v>
      </c>
      <c r="BV531" s="87">
        <f>SUMIFS($AU$3:AU532,$AA$3:AA532,"*",$AC$3:AC532,"*")</f>
        <v>14804.400000000001</v>
      </c>
      <c r="BW531" s="87">
        <f>SUMIFS($AU$3:AU532,$AB$3:AB532,"*",$AC$3:AC532,"*")</f>
        <v>7119.9999999999982</v>
      </c>
      <c r="BX531" s="87">
        <f>SUMIFS($AV$3:AV532,$Q$3:Q532,"F")</f>
        <v>397.90578243515159</v>
      </c>
      <c r="BY531" s="87">
        <f>SUMIFS($AV$3:AV532,$Q$3:Q532,"S")</f>
        <v>587.63991333429885</v>
      </c>
      <c r="BZ531" s="87">
        <f>SUMIFS($AV$3:AV532,$Q$3:Q532,"O")</f>
        <v>871.22899999976846</v>
      </c>
    </row>
    <row r="532" spans="1:78" ht="15.75" customHeight="1">
      <c r="A532" s="45" t="s">
        <v>1310</v>
      </c>
      <c r="B532" s="59">
        <v>45411</v>
      </c>
      <c r="C532" s="46" t="s">
        <v>97</v>
      </c>
      <c r="D532" s="46" t="s">
        <v>176</v>
      </c>
      <c r="E532" s="66"/>
      <c r="F532" s="47"/>
      <c r="G532" s="48" t="s">
        <v>111</v>
      </c>
      <c r="H532" s="49"/>
      <c r="I532" s="49"/>
      <c r="J532" s="49"/>
      <c r="K532" s="50"/>
      <c r="L532" s="49"/>
      <c r="M532" s="49"/>
      <c r="N532" s="49"/>
      <c r="O532" s="50"/>
      <c r="P532" s="50"/>
      <c r="Q532" s="50"/>
      <c r="R532" s="50"/>
      <c r="S532" s="161"/>
      <c r="T532" s="50"/>
      <c r="U532" s="50"/>
      <c r="V532" s="50"/>
      <c r="W532" s="50"/>
      <c r="X532" s="50"/>
      <c r="Y532" s="51"/>
      <c r="Z532" s="52"/>
      <c r="AA532" s="52"/>
      <c r="AB532" s="52"/>
      <c r="AC532" s="52"/>
      <c r="AD532" s="231"/>
      <c r="AE532" s="49"/>
      <c r="AF532" s="84"/>
      <c r="AG532" s="49"/>
      <c r="AH532" s="49"/>
      <c r="AI532" s="49"/>
      <c r="AJ532" s="226"/>
      <c r="AK532" s="49"/>
      <c r="AL532" s="113">
        <f t="shared" si="212"/>
        <v>0</v>
      </c>
      <c r="AM532" s="113">
        <f t="shared" si="224"/>
        <v>0</v>
      </c>
      <c r="AN532" s="218"/>
      <c r="AO532" s="49"/>
      <c r="AP532" s="49"/>
      <c r="AQ532" s="84" t="str">
        <f>UPPER(RIGHT(Journal_Live[[#This Row],[DURATION ]]))</f>
        <v/>
      </c>
      <c r="AR532" s="49"/>
      <c r="AS532" s="55"/>
      <c r="AT532" s="55"/>
      <c r="AU532" s="54"/>
      <c r="AV532" s="56"/>
      <c r="AW532" s="57"/>
      <c r="AX532" s="153" t="s">
        <v>1798</v>
      </c>
      <c r="AY532" s="153" t="s">
        <v>1799</v>
      </c>
      <c r="AZ532" s="153" t="s">
        <v>1800</v>
      </c>
      <c r="BA532" s="153" t="s">
        <v>1801</v>
      </c>
      <c r="BB532" s="153"/>
      <c r="BC532" s="153"/>
      <c r="BD532" s="151"/>
      <c r="BE532" s="152"/>
      <c r="BF532" s="151"/>
      <c r="BG532" s="94">
        <f>SUM($AV$4:AV532)</f>
        <v>3804.7746957692243</v>
      </c>
      <c r="BH532" s="95">
        <f>SUM($AU$4:AU532)</f>
        <v>45146.687142856565</v>
      </c>
      <c r="BI532" s="80">
        <f>SUMIFS($AU$3:AU533,$Q$3:Q533,"F")</f>
        <v>25718.457142857143</v>
      </c>
      <c r="BJ532" s="80">
        <f>SUMIFS($AU$3:AU533,$Q$3:Q533,"S")</f>
        <v>15167.999999999996</v>
      </c>
      <c r="BK532" s="87">
        <f>SUMIFS($AU$3:AU533,$P$3:P533,"W")</f>
        <v>31487.637142857486</v>
      </c>
      <c r="BL532" s="87">
        <f>SUMIFS($AU$3:AU533,$P$3:P533,"R")</f>
        <v>11645.999999999862</v>
      </c>
      <c r="BM532" s="87">
        <f>SUMIFS($AU$3:AU533,$AQ$3:AQ533,"M")</f>
        <v>9225.3799999992698</v>
      </c>
      <c r="BN532" s="87">
        <f>SUMIFS($AU$3:AU533,$AQ$3:AQ533,"H")</f>
        <v>8087.2000000002827</v>
      </c>
      <c r="BO532" s="87">
        <f>SUMIFS($AU$3:AU533,$AQ$3:AQ533,"D")</f>
        <v>14985.507142857023</v>
      </c>
      <c r="BP532" s="87">
        <f>SUMIFS($AS$3:AS1293,$AO$3:AO1293,"W")</f>
        <v>0</v>
      </c>
      <c r="BQ532" s="87">
        <f>SUMIFS($AU$3:AU533,$Q$3:Q533,"O")</f>
        <v>2836.2299999994329</v>
      </c>
      <c r="BR532" s="87">
        <f>SUMIFS($AU$3:AU533,$AA$3:AA533,"*")</f>
        <v>31685.79999999945</v>
      </c>
      <c r="BS532" s="87">
        <f>SUMIFS($AU$3:AU533,$AB$3:AB533,"*")</f>
        <v>11794.829999999794</v>
      </c>
      <c r="BT532" s="87">
        <f>SUMIFS($AU$3:AU533,$AC$3:AC533,"*")</f>
        <v>26118.45714285714</v>
      </c>
      <c r="BU532" s="87">
        <f>SUMIFS($AU$3:AU533,$AA$3:AA533,"*",$AB$3:AB533,"*")</f>
        <v>5807.9999999998217</v>
      </c>
      <c r="BV532" s="87">
        <f>SUMIFS($AU$3:AU533,$AA$3:AA533,"*",$AC$3:AC533,"*")</f>
        <v>14804.400000000001</v>
      </c>
      <c r="BW532" s="87">
        <f>SUMIFS($AU$3:AU533,$AB$3:AB533,"*",$AC$3:AC533,"*")</f>
        <v>7119.9999999999982</v>
      </c>
      <c r="BX532" s="87">
        <f>SUMIFS($AV$3:AV533,$Q$3:Q533,"F")</f>
        <v>397.90578243515159</v>
      </c>
      <c r="BY532" s="87">
        <f>SUMIFS($AV$3:AV533,$Q$3:Q533,"S")</f>
        <v>587.63991333429885</v>
      </c>
      <c r="BZ532" s="87">
        <f>SUMIFS($AV$3:AV533,$Q$3:Q533,"O")</f>
        <v>871.22899999976846</v>
      </c>
    </row>
    <row r="533" spans="1:78" ht="15.75" customHeight="1">
      <c r="A533" s="45" t="s">
        <v>1310</v>
      </c>
      <c r="B533" s="59">
        <v>45411</v>
      </c>
      <c r="C533" s="46" t="s">
        <v>97</v>
      </c>
      <c r="D533" s="46" t="s">
        <v>176</v>
      </c>
      <c r="E533" s="66"/>
      <c r="F533" s="47"/>
      <c r="G533" s="48" t="s">
        <v>181</v>
      </c>
      <c r="H533" s="49"/>
      <c r="I533" s="49"/>
      <c r="J533" s="49"/>
      <c r="K533" s="50"/>
      <c r="L533" s="49"/>
      <c r="M533" s="49"/>
      <c r="N533" s="49"/>
      <c r="O533" s="50"/>
      <c r="P533" s="50"/>
      <c r="Q533" s="50"/>
      <c r="R533" s="50"/>
      <c r="S533" s="161"/>
      <c r="T533" s="50"/>
      <c r="U533" s="50"/>
      <c r="V533" s="50"/>
      <c r="W533" s="50"/>
      <c r="X533" s="50"/>
      <c r="Y533" s="51"/>
      <c r="Z533" s="52"/>
      <c r="AA533" s="52"/>
      <c r="AB533" s="52"/>
      <c r="AC533" s="52"/>
      <c r="AD533" s="231"/>
      <c r="AE533" s="49"/>
      <c r="AF533" s="84"/>
      <c r="AG533" s="49"/>
      <c r="AH533" s="49"/>
      <c r="AI533" s="49"/>
      <c r="AJ533" s="226"/>
      <c r="AK533" s="49"/>
      <c r="AL533" s="113">
        <f t="shared" ref="AL533:AL540" si="240">-0.02*Z533</f>
        <v>0</v>
      </c>
      <c r="AM533" s="113">
        <f t="shared" si="224"/>
        <v>0</v>
      </c>
      <c r="AN533" s="218"/>
      <c r="AO533" s="49"/>
      <c r="AP533" s="49"/>
      <c r="AQ533" s="84" t="str">
        <f>UPPER(RIGHT(Journal_Live[[#This Row],[DURATION ]]))</f>
        <v/>
      </c>
      <c r="AR533" s="49"/>
      <c r="AS533" s="55"/>
      <c r="AT533" s="55"/>
      <c r="AU533" s="54"/>
      <c r="AV533" s="56"/>
      <c r="AW533" s="57"/>
      <c r="AX533" s="153" t="s">
        <v>1802</v>
      </c>
      <c r="AY533" s="153"/>
      <c r="AZ533" s="153"/>
      <c r="BA533" s="153"/>
      <c r="BB533" s="153"/>
      <c r="BC533" s="153"/>
      <c r="BD533" s="151"/>
      <c r="BE533" s="152"/>
      <c r="BF533" s="151"/>
      <c r="BG533" s="94">
        <f>SUM($AV$4:AV533)</f>
        <v>3804.7746957692243</v>
      </c>
      <c r="BH533" s="95">
        <f>SUM($AU$4:AU533)</f>
        <v>45146.687142856565</v>
      </c>
      <c r="BI533" s="80">
        <f>SUMIFS($AU$3:AU534,$Q$3:Q534,"F")</f>
        <v>25718.457142857143</v>
      </c>
      <c r="BJ533" s="80">
        <f>SUMIFS($AU$3:AU534,$Q$3:Q534,"S")</f>
        <v>13727.999999999995</v>
      </c>
      <c r="BK533" s="87">
        <f>SUMIFS($AU$3:AU534,$P$3:P534,"W")</f>
        <v>30047.637142857486</v>
      </c>
      <c r="BL533" s="87">
        <f>SUMIFS($AU$3:AU534,$P$3:P534,"R")</f>
        <v>11645.999999999862</v>
      </c>
      <c r="BM533" s="87">
        <f>SUMIFS($AU$3:AU534,$AQ$3:AQ534,"M")</f>
        <v>9225.3799999992698</v>
      </c>
      <c r="BN533" s="87">
        <f>SUMIFS($AU$3:AU534,$AQ$3:AQ534,"H")</f>
        <v>8087.2000000002827</v>
      </c>
      <c r="BO533" s="87">
        <f>SUMIFS($AU$3:AU534,$AQ$3:AQ534,"D")</f>
        <v>13545.507142857021</v>
      </c>
      <c r="BP533" s="87">
        <f>SUMIFS($AS$3:AS1294,$AO$3:AO1294,"W")</f>
        <v>0</v>
      </c>
      <c r="BQ533" s="87">
        <f>SUMIFS($AU$3:AU534,$Q$3:Q534,"O")</f>
        <v>2836.2299999994329</v>
      </c>
      <c r="BR533" s="87">
        <f>SUMIFS($AU$3:AU534,$AA$3:AA534,"*")</f>
        <v>30245.79999999945</v>
      </c>
      <c r="BS533" s="87">
        <f>SUMIFS($AU$3:AU534,$AB$3:AB534,"*")</f>
        <v>11794.829999999794</v>
      </c>
      <c r="BT533" s="87">
        <f>SUMIFS($AU$3:AU534,$AC$3:AC534,"*")</f>
        <v>24678.45714285714</v>
      </c>
      <c r="BU533" s="87">
        <f>SUMIFS($AU$3:AU534,$AA$3:AA534,"*",$AB$3:AB534,"*")</f>
        <v>5807.9999999998217</v>
      </c>
      <c r="BV533" s="87">
        <f>SUMIFS($AU$3:AU534,$AA$3:AA534,"*",$AC$3:AC534,"*")</f>
        <v>13364.4</v>
      </c>
      <c r="BW533" s="87">
        <f>SUMIFS($AU$3:AU534,$AB$3:AB534,"*",$AC$3:AC534,"*")</f>
        <v>7119.9999999999982</v>
      </c>
      <c r="BX533" s="87">
        <f>SUMIFS($AV$3:AV534,$Q$3:Q534,"F")</f>
        <v>397.90578243515159</v>
      </c>
      <c r="BY533" s="87">
        <f>SUMIFS($AV$3:AV534,$Q$3:Q534,"S")</f>
        <v>558.83991333429879</v>
      </c>
      <c r="BZ533" s="87">
        <f>SUMIFS($AV$3:AV534,$Q$3:Q534,"O")</f>
        <v>871.22899999976846</v>
      </c>
    </row>
    <row r="534" spans="1:78" ht="15.75" customHeight="1">
      <c r="A534" s="45" t="s">
        <v>1310</v>
      </c>
      <c r="B534" s="59">
        <v>45411</v>
      </c>
      <c r="C534" s="46" t="s">
        <v>1803</v>
      </c>
      <c r="D534" s="46" t="s">
        <v>176</v>
      </c>
      <c r="E534" s="66"/>
      <c r="F534" s="47"/>
      <c r="G534" s="172" t="s">
        <v>111</v>
      </c>
      <c r="H534" s="49"/>
      <c r="I534" s="49"/>
      <c r="J534" s="49"/>
      <c r="K534" s="50"/>
      <c r="L534" s="49">
        <v>1</v>
      </c>
      <c r="M534" s="49"/>
      <c r="N534" s="49"/>
      <c r="O534" s="50" t="s">
        <v>100</v>
      </c>
      <c r="P534" s="50" t="s">
        <v>101</v>
      </c>
      <c r="Q534" s="50" t="s">
        <v>102</v>
      </c>
      <c r="R534" s="50">
        <v>50</v>
      </c>
      <c r="S534" s="161">
        <v>0</v>
      </c>
      <c r="T534" s="50">
        <v>50</v>
      </c>
      <c r="U534" s="50" t="s">
        <v>22</v>
      </c>
      <c r="V534" s="50"/>
      <c r="W534" s="50"/>
      <c r="X534" s="50"/>
      <c r="Y534" s="51">
        <f>IF(ISBLANK(O534),"",(IF(O534=UPPER("IB"),0.005,0.01)))</f>
        <v>0.01</v>
      </c>
      <c r="Z534" s="52">
        <f>IF(ISBLANK(O534),"",IF(O534="IB",8.63*200,IF(O534="IR",16*100,IF(O534="YT",20*100,IF(O534="YT-XT",24*200,IF(O534="TED",80*100,IF(O534="XT",29*200)))))))</f>
        <v>1600</v>
      </c>
      <c r="AA534" s="52" t="s">
        <v>1251</v>
      </c>
      <c r="AB534" s="52"/>
      <c r="AC534" s="52" t="s">
        <v>415</v>
      </c>
      <c r="AD534" s="231">
        <f>(0.1*10+0.11*40)/50</f>
        <v>0.10800000000000001</v>
      </c>
      <c r="AE534" s="49"/>
      <c r="AF534" s="84"/>
      <c r="AG534" s="49"/>
      <c r="AH534" s="49"/>
      <c r="AI534" s="49"/>
      <c r="AJ534" s="226"/>
      <c r="AK534" s="49"/>
      <c r="AL534" s="113">
        <f t="shared" si="240"/>
        <v>-32</v>
      </c>
      <c r="AM534" s="113">
        <f t="shared" si="224"/>
        <v>-1600</v>
      </c>
      <c r="AN534" s="218"/>
      <c r="AO534" s="49"/>
      <c r="AP534" s="49" t="s">
        <v>279</v>
      </c>
      <c r="AQ534" s="84" t="s">
        <v>155</v>
      </c>
      <c r="AR534" s="49"/>
      <c r="AS534" s="55">
        <v>0.09</v>
      </c>
      <c r="AT534" s="55">
        <f>IF(ISBLANK(AS534),,IF(U534="S",AD534-AS534,AS534-AD534))</f>
        <v>-1.8000000000000016E-2</v>
      </c>
      <c r="AU534" s="54">
        <f>AV534*R534</f>
        <v>-1440.0000000000014</v>
      </c>
      <c r="AV534" s="56">
        <f t="shared" ref="AV534" si="241">IF(ISBLANK(AS534),,(AT534*Z534))</f>
        <v>-28.800000000000026</v>
      </c>
      <c r="AW534" s="57" t="s">
        <v>121</v>
      </c>
      <c r="AX534" s="153"/>
      <c r="AY534" s="153"/>
      <c r="AZ534" s="153"/>
      <c r="BA534" s="153"/>
      <c r="BB534" s="153"/>
      <c r="BC534" s="153"/>
      <c r="BD534" s="151"/>
      <c r="BE534" s="152"/>
      <c r="BF534" s="151"/>
      <c r="BG534" s="94">
        <f>SUM($AV$4:AV534)</f>
        <v>3775.9746957692241</v>
      </c>
      <c r="BH534" s="95">
        <f>SUM($AU$4:AU534)</f>
        <v>43706.687142856565</v>
      </c>
      <c r="BI534" s="80">
        <f>SUMIFS($AU$3:AU535,$Q$3:Q535,"F")</f>
        <v>25718.457142857143</v>
      </c>
      <c r="BJ534" s="80">
        <f>SUMIFS($AU$3:AU535,$Q$3:Q535,"S")</f>
        <v>13727.999999999995</v>
      </c>
      <c r="BK534" s="87">
        <f>SUMIFS($AU$3:AU535,$P$3:P535,"W")</f>
        <v>30047.637142857486</v>
      </c>
      <c r="BL534" s="87">
        <f>SUMIFS($AU$3:AU535,$P$3:P535,"R")</f>
        <v>11645.999999999862</v>
      </c>
      <c r="BM534" s="87">
        <f>SUMIFS($AU$3:AU535,$AQ$3:AQ535,"M")</f>
        <v>9225.3799999992698</v>
      </c>
      <c r="BN534" s="87">
        <f>SUMIFS($AU$3:AU535,$AQ$3:AQ535,"H")</f>
        <v>8087.2000000002827</v>
      </c>
      <c r="BO534" s="87">
        <f>SUMIFS($AU$3:AU535,$AQ$3:AQ535,"D")</f>
        <v>13545.507142857021</v>
      </c>
      <c r="BP534" s="87">
        <f>SUMIFS($AS$3:AS1295,$AO$3:AO1295,"W")</f>
        <v>0</v>
      </c>
      <c r="BQ534" s="87">
        <f>SUMIFS($AU$3:AU535,$Q$3:Q535,"O")</f>
        <v>2836.2299999994329</v>
      </c>
      <c r="BR534" s="87">
        <f>SUMIFS($AU$3:AU535,$AA$3:AA535,"*")</f>
        <v>30245.79999999945</v>
      </c>
      <c r="BS534" s="87">
        <f>SUMIFS($AU$3:AU535,$AB$3:AB535,"*")</f>
        <v>11794.829999999794</v>
      </c>
      <c r="BT534" s="87">
        <f>SUMIFS($AU$3:AU535,$AC$3:AC535,"*")</f>
        <v>24678.45714285714</v>
      </c>
      <c r="BU534" s="87">
        <f>SUMIFS($AU$3:AU535,$AA$3:AA535,"*",$AB$3:AB535,"*")</f>
        <v>5807.9999999998217</v>
      </c>
      <c r="BV534" s="87">
        <f>SUMIFS($AU$3:AU535,$AA$3:AA535,"*",$AC$3:AC535,"*")</f>
        <v>13364.4</v>
      </c>
      <c r="BW534" s="87">
        <f>SUMIFS($AU$3:AU535,$AB$3:AB535,"*",$AC$3:AC535,"*")</f>
        <v>7119.9999999999982</v>
      </c>
      <c r="BX534" s="87">
        <f>SUMIFS($AV$3:AV535,$Q$3:Q535,"F")</f>
        <v>397.90578243515159</v>
      </c>
      <c r="BY534" s="87">
        <f>SUMIFS($AV$3:AV535,$Q$3:Q535,"S")</f>
        <v>558.83991333429879</v>
      </c>
      <c r="BZ534" s="87">
        <f>SUMIFS($AV$3:AV535,$Q$3:Q535,"O")</f>
        <v>871.22899999976846</v>
      </c>
    </row>
    <row r="535" spans="1:78" ht="15.75" customHeight="1">
      <c r="A535" s="45" t="s">
        <v>1310</v>
      </c>
      <c r="B535" s="59">
        <v>45412</v>
      </c>
      <c r="C535" s="46" t="s">
        <v>194</v>
      </c>
      <c r="D535" s="46" t="s">
        <v>98</v>
      </c>
      <c r="E535" s="66" t="s">
        <v>1804</v>
      </c>
      <c r="F535" s="47" t="s">
        <v>1805</v>
      </c>
      <c r="G535" s="48"/>
      <c r="H535" s="49"/>
      <c r="I535" s="49"/>
      <c r="J535" s="49">
        <v>1</v>
      </c>
      <c r="K535" s="50" t="s">
        <v>155</v>
      </c>
      <c r="L535" s="49"/>
      <c r="M535" s="49"/>
      <c r="N535" s="49"/>
      <c r="O535" s="50"/>
      <c r="P535" s="50"/>
      <c r="Q535" s="50"/>
      <c r="R535" s="50"/>
      <c r="S535" s="50"/>
      <c r="T535" s="50"/>
      <c r="U535" s="50"/>
      <c r="V535" s="50"/>
      <c r="W535" s="50"/>
      <c r="X535" s="50"/>
      <c r="Y535" s="50"/>
      <c r="Z535" s="50"/>
      <c r="AA535" s="52"/>
      <c r="AB535" s="52"/>
      <c r="AC535" s="52"/>
      <c r="AD535" s="231"/>
      <c r="AE535" s="49"/>
      <c r="AF535" s="84"/>
      <c r="AG535" s="49"/>
      <c r="AH535" s="49"/>
      <c r="AI535" s="49"/>
      <c r="AJ535" s="226"/>
      <c r="AK535" s="49"/>
      <c r="AL535" s="113">
        <f t="shared" si="240"/>
        <v>0</v>
      </c>
      <c r="AM535" s="113">
        <f t="shared" si="224"/>
        <v>0</v>
      </c>
      <c r="AN535" s="218"/>
      <c r="AO535" s="49"/>
      <c r="AP535" s="49"/>
      <c r="AQ535" s="84" t="str">
        <f>UPPER(RIGHT(Journal_Live[[#This Row],[DURATION ]]))</f>
        <v/>
      </c>
      <c r="AR535" s="49"/>
      <c r="AS535" s="55"/>
      <c r="AT535" s="55"/>
      <c r="AU535" s="54"/>
      <c r="AV535" s="56"/>
      <c r="AW535" s="57"/>
      <c r="AX535" s="153" t="s">
        <v>1806</v>
      </c>
      <c r="AY535" s="153"/>
      <c r="AZ535" s="153"/>
      <c r="BA535" s="153"/>
      <c r="BB535" s="153"/>
      <c r="BC535" s="153"/>
      <c r="BD535" s="151"/>
      <c r="BE535" s="152"/>
      <c r="BF535" s="151"/>
      <c r="BG535" s="94">
        <f>SUM($AV$4:AV535)</f>
        <v>3775.9746957692241</v>
      </c>
      <c r="BH535" s="95">
        <f>SUM($AU$4:AU535)</f>
        <v>43706.687142856565</v>
      </c>
      <c r="BI535" s="80">
        <f>SUMIFS($AU$3:AU536,$Q$3:Q536,"F")</f>
        <v>25718.457142857143</v>
      </c>
      <c r="BJ535" s="80">
        <f>SUMIFS($AU$3:AU536,$Q$3:Q536,"S")</f>
        <v>13727.999999999995</v>
      </c>
      <c r="BK535" s="87">
        <f>SUMIFS($AU$3:AU536,$P$3:P536,"W")</f>
        <v>30047.637142857486</v>
      </c>
      <c r="BL535" s="87">
        <f>SUMIFS($AU$3:AU536,$P$3:P536,"R")</f>
        <v>11645.999999999862</v>
      </c>
      <c r="BM535" s="87">
        <f>SUMIFS($AU$3:AU536,$AQ$3:AQ536,"M")</f>
        <v>9225.3799999992698</v>
      </c>
      <c r="BN535" s="87">
        <f>SUMIFS($AU$3:AU536,$AQ$3:AQ536,"H")</f>
        <v>8087.2000000002827</v>
      </c>
      <c r="BO535" s="87">
        <f>SUMIFS($AU$3:AU536,$AQ$3:AQ536,"D")</f>
        <v>13545.507142857021</v>
      </c>
      <c r="BP535" s="87">
        <f>SUMIFS($AS$3:AS1296,$AO$3:AO1296,"W")</f>
        <v>0</v>
      </c>
      <c r="BQ535" s="87">
        <f>SUMIFS($AU$3:AU536,$Q$3:Q536,"O")</f>
        <v>2836.2299999994329</v>
      </c>
      <c r="BR535" s="87">
        <f>SUMIFS($AU$3:AU536,$AA$3:AA536,"*")</f>
        <v>30245.79999999945</v>
      </c>
      <c r="BS535" s="87">
        <f>SUMIFS($AU$3:AU536,$AB$3:AB536,"*")</f>
        <v>11794.829999999794</v>
      </c>
      <c r="BT535" s="87">
        <f>SUMIFS($AU$3:AU536,$AC$3:AC536,"*")</f>
        <v>24678.45714285714</v>
      </c>
      <c r="BU535" s="87">
        <f>SUMIFS($AU$3:AU536,$AA$3:AA536,"*",$AB$3:AB536,"*")</f>
        <v>5807.9999999998217</v>
      </c>
      <c r="BV535" s="87">
        <f>SUMIFS($AU$3:AU536,$AA$3:AA536,"*",$AC$3:AC536,"*")</f>
        <v>13364.4</v>
      </c>
      <c r="BW535" s="87">
        <f>SUMIFS($AU$3:AU536,$AB$3:AB536,"*",$AC$3:AC536,"*")</f>
        <v>7119.9999999999982</v>
      </c>
      <c r="BX535" s="87">
        <f>SUMIFS($AV$3:AV536,$Q$3:Q536,"F")</f>
        <v>397.90578243515159</v>
      </c>
      <c r="BY535" s="87">
        <f>SUMIFS($AV$3:AV536,$Q$3:Q536,"S")</f>
        <v>558.83991333429879</v>
      </c>
      <c r="BZ535" s="87">
        <f>SUMIFS($AV$3:AV536,$Q$3:Q536,"O")</f>
        <v>871.22899999976846</v>
      </c>
    </row>
    <row r="536" spans="1:78" ht="15.75" customHeight="1">
      <c r="A536" s="45" t="s">
        <v>1310</v>
      </c>
      <c r="B536" s="59">
        <v>45412</v>
      </c>
      <c r="C536" s="46" t="s">
        <v>147</v>
      </c>
      <c r="D536" s="46"/>
      <c r="E536" s="66"/>
      <c r="F536" s="47"/>
      <c r="G536" s="48" t="s">
        <v>1193</v>
      </c>
      <c r="H536" s="49"/>
      <c r="I536" s="49"/>
      <c r="J536" s="49"/>
      <c r="K536" s="50"/>
      <c r="L536" s="49"/>
      <c r="M536" s="49"/>
      <c r="N536" s="49"/>
      <c r="O536" s="50" t="s">
        <v>100</v>
      </c>
      <c r="P536" s="50" t="s">
        <v>101</v>
      </c>
      <c r="Q536" s="50" t="s">
        <v>198</v>
      </c>
      <c r="R536" s="50">
        <v>20</v>
      </c>
      <c r="S536" s="50">
        <v>0</v>
      </c>
      <c r="T536" s="50">
        <v>20</v>
      </c>
      <c r="U536" s="50" t="s">
        <v>102</v>
      </c>
      <c r="V536" s="50"/>
      <c r="W536" s="50"/>
      <c r="X536" s="50"/>
      <c r="Y536" s="51">
        <f>IF(ISBLANK(O536),"",(IF(O536=UPPER("IB"),0.005,0.01)))</f>
        <v>0.01</v>
      </c>
      <c r="Z536" s="52">
        <f>IF(ISBLANK(O536),"",IF(O536="IB",8.63*200,IF(O536="IR",16*100,IF(O536="YT",20*100,IF(O536="YT-XT",24*200,IF(O536="TED",80*100,IF(O536="XT",29*200)))))))</f>
        <v>1600</v>
      </c>
      <c r="AA536" s="52" t="s">
        <v>515</v>
      </c>
      <c r="AB536" s="52"/>
      <c r="AC536" s="52"/>
      <c r="AD536" s="231">
        <v>95.58</v>
      </c>
      <c r="AE536" s="49"/>
      <c r="AF536" s="84"/>
      <c r="AG536" s="49"/>
      <c r="AH536" s="49"/>
      <c r="AI536" s="49"/>
      <c r="AJ536" s="226"/>
      <c r="AK536" s="49"/>
      <c r="AL536" s="113">
        <f t="shared" si="240"/>
        <v>-32</v>
      </c>
      <c r="AM536" s="113">
        <f t="shared" si="224"/>
        <v>-640</v>
      </c>
      <c r="AN536" s="218"/>
      <c r="AO536" s="49"/>
      <c r="AP536" s="49"/>
      <c r="AQ536" s="84" t="s">
        <v>350</v>
      </c>
      <c r="AR536" s="49"/>
      <c r="AS536" s="55">
        <v>95.58</v>
      </c>
      <c r="AT536" s="55">
        <f>IF(ISBLANK(AS536),,IF(U536="S",AD536-AS536,AS536-AD536))</f>
        <v>0</v>
      </c>
      <c r="AU536" s="54">
        <f>AV536*R536</f>
        <v>0</v>
      </c>
      <c r="AV536" s="56">
        <f t="shared" ref="AV536" si="242">IF(ISBLANK(AS536),,(AT536*Z536))</f>
        <v>0</v>
      </c>
      <c r="AW536" s="57" t="s">
        <v>155</v>
      </c>
      <c r="AX536" s="153" t="s">
        <v>1807</v>
      </c>
      <c r="AY536" s="153"/>
      <c r="AZ536" s="153"/>
      <c r="BA536" s="153"/>
      <c r="BB536" s="153"/>
      <c r="BC536" s="153"/>
      <c r="BD536" s="151"/>
      <c r="BE536" s="152"/>
      <c r="BF536" s="151"/>
      <c r="BG536" s="94">
        <f>SUM($AV$4:AV536)</f>
        <v>3775.9746957692241</v>
      </c>
      <c r="BH536" s="95">
        <f>SUM($AU$4:AU536)</f>
        <v>43706.687142856565</v>
      </c>
      <c r="BI536" s="80">
        <f>SUMIFS($AU$3:AU537,$Q$3:Q537,"F")</f>
        <v>25718.457142857143</v>
      </c>
      <c r="BJ536" s="80">
        <f>SUMIFS($AU$3:AU537,$Q$3:Q537,"S")</f>
        <v>13727.999999999995</v>
      </c>
      <c r="BK536" s="87">
        <f>SUMIFS($AU$3:AU537,$P$3:P537,"W")</f>
        <v>30047.637142857486</v>
      </c>
      <c r="BL536" s="87">
        <f>SUMIFS($AU$3:AU537,$P$3:P537,"R")</f>
        <v>11645.999999999862</v>
      </c>
      <c r="BM536" s="87">
        <f>SUMIFS($AU$3:AU537,$AQ$3:AQ537,"M")</f>
        <v>9225.3799999992698</v>
      </c>
      <c r="BN536" s="87">
        <f>SUMIFS($AU$3:AU537,$AQ$3:AQ537,"H")</f>
        <v>8087.2000000002827</v>
      </c>
      <c r="BO536" s="87">
        <f>SUMIFS($AU$3:AU537,$AQ$3:AQ537,"D")</f>
        <v>13545.507142857021</v>
      </c>
      <c r="BP536" s="87">
        <f>SUMIFS($AS$3:AS1297,$AO$3:AO1297,"W")</f>
        <v>0</v>
      </c>
      <c r="BQ536" s="87">
        <f>SUMIFS($AU$3:AU537,$Q$3:Q537,"O")</f>
        <v>2836.2299999994329</v>
      </c>
      <c r="BR536" s="87">
        <f>SUMIFS($AU$3:AU537,$AA$3:AA537,"*")</f>
        <v>30245.79999999945</v>
      </c>
      <c r="BS536" s="87">
        <f>SUMIFS($AU$3:AU537,$AB$3:AB537,"*")</f>
        <v>11794.829999999794</v>
      </c>
      <c r="BT536" s="87">
        <f>SUMIFS($AU$3:AU537,$AC$3:AC537,"*")</f>
        <v>24678.45714285714</v>
      </c>
      <c r="BU536" s="87">
        <f>SUMIFS($AU$3:AU537,$AA$3:AA537,"*",$AB$3:AB537,"*")</f>
        <v>5807.9999999998217</v>
      </c>
      <c r="BV536" s="87">
        <f>SUMIFS($AU$3:AU537,$AA$3:AA537,"*",$AC$3:AC537,"*")</f>
        <v>13364.4</v>
      </c>
      <c r="BW536" s="87">
        <f>SUMIFS($AU$3:AU537,$AB$3:AB537,"*",$AC$3:AC537,"*")</f>
        <v>7119.9999999999982</v>
      </c>
      <c r="BX536" s="87">
        <f>SUMIFS($AV$3:AV537,$Q$3:Q537,"F")</f>
        <v>397.90578243515159</v>
      </c>
      <c r="BY536" s="87">
        <f>SUMIFS($AV$3:AV537,$Q$3:Q537,"S")</f>
        <v>558.83991333429879</v>
      </c>
      <c r="BZ536" s="87">
        <f>SUMIFS($AV$3:AV537,$Q$3:Q537,"O")</f>
        <v>871.22899999976846</v>
      </c>
    </row>
    <row r="537" spans="1:78" ht="15.75" customHeight="1">
      <c r="A537" s="45" t="s">
        <v>1310</v>
      </c>
      <c r="B537" s="59">
        <v>45412</v>
      </c>
      <c r="C537" s="46" t="s">
        <v>1808</v>
      </c>
      <c r="D537" s="46" t="s">
        <v>1809</v>
      </c>
      <c r="E537" s="66"/>
      <c r="F537" s="47"/>
      <c r="G537" s="163" t="s">
        <v>1748</v>
      </c>
      <c r="H537" s="49"/>
      <c r="I537" s="49"/>
      <c r="J537" s="49"/>
      <c r="K537" s="50"/>
      <c r="L537" s="49"/>
      <c r="M537" s="49">
        <v>1</v>
      </c>
      <c r="N537" s="49"/>
      <c r="O537" s="50" t="s">
        <v>740</v>
      </c>
      <c r="P537" s="50" t="s">
        <v>126</v>
      </c>
      <c r="Q537" s="50"/>
      <c r="R537" s="50">
        <v>1</v>
      </c>
      <c r="S537" s="50">
        <v>0</v>
      </c>
      <c r="T537" s="50">
        <v>1</v>
      </c>
      <c r="U537" s="50" t="s">
        <v>102</v>
      </c>
      <c r="V537" s="50"/>
      <c r="W537" s="50"/>
      <c r="X537" s="50"/>
      <c r="Y537" s="51">
        <f>IF(ISBLANK(O537),"",(IF(O537=UPPER("IB"),0.005,0.01)))</f>
        <v>0.01</v>
      </c>
      <c r="Z537" s="52">
        <f>IF(ISBLANK(O537),"",IF(O537="IB",8.63*200,IF(O537="IR",16*100,IF(O537="YT",20*100,IF(O537="YT-XT",24*200,IF(O537="TED",80*100,IF(O537="IR|YT",300*100)))))))</f>
        <v>30000</v>
      </c>
      <c r="AA537" s="52" t="s">
        <v>1810</v>
      </c>
      <c r="AB537" s="52"/>
      <c r="AC537" s="52"/>
      <c r="AD537" s="231">
        <v>-0.34</v>
      </c>
      <c r="AE537" s="49"/>
      <c r="AF537" s="84"/>
      <c r="AG537" s="49"/>
      <c r="AH537" s="49"/>
      <c r="AI537" s="49"/>
      <c r="AJ537" s="226"/>
      <c r="AK537" s="49"/>
      <c r="AL537" s="113">
        <f t="shared" si="240"/>
        <v>-600</v>
      </c>
      <c r="AM537" s="113">
        <f t="shared" si="224"/>
        <v>-600</v>
      </c>
      <c r="AN537" s="218"/>
      <c r="AO537" s="49"/>
      <c r="AP537" s="49"/>
      <c r="AQ537" s="84" t="s">
        <v>142</v>
      </c>
      <c r="AR537" s="49"/>
      <c r="AS537" s="55">
        <v>-0.34</v>
      </c>
      <c r="AT537" s="55">
        <f>IF(ISBLANK(AS537),,IF(U537="S",AD537-AS537,AS537-AD537))</f>
        <v>0</v>
      </c>
      <c r="AU537" s="54">
        <f>AV537*R537</f>
        <v>0</v>
      </c>
      <c r="AV537" s="56">
        <f t="shared" ref="AV537:AV538" si="243">IF(ISBLANK(AS537),,(AT537*Z537))</f>
        <v>0</v>
      </c>
      <c r="AW537" s="57" t="s">
        <v>155</v>
      </c>
      <c r="AX537" s="153"/>
      <c r="AY537" s="153"/>
      <c r="AZ537" s="153"/>
      <c r="BA537" s="153"/>
      <c r="BB537" s="153"/>
      <c r="BC537" s="153"/>
      <c r="BD537" s="151"/>
      <c r="BE537" s="152"/>
      <c r="BF537" s="151"/>
      <c r="BG537" s="94">
        <f>SUM($AV$4:AV537)</f>
        <v>3775.9746957692241</v>
      </c>
      <c r="BH537" s="95">
        <f>SUM($AU$4:AU537)</f>
        <v>43706.687142856565</v>
      </c>
      <c r="BI537" s="80">
        <f>SUMIFS($AU$3:AU538,$Q$3:Q538,"F")</f>
        <v>25718.457142857143</v>
      </c>
      <c r="BJ537" s="80">
        <f>SUMIFS($AU$3:AU538,$Q$3:Q538,"S")</f>
        <v>13727.999999999995</v>
      </c>
      <c r="BK537" s="87">
        <f>SUMIFS($AU$3:AU538,$P$3:P538,"W")</f>
        <v>30047.637142857486</v>
      </c>
      <c r="BL537" s="87">
        <f>SUMIFS($AU$3:AU538,$P$3:P538,"R")</f>
        <v>11645.999999999862</v>
      </c>
      <c r="BM537" s="87">
        <f>SUMIFS($AU$3:AU538,$AQ$3:AQ538,"M")</f>
        <v>9225.3799999992698</v>
      </c>
      <c r="BN537" s="87">
        <f>SUMIFS($AU$3:AU538,$AQ$3:AQ538,"H")</f>
        <v>8087.2000000002827</v>
      </c>
      <c r="BO537" s="87">
        <f>SUMIFS($AU$3:AU538,$AQ$3:AQ538,"D")</f>
        <v>13545.507142857021</v>
      </c>
      <c r="BP537" s="87">
        <f>SUMIFS($AS$3:AS1298,$AO$3:AO1298,"W")</f>
        <v>0</v>
      </c>
      <c r="BQ537" s="87">
        <f>SUMIFS($AU$3:AU538,$Q$3:Q538,"O")</f>
        <v>2836.2299999994329</v>
      </c>
      <c r="BR537" s="87">
        <f>SUMIFS($AU$3:AU538,$AA$3:AA538,"*")</f>
        <v>30245.79999999945</v>
      </c>
      <c r="BS537" s="87">
        <f>SUMIFS($AU$3:AU538,$AB$3:AB538,"*")</f>
        <v>11794.829999999794</v>
      </c>
      <c r="BT537" s="87">
        <f>SUMIFS($AU$3:AU538,$AC$3:AC538,"*")</f>
        <v>24678.45714285714</v>
      </c>
      <c r="BU537" s="87">
        <f>SUMIFS($AU$3:AU538,$AA$3:AA538,"*",$AB$3:AB538,"*")</f>
        <v>5807.9999999998217</v>
      </c>
      <c r="BV537" s="87">
        <f>SUMIFS($AU$3:AU538,$AA$3:AA538,"*",$AC$3:AC538,"*")</f>
        <v>13364.4</v>
      </c>
      <c r="BW537" s="87">
        <f>SUMIFS($AU$3:AU538,$AB$3:AB538,"*",$AC$3:AC538,"*")</f>
        <v>7119.9999999999982</v>
      </c>
      <c r="BX537" s="87">
        <f>SUMIFS($AV$3:AV538,$Q$3:Q538,"F")</f>
        <v>397.90578243515159</v>
      </c>
      <c r="BY537" s="87">
        <f>SUMIFS($AV$3:AV538,$Q$3:Q538,"S")</f>
        <v>558.83991333429879</v>
      </c>
      <c r="BZ537" s="87">
        <f>SUMIFS($AV$3:AV538,$Q$3:Q538,"O")</f>
        <v>871.22899999976846</v>
      </c>
    </row>
    <row r="538" spans="1:78" ht="15.75" customHeight="1">
      <c r="A538" s="45" t="s">
        <v>1310</v>
      </c>
      <c r="B538" s="59">
        <v>45412</v>
      </c>
      <c r="C538" s="46" t="s">
        <v>1811</v>
      </c>
      <c r="D538" s="46" t="s">
        <v>98</v>
      </c>
      <c r="E538" s="66"/>
      <c r="F538" s="47"/>
      <c r="G538" s="48" t="s">
        <v>735</v>
      </c>
      <c r="H538" s="49"/>
      <c r="I538" s="49"/>
      <c r="J538" s="49"/>
      <c r="K538" s="50"/>
      <c r="L538" s="49"/>
      <c r="M538" s="49">
        <v>1</v>
      </c>
      <c r="N538" s="49"/>
      <c r="O538" s="50" t="s">
        <v>363</v>
      </c>
      <c r="P538" s="50" t="s">
        <v>126</v>
      </c>
      <c r="Q538" s="50"/>
      <c r="R538" s="50">
        <v>2</v>
      </c>
      <c r="S538" s="50">
        <v>0</v>
      </c>
      <c r="T538" s="50">
        <v>2</v>
      </c>
      <c r="U538" s="50" t="s">
        <v>22</v>
      </c>
      <c r="V538" s="50"/>
      <c r="W538" s="50"/>
      <c r="X538" s="50"/>
      <c r="Y538" s="51">
        <f>IF(ISBLANK(O538),"",(IF(O538=UPPER("IB"),0.005,0.01)))</f>
        <v>0.01</v>
      </c>
      <c r="Z538" s="52">
        <f>IF(ISBLANK(O538),"",IF(O538="IB",8.63*200,IF(O538="IR",16*100,IF(O538="YT",20*100,IF(O538="YT-XT",24*200,IF(O538="TED",80*100))))))</f>
        <v>8000</v>
      </c>
      <c r="AA538" s="52" t="s">
        <v>1812</v>
      </c>
      <c r="AB538" s="52"/>
      <c r="AC538" s="52"/>
      <c r="AD538" s="231">
        <v>-0.34</v>
      </c>
      <c r="AE538" s="49"/>
      <c r="AF538" s="84"/>
      <c r="AG538" s="49"/>
      <c r="AH538" s="49"/>
      <c r="AI538" s="49"/>
      <c r="AJ538" s="226"/>
      <c r="AK538" s="49"/>
      <c r="AL538" s="113">
        <f t="shared" si="240"/>
        <v>-160</v>
      </c>
      <c r="AM538" s="113">
        <f t="shared" si="224"/>
        <v>-320</v>
      </c>
      <c r="AN538" s="218"/>
      <c r="AO538" s="49"/>
      <c r="AP538" s="49"/>
      <c r="AQ538" s="84" t="s">
        <v>350</v>
      </c>
      <c r="AR538" s="49"/>
      <c r="AS538" s="55">
        <v>-0.34</v>
      </c>
      <c r="AT538" s="55">
        <f>IF(ISBLANK(AS538),,IF(U538="S",AD538-AS538,AS538-AD538))</f>
        <v>0</v>
      </c>
      <c r="AU538" s="54">
        <f>AV538*R538</f>
        <v>0</v>
      </c>
      <c r="AV538" s="56">
        <f t="shared" si="243"/>
        <v>0</v>
      </c>
      <c r="AW538" s="57" t="s">
        <v>155</v>
      </c>
      <c r="AX538" s="153"/>
      <c r="AY538" s="153"/>
      <c r="AZ538" s="153"/>
      <c r="BA538" s="153"/>
      <c r="BB538" s="153"/>
      <c r="BC538" s="153"/>
      <c r="BD538" s="151"/>
      <c r="BE538" s="152"/>
      <c r="BF538" s="151"/>
      <c r="BG538" s="94">
        <f>SUM($AV$4:AV538)</f>
        <v>3775.9746957692241</v>
      </c>
      <c r="BH538" s="95">
        <f>SUM($AU$4:AU538)</f>
        <v>43706.687142856565</v>
      </c>
      <c r="BI538" s="80">
        <f>SUMIFS($AU$3:AU539,$Q$3:Q539,"F")</f>
        <v>25718.457142857143</v>
      </c>
      <c r="BJ538" s="80">
        <f>SUMIFS($AU$3:AU539,$Q$3:Q539,"S")</f>
        <v>13727.999999999995</v>
      </c>
      <c r="BK538" s="87">
        <f>SUMIFS($AU$3:AU539,$P$3:P539,"W")</f>
        <v>30047.637142857486</v>
      </c>
      <c r="BL538" s="87">
        <f>SUMIFS($AU$3:AU539,$P$3:P539,"R")</f>
        <v>11645.999999999862</v>
      </c>
      <c r="BM538" s="87">
        <f>SUMIFS($AU$3:AU539,$AQ$3:AQ539,"M")</f>
        <v>9225.3799999992698</v>
      </c>
      <c r="BN538" s="87">
        <f>SUMIFS($AU$3:AU539,$AQ$3:AQ539,"H")</f>
        <v>8087.2000000002827</v>
      </c>
      <c r="BO538" s="87">
        <f>SUMIFS($AU$3:AU539,$AQ$3:AQ539,"D")</f>
        <v>13545.507142857021</v>
      </c>
      <c r="BP538" s="87">
        <f>SUMIFS($AS$3:AS1299,$AO$3:AO1299,"W")</f>
        <v>0</v>
      </c>
      <c r="BQ538" s="87">
        <f>SUMIFS($AU$3:AU539,$Q$3:Q539,"O")</f>
        <v>2836.2299999994329</v>
      </c>
      <c r="BR538" s="87">
        <f>SUMIFS($AU$3:AU539,$AA$3:AA539,"*")</f>
        <v>30245.79999999945</v>
      </c>
      <c r="BS538" s="87">
        <f>SUMIFS($AU$3:AU539,$AB$3:AB539,"*")</f>
        <v>11794.829999999794</v>
      </c>
      <c r="BT538" s="87">
        <f>SUMIFS($AU$3:AU539,$AC$3:AC539,"*")</f>
        <v>24678.45714285714</v>
      </c>
      <c r="BU538" s="87">
        <f>SUMIFS($AU$3:AU539,$AA$3:AA539,"*",$AB$3:AB539,"*")</f>
        <v>5807.9999999998217</v>
      </c>
      <c r="BV538" s="87">
        <f>SUMIFS($AU$3:AU539,$AA$3:AA539,"*",$AC$3:AC539,"*")</f>
        <v>13364.4</v>
      </c>
      <c r="BW538" s="87">
        <f>SUMIFS($AU$3:AU539,$AB$3:AB539,"*",$AC$3:AC539,"*")</f>
        <v>7119.9999999999982</v>
      </c>
      <c r="BX538" s="87">
        <f>SUMIFS($AV$3:AV539,$Q$3:Q539,"F")</f>
        <v>397.90578243515159</v>
      </c>
      <c r="BY538" s="87">
        <f>SUMIFS($AV$3:AV539,$Q$3:Q539,"S")</f>
        <v>558.83991333429879</v>
      </c>
      <c r="BZ538" s="87">
        <f>SUMIFS($AV$3:AV539,$Q$3:Q539,"O")</f>
        <v>871.22899999976846</v>
      </c>
    </row>
    <row r="539" spans="1:78" ht="15.75" customHeight="1">
      <c r="A539" s="45" t="s">
        <v>1310</v>
      </c>
      <c r="B539" s="59"/>
      <c r="C539" s="46"/>
      <c r="D539" s="46"/>
      <c r="E539" s="66"/>
      <c r="F539" s="47"/>
      <c r="G539" s="48"/>
      <c r="H539" s="49"/>
      <c r="I539" s="49"/>
      <c r="J539" s="49"/>
      <c r="K539" s="50"/>
      <c r="L539" s="49"/>
      <c r="M539" s="49"/>
      <c r="N539" s="49"/>
      <c r="O539" s="50"/>
      <c r="P539" s="50"/>
      <c r="Q539" s="50"/>
      <c r="R539" s="50"/>
      <c r="S539" s="50"/>
      <c r="T539" s="50"/>
      <c r="U539" s="50"/>
      <c r="V539" s="50"/>
      <c r="W539" s="50"/>
      <c r="X539" s="50"/>
      <c r="Y539" s="50"/>
      <c r="Z539" s="50"/>
      <c r="AA539" s="52"/>
      <c r="AB539" s="52"/>
      <c r="AC539" s="52"/>
      <c r="AD539" s="231"/>
      <c r="AE539" s="49"/>
      <c r="AF539" s="84"/>
      <c r="AG539" s="49"/>
      <c r="AH539" s="49"/>
      <c r="AI539" s="49"/>
      <c r="AJ539" s="226"/>
      <c r="AK539" s="49"/>
      <c r="AL539" s="113">
        <f t="shared" si="240"/>
        <v>0</v>
      </c>
      <c r="AM539" s="113">
        <f t="shared" ref="AM539:AM543" si="244">AL539*(R539-S539)</f>
        <v>0</v>
      </c>
      <c r="AN539" s="218"/>
      <c r="AO539" s="49"/>
      <c r="AP539" s="49"/>
      <c r="AQ539" s="84" t="str">
        <f>UPPER(RIGHT(Journal_Live[[#This Row],[DURATION ]]))</f>
        <v/>
      </c>
      <c r="AR539" s="49"/>
      <c r="AS539" s="55"/>
      <c r="AT539" s="55"/>
      <c r="AU539" s="54"/>
      <c r="AV539" s="56"/>
      <c r="AW539" s="57"/>
      <c r="AX539" s="153" t="s">
        <v>1813</v>
      </c>
      <c r="AY539" s="153" t="s">
        <v>1814</v>
      </c>
      <c r="AZ539" s="151" t="s">
        <v>1815</v>
      </c>
      <c r="BA539" s="153" t="s">
        <v>1816</v>
      </c>
      <c r="BB539" s="153" t="s">
        <v>1817</v>
      </c>
      <c r="BC539" s="153"/>
      <c r="BD539" s="151"/>
      <c r="BE539" s="152"/>
      <c r="BF539" s="151"/>
      <c r="BG539" s="94">
        <f>SUM($AV$4:AV539)</f>
        <v>3775.9746957692241</v>
      </c>
      <c r="BH539" s="95">
        <f>SUM($AU$4:AU539)</f>
        <v>43706.687142856565</v>
      </c>
      <c r="BI539" s="80">
        <f>SUMIFS($AU$3:AU540,$Q$3:Q540,"F")</f>
        <v>25718.457142857143</v>
      </c>
      <c r="BJ539" s="80">
        <f>SUMIFS($AU$3:AU540,$Q$3:Q540,"S")</f>
        <v>13727.999999999995</v>
      </c>
      <c r="BK539" s="87">
        <f>SUMIFS($AU$3:AU540,$P$3:P540,"W")</f>
        <v>30047.637142857486</v>
      </c>
      <c r="BL539" s="87">
        <f>SUMIFS($AU$3:AU540,$P$3:P540,"R")</f>
        <v>11645.999999999862</v>
      </c>
      <c r="BM539" s="87">
        <f>SUMIFS($AU$3:AU540,$AQ$3:AQ540,"M")</f>
        <v>9225.3799999992698</v>
      </c>
      <c r="BN539" s="87">
        <f>SUMIFS($AU$3:AU540,$AQ$3:AQ540,"H")</f>
        <v>8087.2000000002827</v>
      </c>
      <c r="BO539" s="87">
        <f>SUMIFS($AU$3:AU540,$AQ$3:AQ540,"D")</f>
        <v>13545.507142857021</v>
      </c>
      <c r="BP539" s="87">
        <f>SUMIFS($AS$3:AS1300,$AO$3:AO1300,"W")</f>
        <v>0</v>
      </c>
      <c r="BQ539" s="87">
        <f>SUMIFS($AU$3:AU540,$Q$3:Q540,"O")</f>
        <v>2836.2299999994329</v>
      </c>
      <c r="BR539" s="87">
        <f>SUMIFS($AU$3:AU540,$AA$3:AA540,"*")</f>
        <v>30245.79999999945</v>
      </c>
      <c r="BS539" s="87">
        <f>SUMIFS($AU$3:AU540,$AB$3:AB540,"*")</f>
        <v>11794.829999999794</v>
      </c>
      <c r="BT539" s="87">
        <f>SUMIFS($AU$3:AU540,$AC$3:AC540,"*")</f>
        <v>24678.45714285714</v>
      </c>
      <c r="BU539" s="87">
        <f>SUMIFS($AU$3:AU540,$AA$3:AA540,"*",$AB$3:AB540,"*")</f>
        <v>5807.9999999998217</v>
      </c>
      <c r="BV539" s="87">
        <f>SUMIFS($AU$3:AU540,$AA$3:AA540,"*",$AC$3:AC540,"*")</f>
        <v>13364.4</v>
      </c>
      <c r="BW539" s="87">
        <f>SUMIFS($AU$3:AU540,$AB$3:AB540,"*",$AC$3:AC540,"*")</f>
        <v>7119.9999999999982</v>
      </c>
      <c r="BX539" s="87">
        <f>SUMIFS($AV$3:AV540,$Q$3:Q540,"F")</f>
        <v>397.90578243515159</v>
      </c>
      <c r="BY539" s="87">
        <f>SUMIFS($AV$3:AV540,$Q$3:Q540,"S")</f>
        <v>558.83991333429879</v>
      </c>
      <c r="BZ539" s="87">
        <f>SUMIFS($AV$3:AV540,$Q$3:Q540,"O")</f>
        <v>871.22899999976846</v>
      </c>
    </row>
    <row r="540" spans="1:78" ht="15.75" customHeight="1">
      <c r="A540" s="45" t="s">
        <v>1310</v>
      </c>
      <c r="B540" s="59"/>
      <c r="C540" s="46"/>
      <c r="D540" s="46"/>
      <c r="E540" s="66"/>
      <c r="F540" s="47"/>
      <c r="G540" s="48"/>
      <c r="H540" s="49"/>
      <c r="I540" s="49"/>
      <c r="J540" s="49"/>
      <c r="K540" s="50"/>
      <c r="L540" s="49"/>
      <c r="M540" s="49"/>
      <c r="N540" s="49"/>
      <c r="O540" s="50"/>
      <c r="P540" s="50"/>
      <c r="Q540" s="50"/>
      <c r="R540" s="50"/>
      <c r="S540" s="50"/>
      <c r="T540" s="50"/>
      <c r="U540" s="50"/>
      <c r="V540" s="50"/>
      <c r="W540" s="50"/>
      <c r="X540" s="50"/>
      <c r="Y540" s="50"/>
      <c r="Z540" s="50"/>
      <c r="AA540" s="52"/>
      <c r="AB540" s="52"/>
      <c r="AC540" s="52"/>
      <c r="AD540" s="231"/>
      <c r="AE540" s="49"/>
      <c r="AF540" s="84"/>
      <c r="AG540" s="49"/>
      <c r="AH540" s="49"/>
      <c r="AI540" s="49"/>
      <c r="AJ540" s="226"/>
      <c r="AK540" s="49"/>
      <c r="AL540" s="113">
        <f t="shared" si="240"/>
        <v>0</v>
      </c>
      <c r="AM540" s="113">
        <f t="shared" si="244"/>
        <v>0</v>
      </c>
      <c r="AN540" s="218"/>
      <c r="AO540" s="49"/>
      <c r="AP540" s="49"/>
      <c r="AQ540" s="84" t="str">
        <f>UPPER(RIGHT(Journal_Live[[#This Row],[DURATION ]]))</f>
        <v/>
      </c>
      <c r="AR540" s="49"/>
      <c r="AS540" s="55"/>
      <c r="AT540" s="55"/>
      <c r="AU540" s="54"/>
      <c r="AV540" s="56"/>
      <c r="AW540" s="57"/>
      <c r="AX540" s="153"/>
      <c r="AY540" s="153"/>
      <c r="AZ540" s="153"/>
      <c r="BA540" s="153"/>
      <c r="BB540" s="153"/>
      <c r="BC540" s="153"/>
      <c r="BD540" s="151"/>
      <c r="BE540" s="152"/>
      <c r="BF540" s="151"/>
      <c r="BG540" s="94">
        <f>SUM($AV$4:AV540)</f>
        <v>3775.9746957692241</v>
      </c>
      <c r="BH540" s="95">
        <f>SUM($AU$4:AU540)</f>
        <v>43706.687142856565</v>
      </c>
      <c r="BI540" s="80">
        <f>SUMIFS($AU$3:AU541,$Q$3:Q541,"F")</f>
        <v>25718.457142857143</v>
      </c>
      <c r="BJ540" s="80">
        <f>SUMIFS($AU$3:AU541,$Q$3:Q541,"S")</f>
        <v>13727.999999999995</v>
      </c>
      <c r="BK540" s="87">
        <f>SUMIFS($AU$3:AU541,$P$3:P541,"W")</f>
        <v>30047.637142857486</v>
      </c>
      <c r="BL540" s="87">
        <f>SUMIFS($AU$3:AU541,$P$3:P541,"R")</f>
        <v>11645.999999999862</v>
      </c>
      <c r="BM540" s="87">
        <f>SUMIFS($AU$3:AU541,$AQ$3:AQ541,"M")</f>
        <v>9225.3799999992698</v>
      </c>
      <c r="BN540" s="87">
        <f>SUMIFS($AU$3:AU541,$AQ$3:AQ541,"H")</f>
        <v>8087.2000000002827</v>
      </c>
      <c r="BO540" s="87">
        <f>SUMIFS($AU$3:AU541,$AQ$3:AQ541,"D")</f>
        <v>13545.507142857021</v>
      </c>
      <c r="BP540" s="87">
        <f>SUMIFS($AS$3:AS1301,$AO$3:AO1301,"W")</f>
        <v>0</v>
      </c>
      <c r="BQ540" s="87">
        <f>SUMIFS($AU$3:AU541,$Q$3:Q541,"O")</f>
        <v>2836.2299999994329</v>
      </c>
      <c r="BR540" s="87">
        <f>SUMIFS($AU$3:AU541,$AA$3:AA541,"*")</f>
        <v>30245.79999999945</v>
      </c>
      <c r="BS540" s="87">
        <f>SUMIFS($AU$3:AU541,$AB$3:AB541,"*")</f>
        <v>11794.829999999794</v>
      </c>
      <c r="BT540" s="87">
        <f>SUMIFS($AU$3:AU541,$AC$3:AC541,"*")</f>
        <v>24678.45714285714</v>
      </c>
      <c r="BU540" s="87">
        <f>SUMIFS($AU$3:AU541,$AA$3:AA541,"*",$AB$3:AB541,"*")</f>
        <v>5807.9999999998217</v>
      </c>
      <c r="BV540" s="87">
        <f>SUMIFS($AU$3:AU541,$AA$3:AA541,"*",$AC$3:AC541,"*")</f>
        <v>13364.4</v>
      </c>
      <c r="BW540" s="87">
        <f>SUMIFS($AU$3:AU541,$AB$3:AB541,"*",$AC$3:AC541,"*")</f>
        <v>7119.9999999999982</v>
      </c>
      <c r="BX540" s="87">
        <f>SUMIFS($AV$3:AV541,$Q$3:Q541,"F")</f>
        <v>397.90578243515159</v>
      </c>
      <c r="BY540" s="87">
        <f>SUMIFS($AV$3:AV541,$Q$3:Q541,"S")</f>
        <v>558.83991333429879</v>
      </c>
      <c r="BZ540" s="87">
        <f>SUMIFS($AV$3:AV541,$Q$3:Q541,"O")</f>
        <v>871.22899999976846</v>
      </c>
    </row>
    <row r="541" spans="1:78" ht="15.75" customHeight="1">
      <c r="A541" s="45" t="s">
        <v>1310</v>
      </c>
      <c r="B541" s="59"/>
      <c r="C541" s="46"/>
      <c r="D541" s="46"/>
      <c r="E541" s="66"/>
      <c r="F541" s="47"/>
      <c r="G541" s="48"/>
      <c r="H541" s="49"/>
      <c r="I541" s="49"/>
      <c r="J541" s="49"/>
      <c r="K541" s="50"/>
      <c r="L541" s="49"/>
      <c r="M541" s="49"/>
      <c r="N541" s="49"/>
      <c r="O541" s="50"/>
      <c r="P541" s="50"/>
      <c r="Q541" s="50"/>
      <c r="R541" s="50"/>
      <c r="S541" s="50"/>
      <c r="T541" s="50"/>
      <c r="U541" s="50"/>
      <c r="V541" s="50"/>
      <c r="W541" s="50"/>
      <c r="X541" s="50"/>
      <c r="Y541" s="50"/>
      <c r="Z541" s="50"/>
      <c r="AA541" s="52"/>
      <c r="AB541" s="52"/>
      <c r="AC541" s="52"/>
      <c r="AD541" s="231"/>
      <c r="AE541" s="49"/>
      <c r="AF541" s="84"/>
      <c r="AG541" s="49"/>
      <c r="AH541" s="49"/>
      <c r="AI541" s="49"/>
      <c r="AJ541" s="226"/>
      <c r="AK541" s="49"/>
      <c r="AL541" s="113">
        <f t="shared" ref="AL541" si="245">-0.02*Z541</f>
        <v>0</v>
      </c>
      <c r="AM541" s="113">
        <f t="shared" si="244"/>
        <v>0</v>
      </c>
      <c r="AN541" s="218"/>
      <c r="AO541" s="49"/>
      <c r="AP541" s="49"/>
      <c r="AQ541" s="84" t="str">
        <f>UPPER(RIGHT(Journal_Live[[#This Row],[DURATION ]]))</f>
        <v/>
      </c>
      <c r="AR541" s="49"/>
      <c r="AS541" s="55"/>
      <c r="AT541" s="55"/>
      <c r="AU541" s="54"/>
      <c r="AV541" s="56"/>
      <c r="AW541" s="57"/>
      <c r="AX541" s="153"/>
      <c r="AY541" s="153"/>
      <c r="AZ541" s="153"/>
      <c r="BA541" s="153"/>
      <c r="BB541" s="153"/>
      <c r="BC541" s="153"/>
      <c r="BD541" s="151"/>
      <c r="BE541" s="152"/>
      <c r="BF541" s="151"/>
      <c r="BG541" s="94">
        <f>SUM($AV$4:AV541)</f>
        <v>3775.9746957692241</v>
      </c>
      <c r="BH541" s="95">
        <f>SUM($AU$4:AU541)</f>
        <v>43706.687142856565</v>
      </c>
      <c r="BI541" s="80">
        <f>SUMIFS($AU$3:AU542,$Q$3:Q542,"F")</f>
        <v>25718.457142857143</v>
      </c>
      <c r="BJ541" s="80">
        <f>SUMIFS($AU$3:AU542,$Q$3:Q542,"S")</f>
        <v>13727.999999999995</v>
      </c>
      <c r="BK541" s="87">
        <f>SUMIFS($AU$3:AU542,$P$3:P542,"W")</f>
        <v>30047.637142857486</v>
      </c>
      <c r="BL541" s="87">
        <f>SUMIFS($AU$3:AU542,$P$3:P542,"R")</f>
        <v>11645.999999999862</v>
      </c>
      <c r="BM541" s="87">
        <f>SUMIFS($AU$3:AU542,$AQ$3:AQ542,"M")</f>
        <v>9225.3799999992698</v>
      </c>
      <c r="BN541" s="87">
        <f>SUMIFS($AU$3:AU542,$AQ$3:AQ542,"H")</f>
        <v>8087.2000000002827</v>
      </c>
      <c r="BO541" s="87">
        <f>SUMIFS($AU$3:AU542,$AQ$3:AQ542,"D")</f>
        <v>13545.507142857021</v>
      </c>
      <c r="BP541" s="87">
        <f>SUMIFS($AS$3:AS1302,$AO$3:AO1302,"W")</f>
        <v>0</v>
      </c>
      <c r="BQ541" s="87">
        <f>SUMIFS($AU$3:AU542,$Q$3:Q542,"O")</f>
        <v>2836.2299999994329</v>
      </c>
      <c r="BR541" s="87">
        <f>SUMIFS($AU$3:AU542,$AA$3:AA542,"*")</f>
        <v>30245.79999999945</v>
      </c>
      <c r="BS541" s="87">
        <f>SUMIFS($AU$3:AU542,$AB$3:AB542,"*")</f>
        <v>11794.829999999794</v>
      </c>
      <c r="BT541" s="87">
        <f>SUMIFS($AU$3:AU542,$AC$3:AC542,"*")</f>
        <v>24678.45714285714</v>
      </c>
      <c r="BU541" s="87">
        <f>SUMIFS($AU$3:AU542,$AA$3:AA542,"*",$AB$3:AB542,"*")</f>
        <v>5807.9999999998217</v>
      </c>
      <c r="BV541" s="87">
        <f>SUMIFS($AU$3:AU542,$AA$3:AA542,"*",$AC$3:AC542,"*")</f>
        <v>13364.4</v>
      </c>
      <c r="BW541" s="87">
        <f>SUMIFS($AU$3:AU542,$AB$3:AB542,"*",$AC$3:AC542,"*")</f>
        <v>7119.9999999999982</v>
      </c>
      <c r="BX541" s="87">
        <f>SUMIFS($AV$3:AV542,$Q$3:Q542,"F")</f>
        <v>397.90578243515159</v>
      </c>
      <c r="BY541" s="87">
        <f>SUMIFS($AV$3:AV542,$Q$3:Q542,"S")</f>
        <v>558.83991333429879</v>
      </c>
      <c r="BZ541" s="87">
        <f>SUMIFS($AV$3:AV542,$Q$3:Q542,"O")</f>
        <v>871.22899999976846</v>
      </c>
    </row>
    <row r="542" spans="1:78" ht="15.75" customHeight="1">
      <c r="A542" s="45" t="s">
        <v>1310</v>
      </c>
      <c r="B542" s="59"/>
      <c r="C542" s="46"/>
      <c r="D542" s="46"/>
      <c r="E542" s="66"/>
      <c r="F542" s="47"/>
      <c r="G542" s="48"/>
      <c r="H542" s="49"/>
      <c r="I542" s="49"/>
      <c r="J542" s="49"/>
      <c r="K542" s="50"/>
      <c r="L542" s="49"/>
      <c r="M542" s="49"/>
      <c r="N542" s="49"/>
      <c r="O542" s="50"/>
      <c r="P542" s="50"/>
      <c r="Q542" s="50"/>
      <c r="R542" s="50"/>
      <c r="S542" s="50"/>
      <c r="T542" s="50"/>
      <c r="U542" s="50"/>
      <c r="V542" s="50"/>
      <c r="W542" s="50"/>
      <c r="X542" s="50"/>
      <c r="Y542" s="50"/>
      <c r="Z542" s="50"/>
      <c r="AA542" s="52"/>
      <c r="AB542" s="52"/>
      <c r="AC542" s="52"/>
      <c r="AD542" s="231"/>
      <c r="AE542" s="49"/>
      <c r="AF542" s="84"/>
      <c r="AG542" s="49"/>
      <c r="AH542" s="49"/>
      <c r="AI542" s="49"/>
      <c r="AJ542" s="226"/>
      <c r="AK542" s="49"/>
      <c r="AL542" s="113">
        <f t="shared" si="130"/>
        <v>0</v>
      </c>
      <c r="AM542" s="113">
        <f t="shared" si="244"/>
        <v>0</v>
      </c>
      <c r="AN542" s="218"/>
      <c r="AO542" s="49"/>
      <c r="AP542" s="49"/>
      <c r="AQ542" s="84" t="str">
        <f>UPPER(RIGHT(Journal_Live[[#This Row],[DURATION ]]))</f>
        <v/>
      </c>
      <c r="AR542" s="49"/>
      <c r="AS542" s="55"/>
      <c r="AT542" s="55"/>
      <c r="AU542" s="54"/>
      <c r="AV542" s="56"/>
      <c r="AW542" s="57"/>
      <c r="AX542" s="153"/>
      <c r="AY542" s="153"/>
      <c r="AZ542" s="153"/>
      <c r="BA542" s="153"/>
      <c r="BB542" s="153"/>
      <c r="BC542" s="153"/>
      <c r="BD542" s="151"/>
      <c r="BE542" s="152"/>
      <c r="BF542" s="151"/>
      <c r="BG542" s="94">
        <f>SUM($AV$4:AV542)</f>
        <v>3775.9746957692241</v>
      </c>
      <c r="BH542" s="95">
        <f>SUM($AU$4:AU542)</f>
        <v>43706.687142856565</v>
      </c>
      <c r="BI542" s="80">
        <f>SUMIFS($AU$3:AU543,$Q$3:Q543,"F")</f>
        <v>25718.457142857143</v>
      </c>
      <c r="BJ542" s="80">
        <f>SUMIFS($AU$3:AU543,$Q$3:Q543,"S")</f>
        <v>13727.999999999995</v>
      </c>
      <c r="BK542" s="87">
        <f>SUMIFS($AU$3:AU543,$P$3:P543,"W")</f>
        <v>30047.637142857486</v>
      </c>
      <c r="BL542" s="87">
        <f>SUMIFS($AU$3:AU543,$P$3:P543,"R")</f>
        <v>11645.999999999862</v>
      </c>
      <c r="BM542" s="87">
        <f>SUMIFS($AU$3:AU543,$AQ$3:AQ543,"M")</f>
        <v>9225.3799999992698</v>
      </c>
      <c r="BN542" s="87">
        <f>SUMIFS($AU$3:AU543,$AQ$3:AQ543,"H")</f>
        <v>8087.2000000002827</v>
      </c>
      <c r="BO542" s="87">
        <f>SUMIFS($AU$3:AU543,$AQ$3:AQ543,"D")</f>
        <v>13545.507142857021</v>
      </c>
      <c r="BP542" s="87">
        <f>SUMIFS($AS$3:AS1303,$AO$3:AO1303,"W")</f>
        <v>0</v>
      </c>
      <c r="BQ542" s="87">
        <f>SUMIFS($AU$3:AU543,$Q$3:Q543,"O")</f>
        <v>2836.2299999994329</v>
      </c>
      <c r="BR542" s="87">
        <f>SUMIFS($AU$3:AU543,$AA$3:AA543,"*")</f>
        <v>30245.79999999945</v>
      </c>
      <c r="BS542" s="87">
        <f>SUMIFS($AU$3:AU543,$AB$3:AB543,"*")</f>
        <v>11794.829999999794</v>
      </c>
      <c r="BT542" s="87">
        <f>SUMIFS($AU$3:AU543,$AC$3:AC543,"*")</f>
        <v>24678.45714285714</v>
      </c>
      <c r="BU542" s="87">
        <f>SUMIFS($AU$3:AU543,$AA$3:AA543,"*",$AB$3:AB543,"*")</f>
        <v>5807.9999999998217</v>
      </c>
      <c r="BV542" s="87">
        <f>SUMIFS($AU$3:AU543,$AA$3:AA543,"*",$AC$3:AC543,"*")</f>
        <v>13364.4</v>
      </c>
      <c r="BW542" s="87">
        <f>SUMIFS($AU$3:AU543,$AB$3:AB543,"*",$AC$3:AC543,"*")</f>
        <v>7119.9999999999982</v>
      </c>
      <c r="BX542" s="87">
        <f>SUMIFS($AV$3:AV543,$Q$3:Q543,"F")</f>
        <v>397.90578243515159</v>
      </c>
      <c r="BY542" s="87">
        <f>SUMIFS($AV$3:AV543,$Q$3:Q543,"S")</f>
        <v>558.83991333429879</v>
      </c>
      <c r="BZ542" s="87">
        <f>SUMIFS($AV$3:AV543,$Q$3:Q543,"O")</f>
        <v>871.22899999976846</v>
      </c>
    </row>
    <row r="543" spans="1:78" ht="15.75" customHeight="1">
      <c r="A543" s="45" t="s">
        <v>1310</v>
      </c>
      <c r="B543" s="59"/>
      <c r="C543" s="46"/>
      <c r="D543" s="46"/>
      <c r="E543" s="66"/>
      <c r="F543" s="47"/>
      <c r="G543" s="48"/>
      <c r="H543" s="49"/>
      <c r="I543" s="49"/>
      <c r="J543" s="49"/>
      <c r="K543" s="50"/>
      <c r="L543" s="49"/>
      <c r="M543" s="49"/>
      <c r="N543" s="49"/>
      <c r="O543" s="50"/>
      <c r="P543" s="50"/>
      <c r="Q543" s="50"/>
      <c r="R543" s="50"/>
      <c r="S543" s="50"/>
      <c r="T543" s="50"/>
      <c r="U543" s="50"/>
      <c r="V543" s="50"/>
      <c r="W543" s="50"/>
      <c r="X543" s="50"/>
      <c r="Y543" s="50"/>
      <c r="Z543" s="50"/>
      <c r="AA543" s="52"/>
      <c r="AB543" s="52"/>
      <c r="AC543" s="52"/>
      <c r="AD543" s="231"/>
      <c r="AE543" s="49"/>
      <c r="AF543" s="84"/>
      <c r="AG543" s="49"/>
      <c r="AH543" s="49"/>
      <c r="AI543" s="49"/>
      <c r="AJ543" s="226"/>
      <c r="AK543" s="49"/>
      <c r="AL543" s="113">
        <f t="shared" si="128"/>
        <v>0</v>
      </c>
      <c r="AM543" s="113">
        <f t="shared" si="244"/>
        <v>0</v>
      </c>
      <c r="AN543" s="218"/>
      <c r="AO543" s="49"/>
      <c r="AP543" s="49"/>
      <c r="AQ543" s="84" t="str">
        <f>UPPER(RIGHT(Journal_Live[[#This Row],[DURATION ]]))</f>
        <v/>
      </c>
      <c r="AR543" s="49"/>
      <c r="AS543" s="55"/>
      <c r="AT543" s="55"/>
      <c r="AU543" s="54"/>
      <c r="AV543" s="56"/>
      <c r="AW543" s="57"/>
      <c r="AX543" s="153"/>
      <c r="AY543" s="153"/>
      <c r="AZ543" s="153"/>
      <c r="BA543" s="153"/>
      <c r="BB543" s="153"/>
      <c r="BC543" s="153"/>
      <c r="BD543" s="151"/>
      <c r="BE543" s="152"/>
      <c r="BF543" s="151"/>
      <c r="BG543" s="94">
        <f>SUM($AV$4:AV543)</f>
        <v>3775.9746957692241</v>
      </c>
      <c r="BH543" s="95">
        <f>SUM($AU$4:AU543)</f>
        <v>43706.687142856565</v>
      </c>
      <c r="BI543" s="80">
        <f>SUMIFS($AU$3:AU544,$Q$3:Q544,"F")</f>
        <v>25718.457142857143</v>
      </c>
      <c r="BJ543" s="80">
        <f>SUMIFS($AU$3:AU544,$Q$3:Q544,"S")</f>
        <v>13727.999999999995</v>
      </c>
      <c r="BK543" s="87">
        <f>SUMIFS($AU$3:AU544,$P$3:P544,"W")</f>
        <v>30047.637142857486</v>
      </c>
      <c r="BL543" s="87">
        <f>SUMIFS($AU$3:AU544,$P$3:P544,"R")</f>
        <v>11645.999999999862</v>
      </c>
      <c r="BM543" s="87">
        <f>SUMIFS($AU$3:AU544,$AQ$3:AQ544,"M")</f>
        <v>9225.3799999992698</v>
      </c>
      <c r="BN543" s="87">
        <f>SUMIFS($AU$3:AU544,$AQ$3:AQ544,"H")</f>
        <v>8087.2000000002827</v>
      </c>
      <c r="BO543" s="87">
        <f>SUMIFS($AU$3:AU544,$AQ$3:AQ544,"D")</f>
        <v>13545.507142857021</v>
      </c>
      <c r="BP543" s="87">
        <f>SUMIFS($AS$3:AS1304,$AO$3:AO1304,"W")</f>
        <v>0</v>
      </c>
      <c r="BQ543" s="87">
        <f>SUMIFS($AU$3:AU544,$Q$3:Q544,"O")</f>
        <v>2836.2299999994329</v>
      </c>
      <c r="BR543" s="87">
        <f>SUMIFS($AU$3:AU544,$AA$3:AA544,"*")</f>
        <v>30245.79999999945</v>
      </c>
      <c r="BS543" s="87">
        <f>SUMIFS($AU$3:AU544,$AB$3:AB544,"*")</f>
        <v>11794.829999999794</v>
      </c>
      <c r="BT543" s="87">
        <f>SUMIFS($AU$3:AU544,$AC$3:AC544,"*")</f>
        <v>24678.45714285714</v>
      </c>
      <c r="BU543" s="87">
        <f>SUMIFS($AU$3:AU544,$AA$3:AA544,"*",$AB$3:AB544,"*")</f>
        <v>5807.9999999998217</v>
      </c>
      <c r="BV543" s="87">
        <f>SUMIFS($AU$3:AU544,$AA$3:AA544,"*",$AC$3:AC544,"*")</f>
        <v>13364.4</v>
      </c>
      <c r="BW543" s="87">
        <f>SUMIFS($AU$3:AU544,$AB$3:AB544,"*",$AC$3:AC544,"*")</f>
        <v>7119.9999999999982</v>
      </c>
      <c r="BX543" s="87">
        <f>SUMIFS($AV$3:AV544,$Q$3:Q544,"F")</f>
        <v>397.90578243515159</v>
      </c>
      <c r="BY543" s="87">
        <f>SUMIFS($AV$3:AV544,$Q$3:Q544,"S")</f>
        <v>558.83991333429879</v>
      </c>
      <c r="BZ543" s="87">
        <f>SUMIFS($AV$3:AV544,$Q$3:Q544,"O")</f>
        <v>871.22899999976846</v>
      </c>
    </row>
    <row r="544" spans="1:78" ht="15.75" customHeight="1">
      <c r="A544" s="111" t="s">
        <v>1818</v>
      </c>
      <c r="B544" s="68"/>
      <c r="C544" s="60"/>
      <c r="D544" s="60"/>
      <c r="E544" s="61"/>
      <c r="F544" s="62"/>
      <c r="G544" s="60"/>
      <c r="H544" s="60"/>
      <c r="I544" s="60"/>
      <c r="J544" s="60"/>
      <c r="K544" s="63"/>
      <c r="L544" s="60"/>
      <c r="M544" s="60"/>
      <c r="N544" s="60"/>
      <c r="O544" s="63"/>
      <c r="P544" s="63"/>
      <c r="Q544" s="63"/>
      <c r="R544" s="63"/>
      <c r="S544" s="63"/>
      <c r="T544" s="63"/>
      <c r="U544" s="63"/>
      <c r="V544" s="63"/>
      <c r="W544" s="63"/>
      <c r="X544" s="63"/>
      <c r="Y544" s="63"/>
      <c r="Z544" s="64" t="str">
        <f>IF(ISBLANK(O544),"",IF(O544="IB",8.63*200,IF(O544="IR",16*100,IF(O544="YT",20*100,IF(O544="YT-XT",24*200,IF(O544="TED",80*100))))))</f>
        <v/>
      </c>
      <c r="AA544" s="64"/>
      <c r="AB544" s="64"/>
      <c r="AC544" s="64"/>
      <c r="AD544" s="232"/>
      <c r="AE544" s="60"/>
      <c r="AF544" s="60"/>
      <c r="AG544" s="60"/>
      <c r="AH544" s="60"/>
      <c r="AI544" s="60"/>
      <c r="AJ544" s="227"/>
      <c r="AK544" s="60"/>
      <c r="AL544" s="60"/>
      <c r="AM544" s="60"/>
      <c r="AN544" s="219"/>
      <c r="AO544" s="60"/>
      <c r="AP544" s="60"/>
      <c r="AQ544" s="85" t="str">
        <f>UPPER(RIGHT(Journal_Live[[#This Row],[DURATION ]]))</f>
        <v/>
      </c>
      <c r="AR544" s="60"/>
      <c r="AS544" s="60"/>
      <c r="AT544" s="60"/>
      <c r="AU544" s="60"/>
      <c r="AV544" s="60"/>
      <c r="AW544" s="60"/>
      <c r="AX544" s="99"/>
      <c r="AY544" s="98"/>
      <c r="AZ544" s="98"/>
      <c r="BA544" s="98"/>
      <c r="BB544" s="98"/>
      <c r="BC544" s="98"/>
      <c r="BD544" s="98"/>
      <c r="BE544" s="98"/>
      <c r="BF544" s="98"/>
      <c r="BG544" s="94">
        <f>SUM($AV$4:AV544)</f>
        <v>3775.9746957692241</v>
      </c>
      <c r="BH544" s="95">
        <f>SUM($AU$4:AU544)</f>
        <v>43706.687142856565</v>
      </c>
      <c r="BI544" s="80">
        <f>SUMIFS($AU$3:AU545,$Q$3:Q545,"F")</f>
        <v>25718.457142857143</v>
      </c>
      <c r="BJ544" s="80">
        <f>SUMIFS($AU$3:AU545,$Q$3:Q545,"S")</f>
        <v>13727.999999999995</v>
      </c>
      <c r="BK544" s="87">
        <f>SUMIFS($AU$3:AU545,$P$3:P545,"W")</f>
        <v>30047.637142857486</v>
      </c>
      <c r="BL544" s="87">
        <f>SUMIFS($AU$3:AU545,$P$3:P545,"R")</f>
        <v>11645.999999999862</v>
      </c>
      <c r="BM544" s="87">
        <f>SUMIFS($AU$3:AU545,$AQ$3:AQ545,"M")</f>
        <v>9225.3799999992698</v>
      </c>
      <c r="BN544" s="87">
        <f>SUMIFS($AU$3:AU545,$AQ$3:AQ545,"H")</f>
        <v>8087.2000000002827</v>
      </c>
      <c r="BO544" s="87">
        <f>SUMIFS($AU$3:AU545,$AQ$3:AQ545,"D")</f>
        <v>13545.507142857021</v>
      </c>
      <c r="BP544" s="87">
        <f>SUMIFS($AS$3:AS1305,$AO$3:AO1305,"W")</f>
        <v>0</v>
      </c>
      <c r="BQ544" s="87">
        <f>SUMIFS($AU$3:AU545,$Q$3:Q545,"O")</f>
        <v>2836.2299999994329</v>
      </c>
      <c r="BR544" s="87">
        <f>SUMIFS($AU$3:AU545,$AA$3:AA545,"*")</f>
        <v>30245.79999999945</v>
      </c>
      <c r="BS544" s="87">
        <f>SUMIFS($AU$3:AU545,$AB$3:AB545,"*")</f>
        <v>11794.829999999794</v>
      </c>
      <c r="BT544" s="87">
        <f>SUMIFS($AU$3:AU545,$AC$3:AC545,"*")</f>
        <v>24678.45714285714</v>
      </c>
      <c r="BU544" s="87">
        <f>SUMIFS($AU$3:AU545,$AA$3:AA545,"*",$AB$3:AB545,"*")</f>
        <v>5807.9999999998217</v>
      </c>
      <c r="BV544" s="87">
        <f>SUMIFS($AU$3:AU545,$AA$3:AA545,"*",$AC$3:AC545,"*")</f>
        <v>13364.4</v>
      </c>
      <c r="BW544" s="87">
        <f>SUMIFS($AU$3:AU545,$AB$3:AB545,"*",$AC$3:AC545,"*")</f>
        <v>7119.9999999999982</v>
      </c>
      <c r="BX544" s="87">
        <f>SUMIFS($AV$3:AV545,$Q$3:Q545,"F")</f>
        <v>397.90578243515159</v>
      </c>
      <c r="BY544" s="87">
        <f>SUMIFS($AV$3:AV545,$Q$3:Q545,"S")</f>
        <v>558.83991333429879</v>
      </c>
      <c r="BZ544" s="87">
        <f>SUMIFS($AV$3:AV545,$Q$3:Q545,"O")</f>
        <v>871.22899999976846</v>
      </c>
    </row>
    <row r="545" spans="1:78" ht="15.75" customHeight="1">
      <c r="A545" s="45" t="s">
        <v>1819</v>
      </c>
      <c r="B545" s="59"/>
      <c r="C545" s="46"/>
      <c r="D545" s="46"/>
      <c r="E545" s="66"/>
      <c r="F545" s="47"/>
      <c r="G545" s="48"/>
      <c r="H545" s="49"/>
      <c r="I545" s="49"/>
      <c r="J545" s="49"/>
      <c r="K545" s="50"/>
      <c r="L545" s="49"/>
      <c r="M545" s="49"/>
      <c r="N545" s="49"/>
      <c r="O545" s="50"/>
      <c r="P545" s="50"/>
      <c r="Q545" s="50"/>
      <c r="R545" s="50"/>
      <c r="S545" s="50"/>
      <c r="T545" s="50"/>
      <c r="U545" s="50"/>
      <c r="V545" s="50"/>
      <c r="W545" s="50"/>
      <c r="X545" s="50"/>
      <c r="Y545" s="50"/>
      <c r="Z545" s="50"/>
      <c r="AA545" s="52"/>
      <c r="AB545" s="52"/>
      <c r="AC545" s="52"/>
      <c r="AD545" s="231"/>
      <c r="AE545" s="49"/>
      <c r="AF545" s="84"/>
      <c r="AG545" s="49"/>
      <c r="AH545" s="49"/>
      <c r="AI545" s="49"/>
      <c r="AJ545" s="226"/>
      <c r="AK545" s="49"/>
      <c r="AL545" s="113">
        <f t="shared" ref="AL545:AL576" si="246">-0.02*Z545</f>
        <v>0</v>
      </c>
      <c r="AM545" s="113">
        <f t="shared" ref="AM545:AM566" si="247">AL545*(R545-S545)</f>
        <v>0</v>
      </c>
      <c r="AN545" s="218"/>
      <c r="AO545" s="49"/>
      <c r="AP545" s="49"/>
      <c r="AQ545" s="84" t="str">
        <f>UPPER(RIGHT(Journal_Live[[#This Row],[DURATION ]]))</f>
        <v/>
      </c>
      <c r="AR545" s="49"/>
      <c r="AS545" s="55"/>
      <c r="AT545" s="55"/>
      <c r="AU545" s="54"/>
      <c r="AV545" s="56"/>
      <c r="AW545" s="57"/>
      <c r="AX545" s="168" t="s">
        <v>1820</v>
      </c>
      <c r="AY545" s="167" t="s">
        <v>1821</v>
      </c>
      <c r="AZ545" s="167" t="s">
        <v>1822</v>
      </c>
      <c r="BA545" s="165"/>
      <c r="BB545" s="165"/>
      <c r="BC545" s="119" t="s">
        <v>1823</v>
      </c>
      <c r="BD545" s="151" t="s">
        <v>1824</v>
      </c>
      <c r="BE545" s="152"/>
      <c r="BF545" s="151"/>
      <c r="BG545" s="94">
        <f>SUM($AV$4:AV545)</f>
        <v>3775.9746957692241</v>
      </c>
      <c r="BH545" s="95">
        <f>SUM($AU$4:AU545)</f>
        <v>43706.687142856565</v>
      </c>
      <c r="BI545" s="80">
        <f>SUMIFS($AU$3:AU546,$Q$3:Q546,"F")</f>
        <v>25718.457142857143</v>
      </c>
      <c r="BJ545" s="80">
        <f>SUMIFS($AU$3:AU546,$Q$3:Q546,"S")</f>
        <v>13727.999999999995</v>
      </c>
      <c r="BK545" s="87">
        <f>SUMIFS($AU$3:AU546,$P$3:P546,"W")</f>
        <v>30047.637142857486</v>
      </c>
      <c r="BL545" s="87">
        <f>SUMIFS($AU$3:AU546,$P$3:P546,"R")</f>
        <v>11645.999999999862</v>
      </c>
      <c r="BM545" s="87">
        <f>SUMIFS($AU$3:AU546,$AQ$3:AQ546,"M")</f>
        <v>9225.3799999992698</v>
      </c>
      <c r="BN545" s="87">
        <f>SUMIFS($AU$3:AU546,$AQ$3:AQ546,"H")</f>
        <v>8087.2000000002827</v>
      </c>
      <c r="BO545" s="87">
        <f>SUMIFS($AU$3:AU546,$AQ$3:AQ546,"D")</f>
        <v>13545.507142857021</v>
      </c>
      <c r="BP545" s="87">
        <f>SUMIFS($AS$3:AS1306,$AO$3:AO1306,"W")</f>
        <v>0</v>
      </c>
      <c r="BQ545" s="87">
        <f>SUMIFS($AU$3:AU546,$Q$3:Q546,"O")</f>
        <v>2836.2299999994329</v>
      </c>
      <c r="BR545" s="87">
        <f>SUMIFS($AU$3:AU546,$AA$3:AA546,"*")</f>
        <v>30245.79999999945</v>
      </c>
      <c r="BS545" s="87">
        <f>SUMIFS($AU$3:AU546,$AB$3:AB546,"*")</f>
        <v>11794.829999999794</v>
      </c>
      <c r="BT545" s="87">
        <f>SUMIFS($AU$3:AU546,$AC$3:AC546,"*")</f>
        <v>24678.45714285714</v>
      </c>
      <c r="BU545" s="87">
        <f>SUMIFS($AU$3:AU546,$AA$3:AA546,"*",$AB$3:AB546,"*")</f>
        <v>5807.9999999998217</v>
      </c>
      <c r="BV545" s="87">
        <f>SUMIFS($AU$3:AU546,$AA$3:AA546,"*",$AC$3:AC546,"*")</f>
        <v>13364.4</v>
      </c>
      <c r="BW545" s="87">
        <f>SUMIFS($AU$3:AU546,$AB$3:AB546,"*",$AC$3:AC546,"*")</f>
        <v>7119.9999999999982</v>
      </c>
      <c r="BX545" s="87">
        <f>SUMIFS($AV$3:AV546,$Q$3:Q546,"F")</f>
        <v>397.90578243515159</v>
      </c>
      <c r="BY545" s="87">
        <f>SUMIFS($AV$3:AV546,$Q$3:Q546,"S")</f>
        <v>558.83991333429879</v>
      </c>
      <c r="BZ545" s="87">
        <f>SUMIFS($AV$3:AV546,$Q$3:Q546,"O")</f>
        <v>871.22899999976846</v>
      </c>
    </row>
    <row r="546" spans="1:78" ht="15.75" customHeight="1">
      <c r="A546" s="45" t="s">
        <v>1819</v>
      </c>
      <c r="B546" s="59"/>
      <c r="C546" s="46"/>
      <c r="D546" s="46"/>
      <c r="E546" s="66"/>
      <c r="F546" s="47"/>
      <c r="G546" s="48"/>
      <c r="H546" s="49"/>
      <c r="I546" s="49"/>
      <c r="J546" s="49"/>
      <c r="K546" s="50"/>
      <c r="L546" s="49"/>
      <c r="M546" s="49"/>
      <c r="N546" s="49"/>
      <c r="O546" s="50"/>
      <c r="P546" s="50"/>
      <c r="Q546" s="50"/>
      <c r="R546" s="50"/>
      <c r="S546" s="50"/>
      <c r="T546" s="50"/>
      <c r="U546" s="50"/>
      <c r="V546" s="50"/>
      <c r="W546" s="50"/>
      <c r="X546" s="50"/>
      <c r="Y546" s="50"/>
      <c r="Z546" s="50"/>
      <c r="AA546" s="52"/>
      <c r="AB546" s="52"/>
      <c r="AC546" s="52"/>
      <c r="AD546" s="231"/>
      <c r="AE546" s="49"/>
      <c r="AF546" s="84"/>
      <c r="AG546" s="49"/>
      <c r="AH546" s="49"/>
      <c r="AI546" s="49"/>
      <c r="AJ546" s="226"/>
      <c r="AK546" s="49"/>
      <c r="AL546" s="113">
        <f t="shared" si="246"/>
        <v>0</v>
      </c>
      <c r="AM546" s="113">
        <f t="shared" si="247"/>
        <v>0</v>
      </c>
      <c r="AN546" s="218"/>
      <c r="AO546" s="49"/>
      <c r="AP546" s="49"/>
      <c r="AQ546" s="84" t="str">
        <f>UPPER(RIGHT(Journal_Live[[#This Row],[DURATION ]]))</f>
        <v/>
      </c>
      <c r="AR546" s="49"/>
      <c r="AS546" s="55"/>
      <c r="AT546" s="55"/>
      <c r="AU546" s="54"/>
      <c r="AV546" s="56"/>
      <c r="AW546" s="57"/>
      <c r="AX546" s="153" t="s">
        <v>1825</v>
      </c>
      <c r="AY546" s="153" t="s">
        <v>1826</v>
      </c>
      <c r="AZ546" s="153" t="s">
        <v>1827</v>
      </c>
      <c r="BA546" s="153" t="s">
        <v>1828</v>
      </c>
      <c r="BB546" s="153"/>
      <c r="BC546" s="153"/>
      <c r="BD546" s="151"/>
      <c r="BE546" s="152"/>
      <c r="BF546" s="151"/>
      <c r="BG546" s="94">
        <f>SUM($AV$4:AV546)</f>
        <v>3775.9746957692241</v>
      </c>
      <c r="BH546" s="95">
        <f>SUM($AU$4:AU546)</f>
        <v>43706.687142856565</v>
      </c>
      <c r="BI546" s="80">
        <f>SUMIFS($AU$3:AU547,$Q$3:Q547,"F")</f>
        <v>25718.457142857143</v>
      </c>
      <c r="BJ546" s="80">
        <f>SUMIFS($AU$3:AU547,$Q$3:Q547,"S")</f>
        <v>13727.999999999995</v>
      </c>
      <c r="BK546" s="87">
        <f>SUMIFS($AU$3:AU547,$P$3:P547,"W")</f>
        <v>30047.637142857486</v>
      </c>
      <c r="BL546" s="87">
        <f>SUMIFS($AU$3:AU547,$P$3:P547,"R")</f>
        <v>11645.999999999862</v>
      </c>
      <c r="BM546" s="87">
        <f>SUMIFS($AU$3:AU547,$AQ$3:AQ547,"M")</f>
        <v>9225.3799999992698</v>
      </c>
      <c r="BN546" s="87">
        <f>SUMIFS($AU$3:AU547,$AQ$3:AQ547,"H")</f>
        <v>8087.2000000002827</v>
      </c>
      <c r="BO546" s="87">
        <f>SUMIFS($AU$3:AU547,$AQ$3:AQ547,"D")</f>
        <v>13545.507142857021</v>
      </c>
      <c r="BP546" s="87">
        <f>SUMIFS($AS$3:AS1307,$AO$3:AO1307,"W")</f>
        <v>0</v>
      </c>
      <c r="BQ546" s="87">
        <f>SUMIFS($AU$3:AU547,$Q$3:Q547,"O")</f>
        <v>2836.2299999994329</v>
      </c>
      <c r="BR546" s="87">
        <f>SUMIFS($AU$3:AU547,$AA$3:AA547,"*")</f>
        <v>30245.79999999945</v>
      </c>
      <c r="BS546" s="87">
        <f>SUMIFS($AU$3:AU547,$AB$3:AB547,"*")</f>
        <v>11794.829999999794</v>
      </c>
      <c r="BT546" s="87">
        <f>SUMIFS($AU$3:AU547,$AC$3:AC547,"*")</f>
        <v>24678.45714285714</v>
      </c>
      <c r="BU546" s="87">
        <f>SUMIFS($AU$3:AU547,$AA$3:AA547,"*",$AB$3:AB547,"*")</f>
        <v>5807.9999999998217</v>
      </c>
      <c r="BV546" s="87">
        <f>SUMIFS($AU$3:AU547,$AA$3:AA547,"*",$AC$3:AC547,"*")</f>
        <v>13364.4</v>
      </c>
      <c r="BW546" s="87">
        <f>SUMIFS($AU$3:AU547,$AB$3:AB547,"*",$AC$3:AC547,"*")</f>
        <v>7119.9999999999982</v>
      </c>
      <c r="BX546" s="87">
        <f>SUMIFS($AV$3:AV547,$Q$3:Q547,"F")</f>
        <v>397.90578243515159</v>
      </c>
      <c r="BY546" s="87">
        <f>SUMIFS($AV$3:AV547,$Q$3:Q547,"S")</f>
        <v>558.83991333429879</v>
      </c>
      <c r="BZ546" s="87">
        <f>SUMIFS($AV$3:AV547,$Q$3:Q547,"O")</f>
        <v>871.22899999976846</v>
      </c>
    </row>
    <row r="547" spans="1:78" ht="15.75" customHeight="1">
      <c r="A547" s="45" t="s">
        <v>1819</v>
      </c>
      <c r="B547" s="59"/>
      <c r="C547" s="46"/>
      <c r="D547" s="46"/>
      <c r="E547" s="66"/>
      <c r="F547" s="47"/>
      <c r="G547" s="48"/>
      <c r="H547" s="49"/>
      <c r="I547" s="49"/>
      <c r="J547" s="49"/>
      <c r="K547" s="50"/>
      <c r="L547" s="49"/>
      <c r="M547" s="49"/>
      <c r="N547" s="49"/>
      <c r="O547" s="50"/>
      <c r="P547" s="50"/>
      <c r="Q547" s="50"/>
      <c r="R547" s="50"/>
      <c r="S547" s="50"/>
      <c r="T547" s="50"/>
      <c r="U547" s="50"/>
      <c r="V547" s="50"/>
      <c r="W547" s="50"/>
      <c r="X547" s="50"/>
      <c r="Y547" s="50"/>
      <c r="Z547" s="50"/>
      <c r="AA547" s="52"/>
      <c r="AB547" s="52"/>
      <c r="AC547" s="52"/>
      <c r="AD547" s="231"/>
      <c r="AE547" s="49"/>
      <c r="AF547" s="84"/>
      <c r="AG547" s="49"/>
      <c r="AH547" s="49"/>
      <c r="AI547" s="49"/>
      <c r="AJ547" s="226"/>
      <c r="AK547" s="49"/>
      <c r="AL547" s="113">
        <f t="shared" ref="AL547:AL562" si="248">-0.02*Z547</f>
        <v>0</v>
      </c>
      <c r="AM547" s="113">
        <f t="shared" si="247"/>
        <v>0</v>
      </c>
      <c r="AN547" s="218"/>
      <c r="AO547" s="49"/>
      <c r="AP547" s="49"/>
      <c r="AQ547" s="84" t="str">
        <f>UPPER(RIGHT(Journal_Live[[#This Row],[DURATION ]]))</f>
        <v/>
      </c>
      <c r="AR547" s="49"/>
      <c r="AS547" s="55"/>
      <c r="AT547" s="55"/>
      <c r="AU547" s="54"/>
      <c r="AV547" s="56"/>
      <c r="AW547" s="57"/>
      <c r="AX547" s="153" t="s">
        <v>1829</v>
      </c>
      <c r="AY547" s="153" t="s">
        <v>1830</v>
      </c>
      <c r="AZ547" s="153"/>
      <c r="BA547" s="153"/>
      <c r="BB547" s="153"/>
      <c r="BC547" s="153"/>
      <c r="BD547" s="151"/>
      <c r="BE547" s="152"/>
      <c r="BF547" s="151"/>
      <c r="BG547" s="94">
        <f>SUM($AV$4:AV547)</f>
        <v>3775.9746957692241</v>
      </c>
      <c r="BH547" s="95">
        <f>SUM($AU$4:AU547)</f>
        <v>43706.687142856565</v>
      </c>
      <c r="BI547" s="80">
        <f>SUMIFS($AU$3:AU548,$Q$3:Q548,"F")</f>
        <v>25718.457142857143</v>
      </c>
      <c r="BJ547" s="80">
        <f>SUMIFS($AU$3:AU548,$Q$3:Q548,"S")</f>
        <v>13727.999999999995</v>
      </c>
      <c r="BK547" s="87">
        <f>SUMIFS($AU$3:AU548,$P$3:P548,"W")</f>
        <v>30047.637142857486</v>
      </c>
      <c r="BL547" s="87">
        <f>SUMIFS($AU$3:AU548,$P$3:P548,"R")</f>
        <v>11645.999999999862</v>
      </c>
      <c r="BM547" s="87">
        <f>SUMIFS($AU$3:AU548,$AQ$3:AQ548,"M")</f>
        <v>9225.3799999992698</v>
      </c>
      <c r="BN547" s="87">
        <f>SUMIFS($AU$3:AU548,$AQ$3:AQ548,"H")</f>
        <v>8087.2000000002827</v>
      </c>
      <c r="BO547" s="87">
        <f>SUMIFS($AU$3:AU548,$AQ$3:AQ548,"D")</f>
        <v>13545.507142857021</v>
      </c>
      <c r="BP547" s="87">
        <f>SUMIFS($AS$3:AS1308,$AO$3:AO1308,"W")</f>
        <v>0</v>
      </c>
      <c r="BQ547" s="87">
        <f>SUMIFS($AU$3:AU548,$Q$3:Q548,"O")</f>
        <v>2836.2299999994329</v>
      </c>
      <c r="BR547" s="87">
        <f>SUMIFS($AU$3:AU548,$AA$3:AA548,"*")</f>
        <v>30245.79999999945</v>
      </c>
      <c r="BS547" s="87">
        <f>SUMIFS($AU$3:AU548,$AB$3:AB548,"*")</f>
        <v>11794.829999999794</v>
      </c>
      <c r="BT547" s="87">
        <f>SUMIFS($AU$3:AU548,$AC$3:AC548,"*")</f>
        <v>24678.45714285714</v>
      </c>
      <c r="BU547" s="87">
        <f>SUMIFS($AU$3:AU548,$AA$3:AA548,"*",$AB$3:AB548,"*")</f>
        <v>5807.9999999998217</v>
      </c>
      <c r="BV547" s="87">
        <f>SUMIFS($AU$3:AU548,$AA$3:AA548,"*",$AC$3:AC548,"*")</f>
        <v>13364.4</v>
      </c>
      <c r="BW547" s="87">
        <f>SUMIFS($AU$3:AU548,$AB$3:AB548,"*",$AC$3:AC548,"*")</f>
        <v>7119.9999999999982</v>
      </c>
      <c r="BX547" s="87">
        <f>SUMIFS($AV$3:AV548,$Q$3:Q548,"F")</f>
        <v>397.90578243515159</v>
      </c>
      <c r="BY547" s="87">
        <f>SUMIFS($AV$3:AV548,$Q$3:Q548,"S")</f>
        <v>558.83991333429879</v>
      </c>
      <c r="BZ547" s="87">
        <f>SUMIFS($AV$3:AV548,$Q$3:Q548,"O")</f>
        <v>871.22899999976846</v>
      </c>
    </row>
    <row r="548" spans="1:78" ht="15.75" customHeight="1">
      <c r="A548" s="45" t="s">
        <v>1819</v>
      </c>
      <c r="B548" s="59"/>
      <c r="C548" s="46"/>
      <c r="D548" s="46"/>
      <c r="E548" s="66"/>
      <c r="F548" s="47"/>
      <c r="G548" s="48"/>
      <c r="H548" s="49"/>
      <c r="I548" s="49"/>
      <c r="J548" s="49"/>
      <c r="K548" s="50"/>
      <c r="L548" s="49"/>
      <c r="M548" s="49"/>
      <c r="N548" s="49"/>
      <c r="O548" s="50"/>
      <c r="P548" s="50"/>
      <c r="Q548" s="50"/>
      <c r="R548" s="50"/>
      <c r="S548" s="50"/>
      <c r="T548" s="50"/>
      <c r="U548" s="50"/>
      <c r="V548" s="50"/>
      <c r="W548" s="50"/>
      <c r="X548" s="50"/>
      <c r="Y548" s="50"/>
      <c r="Z548" s="50"/>
      <c r="AA548" s="52"/>
      <c r="AB548" s="52"/>
      <c r="AC548" s="52"/>
      <c r="AD548" s="231"/>
      <c r="AE548" s="49"/>
      <c r="AF548" s="84"/>
      <c r="AG548" s="49"/>
      <c r="AH548" s="49"/>
      <c r="AI548" s="49"/>
      <c r="AJ548" s="226"/>
      <c r="AK548" s="49"/>
      <c r="AL548" s="113">
        <f t="shared" si="248"/>
        <v>0</v>
      </c>
      <c r="AM548" s="113">
        <f t="shared" si="247"/>
        <v>0</v>
      </c>
      <c r="AN548" s="218"/>
      <c r="AO548" s="49"/>
      <c r="AP548" s="49"/>
      <c r="AQ548" s="84" t="str">
        <f>UPPER(RIGHT(Journal_Live[[#This Row],[DURATION ]]))</f>
        <v/>
      </c>
      <c r="AR548" s="49"/>
      <c r="AS548" s="55"/>
      <c r="AT548" s="55"/>
      <c r="AU548" s="54"/>
      <c r="AV548" s="56"/>
      <c r="AW548" s="57"/>
      <c r="AX548" s="168" t="s">
        <v>1674</v>
      </c>
      <c r="AY548" s="167" t="s">
        <v>1635</v>
      </c>
      <c r="AZ548" s="167" t="s">
        <v>1636</v>
      </c>
      <c r="BA548" s="153"/>
      <c r="BB548" s="153"/>
      <c r="BC548" s="153"/>
      <c r="BD548" s="151"/>
      <c r="BE548" s="152"/>
      <c r="BF548" s="151"/>
      <c r="BG548" s="94">
        <f>SUM($AV$4:AV548)</f>
        <v>3775.9746957692241</v>
      </c>
      <c r="BH548" s="95">
        <f>SUM($AU$4:AU548)</f>
        <v>43706.687142856565</v>
      </c>
      <c r="BI548" s="80">
        <f>SUMIFS($AU$3:AU549,$Q$3:Q549,"F")</f>
        <v>25718.457142857143</v>
      </c>
      <c r="BJ548" s="80">
        <f>SUMIFS($AU$3:AU549,$Q$3:Q549,"S")</f>
        <v>13727.999999999995</v>
      </c>
      <c r="BK548" s="87">
        <f>SUMIFS($AU$3:AU549,$P$3:P549,"W")</f>
        <v>30047.637142857486</v>
      </c>
      <c r="BL548" s="87">
        <f>SUMIFS($AU$3:AU549,$P$3:P549,"R")</f>
        <v>11645.999999999862</v>
      </c>
      <c r="BM548" s="87">
        <f>SUMIFS($AU$3:AU549,$AQ$3:AQ549,"M")</f>
        <v>9225.3799999992698</v>
      </c>
      <c r="BN548" s="87">
        <f>SUMIFS($AU$3:AU549,$AQ$3:AQ549,"H")</f>
        <v>8087.2000000002827</v>
      </c>
      <c r="BO548" s="87">
        <f>SUMIFS($AU$3:AU549,$AQ$3:AQ549,"D")</f>
        <v>13545.507142857021</v>
      </c>
      <c r="BP548" s="87">
        <f>SUMIFS($AS$3:AS1309,$AO$3:AO1309,"W")</f>
        <v>0</v>
      </c>
      <c r="BQ548" s="87">
        <f>SUMIFS($AU$3:AU549,$Q$3:Q549,"O")</f>
        <v>2836.2299999994329</v>
      </c>
      <c r="BR548" s="87">
        <f>SUMIFS($AU$3:AU549,$AA$3:AA549,"*")</f>
        <v>30245.79999999945</v>
      </c>
      <c r="BS548" s="87">
        <f>SUMIFS($AU$3:AU549,$AB$3:AB549,"*")</f>
        <v>11794.829999999794</v>
      </c>
      <c r="BT548" s="87">
        <f>SUMIFS($AU$3:AU549,$AC$3:AC549,"*")</f>
        <v>24678.45714285714</v>
      </c>
      <c r="BU548" s="87">
        <f>SUMIFS($AU$3:AU549,$AA$3:AA549,"*",$AB$3:AB549,"*")</f>
        <v>5807.9999999998217</v>
      </c>
      <c r="BV548" s="87">
        <f>SUMIFS($AU$3:AU549,$AA$3:AA549,"*",$AC$3:AC549,"*")</f>
        <v>13364.4</v>
      </c>
      <c r="BW548" s="87">
        <f>SUMIFS($AU$3:AU549,$AB$3:AB549,"*",$AC$3:AC549,"*")</f>
        <v>7119.9999999999982</v>
      </c>
      <c r="BX548" s="87">
        <f>SUMIFS($AV$3:AV549,$Q$3:Q549,"F")</f>
        <v>397.90578243515159</v>
      </c>
      <c r="BY548" s="87">
        <f>SUMIFS($AV$3:AV549,$Q$3:Q549,"S")</f>
        <v>558.83991333429879</v>
      </c>
      <c r="BZ548" s="87">
        <f>SUMIFS($AV$3:AV549,$Q$3:Q549,"O")</f>
        <v>871.22899999976846</v>
      </c>
    </row>
    <row r="549" spans="1:78" ht="15.75" customHeight="1">
      <c r="A549" s="45" t="s">
        <v>1819</v>
      </c>
      <c r="B549" s="59"/>
      <c r="C549" s="46"/>
      <c r="D549" s="46"/>
      <c r="E549" s="66"/>
      <c r="F549" s="47"/>
      <c r="G549" s="48"/>
      <c r="H549" s="49"/>
      <c r="I549" s="49"/>
      <c r="J549" s="49"/>
      <c r="K549" s="50"/>
      <c r="L549" s="49"/>
      <c r="M549" s="49"/>
      <c r="N549" s="49"/>
      <c r="O549" s="50"/>
      <c r="P549" s="50"/>
      <c r="Q549" s="50"/>
      <c r="R549" s="50"/>
      <c r="S549" s="50"/>
      <c r="T549" s="50"/>
      <c r="U549" s="50"/>
      <c r="V549" s="50"/>
      <c r="W549" s="50"/>
      <c r="X549" s="50"/>
      <c r="Y549" s="50"/>
      <c r="Z549" s="50"/>
      <c r="AA549" s="52"/>
      <c r="AB549" s="52"/>
      <c r="AC549" s="52"/>
      <c r="AD549" s="231"/>
      <c r="AE549" s="49"/>
      <c r="AF549" s="84"/>
      <c r="AG549" s="49"/>
      <c r="AH549" s="49"/>
      <c r="AI549" s="49"/>
      <c r="AJ549" s="226"/>
      <c r="AK549" s="49"/>
      <c r="AL549" s="113">
        <f t="shared" si="248"/>
        <v>0</v>
      </c>
      <c r="AM549" s="113">
        <f t="shared" si="247"/>
        <v>0</v>
      </c>
      <c r="AN549" s="218"/>
      <c r="AO549" s="49"/>
      <c r="AP549" s="49"/>
      <c r="AQ549" s="84" t="str">
        <f>UPPER(RIGHT(Journal_Live[[#This Row],[DURATION ]]))</f>
        <v/>
      </c>
      <c r="AR549" s="49"/>
      <c r="AS549" s="55"/>
      <c r="AT549" s="55"/>
      <c r="AU549" s="54"/>
      <c r="AV549" s="56"/>
      <c r="AW549" s="57"/>
      <c r="AX549" s="151" t="s">
        <v>1831</v>
      </c>
      <c r="AY549" s="153" t="s">
        <v>1832</v>
      </c>
      <c r="AZ549" s="153" t="s">
        <v>1833</v>
      </c>
      <c r="BA549" s="153" t="s">
        <v>1834</v>
      </c>
      <c r="BB549" s="153" t="s">
        <v>1835</v>
      </c>
      <c r="BC549" s="153" t="s">
        <v>1836</v>
      </c>
      <c r="BD549" s="151"/>
      <c r="BE549" s="152"/>
      <c r="BF549" s="151"/>
      <c r="BG549" s="94">
        <f>SUM($AV$4:AV549)</f>
        <v>3775.9746957692241</v>
      </c>
      <c r="BH549" s="95">
        <f>SUM($AU$4:AU549)</f>
        <v>43706.687142856565</v>
      </c>
      <c r="BI549" s="80">
        <f>SUMIFS($AU$3:AU550,$Q$3:Q550,"F")</f>
        <v>25718.457142857143</v>
      </c>
      <c r="BJ549" s="80">
        <f>SUMIFS($AU$3:AU550,$Q$3:Q550,"S")</f>
        <v>13727.999999999995</v>
      </c>
      <c r="BK549" s="87">
        <f>SUMIFS($AU$3:AU550,$P$3:P550,"W")</f>
        <v>30047.637142857486</v>
      </c>
      <c r="BL549" s="87">
        <f>SUMIFS($AU$3:AU550,$P$3:P550,"R")</f>
        <v>11645.999999999862</v>
      </c>
      <c r="BM549" s="87">
        <f>SUMIFS($AU$3:AU550,$AQ$3:AQ550,"M")</f>
        <v>9225.3799999992698</v>
      </c>
      <c r="BN549" s="87">
        <f>SUMIFS($AU$3:AU550,$AQ$3:AQ550,"H")</f>
        <v>8087.2000000002827</v>
      </c>
      <c r="BO549" s="87">
        <f>SUMIFS($AU$3:AU550,$AQ$3:AQ550,"D")</f>
        <v>13545.507142857021</v>
      </c>
      <c r="BP549" s="87">
        <f>SUMIFS($AS$3:AS1310,$AO$3:AO1310,"W")</f>
        <v>0</v>
      </c>
      <c r="BQ549" s="87">
        <f>SUMIFS($AU$3:AU550,$Q$3:Q550,"O")</f>
        <v>2836.2299999994329</v>
      </c>
      <c r="BR549" s="87">
        <f>SUMIFS($AU$3:AU550,$AA$3:AA550,"*")</f>
        <v>30245.79999999945</v>
      </c>
      <c r="BS549" s="87">
        <f>SUMIFS($AU$3:AU550,$AB$3:AB550,"*")</f>
        <v>11794.829999999794</v>
      </c>
      <c r="BT549" s="87">
        <f>SUMIFS($AU$3:AU550,$AC$3:AC550,"*")</f>
        <v>24678.45714285714</v>
      </c>
      <c r="BU549" s="87">
        <f>SUMIFS($AU$3:AU550,$AA$3:AA550,"*",$AB$3:AB550,"*")</f>
        <v>5807.9999999998217</v>
      </c>
      <c r="BV549" s="87">
        <f>SUMIFS($AU$3:AU550,$AA$3:AA550,"*",$AC$3:AC550,"*")</f>
        <v>13364.4</v>
      </c>
      <c r="BW549" s="87">
        <f>SUMIFS($AU$3:AU550,$AB$3:AB550,"*",$AC$3:AC550,"*")</f>
        <v>7119.9999999999982</v>
      </c>
      <c r="BX549" s="87">
        <f>SUMIFS($AV$3:AV550,$Q$3:Q550,"F")</f>
        <v>397.90578243515159</v>
      </c>
      <c r="BY549" s="87">
        <f>SUMIFS($AV$3:AV550,$Q$3:Q550,"S")</f>
        <v>558.83991333429879</v>
      </c>
      <c r="BZ549" s="87">
        <f>SUMIFS($AV$3:AV550,$Q$3:Q550,"O")</f>
        <v>871.22899999976846</v>
      </c>
    </row>
    <row r="550" spans="1:78" ht="15.75" customHeight="1">
      <c r="A550" s="45" t="s">
        <v>1819</v>
      </c>
      <c r="B550" s="59"/>
      <c r="C550" s="46"/>
      <c r="D550" s="46"/>
      <c r="E550" s="66"/>
      <c r="F550" s="47"/>
      <c r="G550" s="48"/>
      <c r="H550" s="49"/>
      <c r="I550" s="49"/>
      <c r="J550" s="49"/>
      <c r="K550" s="50"/>
      <c r="L550" s="49"/>
      <c r="M550" s="49"/>
      <c r="N550" s="49"/>
      <c r="O550" s="50"/>
      <c r="P550" s="50"/>
      <c r="Q550" s="50"/>
      <c r="R550" s="50"/>
      <c r="S550" s="50"/>
      <c r="T550" s="50"/>
      <c r="U550" s="50"/>
      <c r="V550" s="50"/>
      <c r="W550" s="50"/>
      <c r="X550" s="50"/>
      <c r="Y550" s="50"/>
      <c r="Z550" s="50"/>
      <c r="AA550" s="52"/>
      <c r="AB550" s="52"/>
      <c r="AC550" s="52"/>
      <c r="AD550" s="231"/>
      <c r="AE550" s="49"/>
      <c r="AF550" s="84"/>
      <c r="AG550" s="49"/>
      <c r="AH550" s="49"/>
      <c r="AI550" s="49"/>
      <c r="AJ550" s="226"/>
      <c r="AK550" s="49"/>
      <c r="AL550" s="113">
        <f t="shared" ref="AL550:AL554" si="249">-0.02*Z550</f>
        <v>0</v>
      </c>
      <c r="AM550" s="113">
        <f t="shared" si="247"/>
        <v>0</v>
      </c>
      <c r="AN550" s="218"/>
      <c r="AO550" s="49"/>
      <c r="AP550" s="49"/>
      <c r="AQ550" s="84" t="str">
        <f>UPPER(RIGHT(Journal_Live[[#This Row],[DURATION ]]))</f>
        <v/>
      </c>
      <c r="AR550" s="49"/>
      <c r="AS550" s="55"/>
      <c r="AT550" s="55"/>
      <c r="AU550" s="54"/>
      <c r="AV550" s="56"/>
      <c r="AW550" s="57"/>
      <c r="AX550" s="151" t="s">
        <v>1837</v>
      </c>
      <c r="AY550" s="151" t="s">
        <v>1838</v>
      </c>
      <c r="AZ550" s="153" t="s">
        <v>1839</v>
      </c>
      <c r="BA550" s="153" t="s">
        <v>1840</v>
      </c>
      <c r="BB550" s="153" t="s">
        <v>1841</v>
      </c>
      <c r="BC550" s="151" t="s">
        <v>1842</v>
      </c>
      <c r="BD550" s="151" t="s">
        <v>1843</v>
      </c>
      <c r="BE550" s="152"/>
      <c r="BF550" s="151"/>
      <c r="BG550" s="94">
        <f>SUM($AV$4:AV550)</f>
        <v>3775.9746957692241</v>
      </c>
      <c r="BH550" s="95">
        <f>SUM($AU$4:AU550)</f>
        <v>43706.687142856565</v>
      </c>
      <c r="BI550" s="80">
        <f>SUMIFS($AU$3:AU551,$Q$3:Q551,"F")</f>
        <v>25718.457142857143</v>
      </c>
      <c r="BJ550" s="80">
        <f>SUMIFS($AU$3:AU551,$Q$3:Q551,"S")</f>
        <v>13727.999999999995</v>
      </c>
      <c r="BK550" s="87">
        <f>SUMIFS($AU$3:AU551,$P$3:P551,"W")</f>
        <v>30047.637142857486</v>
      </c>
      <c r="BL550" s="87">
        <f>SUMIFS($AU$3:AU551,$P$3:P551,"R")</f>
        <v>11645.999999999862</v>
      </c>
      <c r="BM550" s="87">
        <f>SUMIFS($AU$3:AU551,$AQ$3:AQ551,"M")</f>
        <v>9225.3799999992698</v>
      </c>
      <c r="BN550" s="87">
        <f>SUMIFS($AU$3:AU551,$AQ$3:AQ551,"H")</f>
        <v>8087.2000000002827</v>
      </c>
      <c r="BO550" s="87">
        <f>SUMIFS($AU$3:AU551,$AQ$3:AQ551,"D")</f>
        <v>13545.507142857021</v>
      </c>
      <c r="BP550" s="87">
        <f>SUMIFS($AS$3:AS1311,$AO$3:AO1311,"W")</f>
        <v>0</v>
      </c>
      <c r="BQ550" s="87">
        <f>SUMIFS($AU$3:AU551,$Q$3:Q551,"O")</f>
        <v>2836.2299999994329</v>
      </c>
      <c r="BR550" s="87">
        <f>SUMIFS($AU$3:AU551,$AA$3:AA551,"*")</f>
        <v>30245.79999999945</v>
      </c>
      <c r="BS550" s="87">
        <f>SUMIFS($AU$3:AU551,$AB$3:AB551,"*")</f>
        <v>11794.829999999794</v>
      </c>
      <c r="BT550" s="87">
        <f>SUMIFS($AU$3:AU551,$AC$3:AC551,"*")</f>
        <v>24678.45714285714</v>
      </c>
      <c r="BU550" s="87">
        <f>SUMIFS($AU$3:AU551,$AA$3:AA551,"*",$AB$3:AB551,"*")</f>
        <v>5807.9999999998217</v>
      </c>
      <c r="BV550" s="87">
        <f>SUMIFS($AU$3:AU551,$AA$3:AA551,"*",$AC$3:AC551,"*")</f>
        <v>13364.4</v>
      </c>
      <c r="BW550" s="87">
        <f>SUMIFS($AU$3:AU551,$AB$3:AB551,"*",$AC$3:AC551,"*")</f>
        <v>7119.9999999999982</v>
      </c>
      <c r="BX550" s="87">
        <f>SUMIFS($AV$3:AV551,$Q$3:Q551,"F")</f>
        <v>397.90578243515159</v>
      </c>
      <c r="BY550" s="87">
        <f>SUMIFS($AV$3:AV551,$Q$3:Q551,"S")</f>
        <v>558.83991333429879</v>
      </c>
      <c r="BZ550" s="87">
        <f>SUMIFS($AV$3:AV551,$Q$3:Q551,"O")</f>
        <v>871.22899999976846</v>
      </c>
    </row>
    <row r="551" spans="1:78" ht="15.75" customHeight="1">
      <c r="A551" s="45" t="s">
        <v>1819</v>
      </c>
      <c r="B551" s="59"/>
      <c r="C551" s="46"/>
      <c r="D551" s="46"/>
      <c r="E551" s="66"/>
      <c r="F551" s="47"/>
      <c r="G551" s="48"/>
      <c r="H551" s="49"/>
      <c r="I551" s="49"/>
      <c r="J551" s="49"/>
      <c r="K551" s="50"/>
      <c r="L551" s="49"/>
      <c r="M551" s="49"/>
      <c r="N551" s="49"/>
      <c r="O551" s="50"/>
      <c r="P551" s="50"/>
      <c r="Q551" s="50"/>
      <c r="R551" s="50"/>
      <c r="S551" s="50"/>
      <c r="T551" s="50"/>
      <c r="U551" s="50"/>
      <c r="V551" s="50"/>
      <c r="W551" s="50"/>
      <c r="X551" s="50"/>
      <c r="Y551" s="50"/>
      <c r="Z551" s="50"/>
      <c r="AA551" s="52"/>
      <c r="AB551" s="52"/>
      <c r="AC551" s="52"/>
      <c r="AD551" s="231"/>
      <c r="AE551" s="49"/>
      <c r="AF551" s="84"/>
      <c r="AG551" s="49"/>
      <c r="AH551" s="49"/>
      <c r="AI551" s="49"/>
      <c r="AJ551" s="226"/>
      <c r="AK551" s="49"/>
      <c r="AL551" s="113">
        <f t="shared" si="249"/>
        <v>0</v>
      </c>
      <c r="AM551" s="113">
        <f t="shared" si="247"/>
        <v>0</v>
      </c>
      <c r="AN551" s="218"/>
      <c r="AO551" s="49"/>
      <c r="AP551" s="49"/>
      <c r="AQ551" s="84" t="str">
        <f>UPPER(RIGHT(Journal_Live[[#This Row],[DURATION ]]))</f>
        <v/>
      </c>
      <c r="AR551" s="49"/>
      <c r="AS551" s="55"/>
      <c r="AT551" s="55"/>
      <c r="AU551" s="54"/>
      <c r="AV551" s="56"/>
      <c r="AW551" s="57"/>
      <c r="AX551" s="153" t="s">
        <v>1844</v>
      </c>
      <c r="AY551" s="153"/>
      <c r="AZ551" s="153"/>
      <c r="BA551" s="153"/>
      <c r="BB551" s="153"/>
      <c r="BC551" s="153"/>
      <c r="BD551" s="151"/>
      <c r="BE551" s="152"/>
      <c r="BF551" s="151"/>
      <c r="BG551" s="94">
        <f>SUM($AV$4:AV551)</f>
        <v>3775.9746957692241</v>
      </c>
      <c r="BH551" s="95">
        <f>SUM($AU$4:AU551)</f>
        <v>43706.687142856565</v>
      </c>
      <c r="BI551" s="80">
        <f>SUMIFS($AU$3:AU552,$Q$3:Q552,"F")</f>
        <v>25718.457142857143</v>
      </c>
      <c r="BJ551" s="80">
        <f>SUMIFS($AU$3:AU552,$Q$3:Q552,"S")</f>
        <v>13727.999999999995</v>
      </c>
      <c r="BK551" s="87">
        <f>SUMIFS($AU$3:AU552,$P$3:P552,"W")</f>
        <v>30047.637142857486</v>
      </c>
      <c r="BL551" s="87">
        <f>SUMIFS($AU$3:AU552,$P$3:P552,"R")</f>
        <v>11645.999999999862</v>
      </c>
      <c r="BM551" s="87">
        <f>SUMIFS($AU$3:AU552,$AQ$3:AQ552,"M")</f>
        <v>9225.3799999992698</v>
      </c>
      <c r="BN551" s="87">
        <f>SUMIFS($AU$3:AU552,$AQ$3:AQ552,"H")</f>
        <v>8087.2000000002827</v>
      </c>
      <c r="BO551" s="87">
        <f>SUMIFS($AU$3:AU552,$AQ$3:AQ552,"D")</f>
        <v>13545.507142857021</v>
      </c>
      <c r="BP551" s="87">
        <f>SUMIFS($AS$3:AS1312,$AO$3:AO1312,"W")</f>
        <v>0</v>
      </c>
      <c r="BQ551" s="87">
        <f>SUMIFS($AU$3:AU552,$Q$3:Q552,"O")</f>
        <v>2836.2299999994329</v>
      </c>
      <c r="BR551" s="87">
        <f>SUMIFS($AU$3:AU552,$AA$3:AA552,"*")</f>
        <v>30245.79999999945</v>
      </c>
      <c r="BS551" s="87">
        <f>SUMIFS($AU$3:AU552,$AB$3:AB552,"*")</f>
        <v>11794.829999999794</v>
      </c>
      <c r="BT551" s="87">
        <f>SUMIFS($AU$3:AU552,$AC$3:AC552,"*")</f>
        <v>24678.45714285714</v>
      </c>
      <c r="BU551" s="87">
        <f>SUMIFS($AU$3:AU552,$AA$3:AA552,"*",$AB$3:AB552,"*")</f>
        <v>5807.9999999998217</v>
      </c>
      <c r="BV551" s="87">
        <f>SUMIFS($AU$3:AU552,$AA$3:AA552,"*",$AC$3:AC552,"*")</f>
        <v>13364.4</v>
      </c>
      <c r="BW551" s="87">
        <f>SUMIFS($AU$3:AU552,$AB$3:AB552,"*",$AC$3:AC552,"*")</f>
        <v>7119.9999999999982</v>
      </c>
      <c r="BX551" s="87">
        <f>SUMIFS($AV$3:AV552,$Q$3:Q552,"F")</f>
        <v>397.90578243515159</v>
      </c>
      <c r="BY551" s="87">
        <f>SUMIFS($AV$3:AV552,$Q$3:Q552,"S")</f>
        <v>558.83991333429879</v>
      </c>
      <c r="BZ551" s="87">
        <f>SUMIFS($AV$3:AV552,$Q$3:Q552,"O")</f>
        <v>871.22899999976846</v>
      </c>
    </row>
    <row r="552" spans="1:78" ht="15.75" customHeight="1">
      <c r="A552" s="45" t="s">
        <v>1819</v>
      </c>
      <c r="B552" s="59">
        <v>45413</v>
      </c>
      <c r="C552" s="46" t="s">
        <v>1845</v>
      </c>
      <c r="D552" s="46" t="s">
        <v>186</v>
      </c>
      <c r="E552" s="66" t="s">
        <v>1846</v>
      </c>
      <c r="F552" s="47"/>
      <c r="G552" s="48"/>
      <c r="H552" s="49"/>
      <c r="I552" s="49"/>
      <c r="J552" s="49"/>
      <c r="K552" s="50"/>
      <c r="L552" s="49"/>
      <c r="M552" s="49"/>
      <c r="N552" s="49"/>
      <c r="O552" s="50"/>
      <c r="P552" s="50"/>
      <c r="Q552" s="50"/>
      <c r="R552" s="50"/>
      <c r="S552" s="50"/>
      <c r="T552" s="50"/>
      <c r="U552" s="50"/>
      <c r="V552" s="50"/>
      <c r="W552" s="50"/>
      <c r="X552" s="50"/>
      <c r="Y552" s="50"/>
      <c r="Z552" s="50"/>
      <c r="AA552" s="52"/>
      <c r="AB552" s="52"/>
      <c r="AC552" s="52"/>
      <c r="AD552" s="231"/>
      <c r="AE552" s="49"/>
      <c r="AF552" s="84"/>
      <c r="AG552" s="49"/>
      <c r="AH552" s="49"/>
      <c r="AI552" s="49"/>
      <c r="AJ552" s="226"/>
      <c r="AK552" s="49"/>
      <c r="AL552" s="113">
        <f t="shared" si="249"/>
        <v>0</v>
      </c>
      <c r="AM552" s="113">
        <f t="shared" si="247"/>
        <v>0</v>
      </c>
      <c r="AN552" s="218"/>
      <c r="AO552" s="49"/>
      <c r="AP552" s="49"/>
      <c r="AQ552" s="84" t="str">
        <f>UPPER(RIGHT(Journal_Live[[#This Row],[DURATION ]]))</f>
        <v/>
      </c>
      <c r="AR552" s="49"/>
      <c r="AS552" s="55"/>
      <c r="AT552" s="55"/>
      <c r="AU552" s="54"/>
      <c r="AV552" s="56"/>
      <c r="AW552" s="57"/>
      <c r="AX552" s="153"/>
      <c r="AY552" s="153"/>
      <c r="AZ552" s="153"/>
      <c r="BA552" s="153"/>
      <c r="BB552" s="153"/>
      <c r="BC552" s="153"/>
      <c r="BD552" s="151"/>
      <c r="BE552" s="152"/>
      <c r="BF552" s="151"/>
      <c r="BG552" s="94">
        <f>SUM($AV$4:AV552)</f>
        <v>3775.9746957692241</v>
      </c>
      <c r="BH552" s="95">
        <f>SUM($AU$4:AU552)</f>
        <v>43706.687142856565</v>
      </c>
      <c r="BI552" s="80">
        <f>SUMIFS($AU$3:AU553,$Q$3:Q553,"F")</f>
        <v>25718.457142857143</v>
      </c>
      <c r="BJ552" s="80">
        <f>SUMIFS($AU$3:AU553,$Q$3:Q553,"S")</f>
        <v>13727.999999999995</v>
      </c>
      <c r="BK552" s="87">
        <f>SUMIFS($AU$3:AU553,$P$3:P553,"W")</f>
        <v>30047.637142857486</v>
      </c>
      <c r="BL552" s="87">
        <f>SUMIFS($AU$3:AU553,$P$3:P553,"R")</f>
        <v>11645.999999999862</v>
      </c>
      <c r="BM552" s="87">
        <f>SUMIFS($AU$3:AU553,$AQ$3:AQ553,"M")</f>
        <v>9109.3799999992098</v>
      </c>
      <c r="BN552" s="87">
        <f>SUMIFS($AU$3:AU553,$AQ$3:AQ553,"H")</f>
        <v>8087.2000000002827</v>
      </c>
      <c r="BO552" s="87">
        <f>SUMIFS($AU$3:AU553,$AQ$3:AQ553,"D")</f>
        <v>13545.507142857021</v>
      </c>
      <c r="BP552" s="87">
        <f>SUMIFS($AS$3:AS1313,$AO$3:AO1313,"W")</f>
        <v>0</v>
      </c>
      <c r="BQ552" s="87">
        <f>SUMIFS($AU$3:AU553,$Q$3:Q553,"O")</f>
        <v>2720.2299999993738</v>
      </c>
      <c r="BR552" s="87">
        <f>SUMIFS($AU$3:AU553,$AA$3:AA553,"*")</f>
        <v>30129.799999999392</v>
      </c>
      <c r="BS552" s="87">
        <f>SUMIFS($AU$3:AU553,$AB$3:AB553,"*")</f>
        <v>11794.829999999794</v>
      </c>
      <c r="BT552" s="87">
        <f>SUMIFS($AU$3:AU553,$AC$3:AC553,"*")</f>
        <v>24678.45714285714</v>
      </c>
      <c r="BU552" s="87">
        <f>SUMIFS($AU$3:AU553,$AA$3:AA553,"*",$AB$3:AB553,"*")</f>
        <v>5807.9999999998217</v>
      </c>
      <c r="BV552" s="87">
        <f>SUMIFS($AU$3:AU553,$AA$3:AA553,"*",$AC$3:AC553,"*")</f>
        <v>13364.4</v>
      </c>
      <c r="BW552" s="87">
        <f>SUMIFS($AU$3:AU553,$AB$3:AB553,"*",$AC$3:AC553,"*")</f>
        <v>7119.9999999999982</v>
      </c>
      <c r="BX552" s="87">
        <f>SUMIFS($AV$3:AV553,$Q$3:Q553,"F")</f>
        <v>397.90578243515159</v>
      </c>
      <c r="BY552" s="87">
        <f>SUMIFS($AV$3:AV553,$Q$3:Q553,"S")</f>
        <v>558.83991333429879</v>
      </c>
      <c r="BZ552" s="87">
        <f>SUMIFS($AV$3:AV553,$Q$3:Q553,"O")</f>
        <v>755.22899999970912</v>
      </c>
    </row>
    <row r="553" spans="1:78" ht="15.75" customHeight="1">
      <c r="A553" s="45" t="s">
        <v>1819</v>
      </c>
      <c r="B553" s="59">
        <v>45413</v>
      </c>
      <c r="C553" s="46" t="s">
        <v>147</v>
      </c>
      <c r="D553" s="46" t="s">
        <v>186</v>
      </c>
      <c r="E553" s="66"/>
      <c r="F553" s="47"/>
      <c r="G553" s="48" t="s">
        <v>1169</v>
      </c>
      <c r="H553" s="49"/>
      <c r="I553" s="49"/>
      <c r="J553" s="49"/>
      <c r="K553" s="50"/>
      <c r="L553" s="49">
        <v>3</v>
      </c>
      <c r="M553" s="49"/>
      <c r="N553" s="49"/>
      <c r="O553" s="50" t="s">
        <v>196</v>
      </c>
      <c r="P553" s="50" t="s">
        <v>197</v>
      </c>
      <c r="Q553" s="50" t="s">
        <v>198</v>
      </c>
      <c r="R553" s="50">
        <v>1</v>
      </c>
      <c r="S553" s="50">
        <v>0</v>
      </c>
      <c r="T553" s="50">
        <v>1</v>
      </c>
      <c r="U553" s="50" t="s">
        <v>102</v>
      </c>
      <c r="V553" s="50"/>
      <c r="W553" s="50"/>
      <c r="X553" s="50"/>
      <c r="Y553" s="51">
        <f>IF(ISBLANK(O553),"",(IF(O553=UPPER("IB"),0.005,0.01)))</f>
        <v>0.01</v>
      </c>
      <c r="Z553" s="52">
        <f>IF(ISBLANK(O553),"",IF(O553="IB",8.63*200,IF(O553="IR",16*100,IF(O553="YT",20*100,IF(O553="YT-XT",24*200,IF(O553="TED",80*100,IF(O553="XT",29*200)))))))</f>
        <v>5800</v>
      </c>
      <c r="AA553" s="52" t="s">
        <v>908</v>
      </c>
      <c r="AB553" s="52"/>
      <c r="AC553" s="52"/>
      <c r="AD553" s="231">
        <v>95.474999999999994</v>
      </c>
      <c r="AE553" s="49"/>
      <c r="AF553" s="84"/>
      <c r="AG553" s="49"/>
      <c r="AH553" s="49"/>
      <c r="AI553" s="49"/>
      <c r="AJ553" s="226"/>
      <c r="AK553" s="49"/>
      <c r="AL553" s="113">
        <f t="shared" si="249"/>
        <v>-116</v>
      </c>
      <c r="AM553" s="113">
        <f t="shared" si="247"/>
        <v>-116</v>
      </c>
      <c r="AN553" s="218"/>
      <c r="AO553" s="49"/>
      <c r="AP553" s="49"/>
      <c r="AQ553" s="84" t="s">
        <v>350</v>
      </c>
      <c r="AR553" s="49"/>
      <c r="AS553" s="55">
        <v>95.495000000000005</v>
      </c>
      <c r="AT553" s="55">
        <f>IF(ISBLANK(AS553),,IF(U553="S",AD553-AS553,AS553-AD553))</f>
        <v>-2.0000000000010232E-2</v>
      </c>
      <c r="AU553" s="54">
        <f>AV553*R553</f>
        <v>-116.00000000005934</v>
      </c>
      <c r="AV553" s="56">
        <f t="shared" ref="AV553" si="250">IF(ISBLANK(AS553),,(AT553*Z553))</f>
        <v>-116.00000000005934</v>
      </c>
      <c r="AW553" s="57" t="s">
        <v>121</v>
      </c>
      <c r="AX553" s="153"/>
      <c r="AY553" s="153"/>
      <c r="AZ553" s="153"/>
      <c r="BA553" s="153"/>
      <c r="BB553" s="153"/>
      <c r="BC553" s="153"/>
      <c r="BD553" s="151"/>
      <c r="BE553" s="152"/>
      <c r="BF553" s="151"/>
      <c r="BG553" s="94">
        <f>SUM($AV$4:AV553)</f>
        <v>3659.974695769165</v>
      </c>
      <c r="BH553" s="95">
        <f>SUM($AU$4:AU553)</f>
        <v>43590.687142856506</v>
      </c>
      <c r="BI553" s="80">
        <f>SUMIFS($AU$3:AU554,$Q$3:Q554,"F")</f>
        <v>25718.457142857143</v>
      </c>
      <c r="BJ553" s="80">
        <f>SUMIFS($AU$3:AU554,$Q$3:Q554,"S")</f>
        <v>13727.999999999995</v>
      </c>
      <c r="BK553" s="87">
        <f>SUMIFS($AU$3:AU554,$P$3:P554,"W")</f>
        <v>30047.637142857486</v>
      </c>
      <c r="BL553" s="87">
        <f>SUMIFS($AU$3:AU554,$P$3:P554,"R")</f>
        <v>11645.999999999862</v>
      </c>
      <c r="BM553" s="87">
        <f>SUMIFS($AU$3:AU554,$AQ$3:AQ554,"M")</f>
        <v>9109.3799999992098</v>
      </c>
      <c r="BN553" s="87">
        <f>SUMIFS($AU$3:AU554,$AQ$3:AQ554,"H")</f>
        <v>8087.2000000002827</v>
      </c>
      <c r="BO553" s="87">
        <f>SUMIFS($AU$3:AU554,$AQ$3:AQ554,"D")</f>
        <v>13545.507142857021</v>
      </c>
      <c r="BP553" s="87">
        <f>SUMIFS($AS$3:AS1314,$AO$3:AO1314,"W")</f>
        <v>0</v>
      </c>
      <c r="BQ553" s="87">
        <f>SUMIFS($AU$3:AU554,$Q$3:Q554,"O")</f>
        <v>2720.2299999993738</v>
      </c>
      <c r="BR553" s="87">
        <f>SUMIFS($AU$3:AU554,$AA$3:AA554,"*")</f>
        <v>30129.799999999392</v>
      </c>
      <c r="BS553" s="87">
        <f>SUMIFS($AU$3:AU554,$AB$3:AB554,"*")</f>
        <v>11794.829999999794</v>
      </c>
      <c r="BT553" s="87">
        <f>SUMIFS($AU$3:AU554,$AC$3:AC554,"*")</f>
        <v>24678.45714285714</v>
      </c>
      <c r="BU553" s="87">
        <f>SUMIFS($AU$3:AU554,$AA$3:AA554,"*",$AB$3:AB554,"*")</f>
        <v>5807.9999999998217</v>
      </c>
      <c r="BV553" s="87">
        <f>SUMIFS($AU$3:AU554,$AA$3:AA554,"*",$AC$3:AC554,"*")</f>
        <v>13364.4</v>
      </c>
      <c r="BW553" s="87">
        <f>SUMIFS($AU$3:AU554,$AB$3:AB554,"*",$AC$3:AC554,"*")</f>
        <v>7119.9999999999982</v>
      </c>
      <c r="BX553" s="87">
        <f>SUMIFS($AV$3:AV554,$Q$3:Q554,"F")</f>
        <v>397.90578243515159</v>
      </c>
      <c r="BY553" s="87">
        <f>SUMIFS($AV$3:AV554,$Q$3:Q554,"S")</f>
        <v>558.83991333429879</v>
      </c>
      <c r="BZ553" s="87">
        <f>SUMIFS($AV$3:AV554,$Q$3:Q554,"O")</f>
        <v>755.22899999970912</v>
      </c>
    </row>
    <row r="554" spans="1:78" ht="15.75" customHeight="1">
      <c r="A554" s="45" t="s">
        <v>1819</v>
      </c>
      <c r="B554" s="59"/>
      <c r="C554" s="46"/>
      <c r="D554" s="46"/>
      <c r="E554" s="66"/>
      <c r="F554" s="47"/>
      <c r="G554" s="48"/>
      <c r="H554" s="49"/>
      <c r="I554" s="49"/>
      <c r="J554" s="49"/>
      <c r="K554" s="50"/>
      <c r="L554" s="49"/>
      <c r="M554" s="49"/>
      <c r="N554" s="49"/>
      <c r="O554" s="50"/>
      <c r="P554" s="50"/>
      <c r="Q554" s="50"/>
      <c r="R554" s="50"/>
      <c r="S554" s="50"/>
      <c r="T554" s="50"/>
      <c r="U554" s="50"/>
      <c r="V554" s="50"/>
      <c r="W554" s="50"/>
      <c r="X554" s="50"/>
      <c r="Y554" s="50"/>
      <c r="Z554" s="50"/>
      <c r="AA554" s="52"/>
      <c r="AB554" s="52"/>
      <c r="AC554" s="52"/>
      <c r="AD554" s="231"/>
      <c r="AE554" s="49"/>
      <c r="AF554" s="84"/>
      <c r="AG554" s="49"/>
      <c r="AH554" s="49"/>
      <c r="AI554" s="49"/>
      <c r="AJ554" s="226"/>
      <c r="AK554" s="49"/>
      <c r="AL554" s="113">
        <f t="shared" si="249"/>
        <v>0</v>
      </c>
      <c r="AM554" s="113">
        <f t="shared" si="247"/>
        <v>0</v>
      </c>
      <c r="AN554" s="218"/>
      <c r="AO554" s="49"/>
      <c r="AP554" s="49"/>
      <c r="AQ554" s="84" t="str">
        <f>UPPER(RIGHT(Journal_Live[[#This Row],[DURATION ]]))</f>
        <v/>
      </c>
      <c r="AR554" s="49"/>
      <c r="AS554" s="55"/>
      <c r="AT554" s="55"/>
      <c r="AU554" s="54"/>
      <c r="AV554" s="56"/>
      <c r="AW554" s="57"/>
      <c r="AX554" s="99" t="s">
        <v>1847</v>
      </c>
      <c r="AY554" s="153" t="s">
        <v>1848</v>
      </c>
      <c r="AZ554" s="153" t="s">
        <v>1849</v>
      </c>
      <c r="BA554" s="153" t="s">
        <v>1850</v>
      </c>
      <c r="BB554" s="153"/>
      <c r="BC554" s="153"/>
      <c r="BD554" s="151"/>
      <c r="BE554" s="152"/>
      <c r="BF554" s="151"/>
      <c r="BG554" s="94">
        <f>SUM($AV$4:AV554)</f>
        <v>3659.974695769165</v>
      </c>
      <c r="BH554" s="95">
        <f>SUM($AU$4:AU554)</f>
        <v>43590.687142856506</v>
      </c>
      <c r="BI554" s="80">
        <f>SUMIFS($AU$3:AU555,$Q$3:Q555,"F")</f>
        <v>25718.457142857143</v>
      </c>
      <c r="BJ554" s="80">
        <f>SUMIFS($AU$3:AU555,$Q$3:Q555,"S")</f>
        <v>16607.999999999996</v>
      </c>
      <c r="BK554" s="87">
        <f>SUMIFS($AU$3:AU555,$P$3:P555,"W")</f>
        <v>30047.637142857486</v>
      </c>
      <c r="BL554" s="87">
        <f>SUMIFS($AU$3:AU555,$P$3:P555,"R")</f>
        <v>14525.999999999862</v>
      </c>
      <c r="BM554" s="87">
        <f>SUMIFS($AU$3:AU555,$AQ$3:AQ555,"M")</f>
        <v>9109.3799999992098</v>
      </c>
      <c r="BN554" s="87">
        <f>SUMIFS($AU$3:AU555,$AQ$3:AQ555,"H")</f>
        <v>10967.200000000283</v>
      </c>
      <c r="BO554" s="87">
        <f>SUMIFS($AU$3:AU555,$AQ$3:AQ555,"D")</f>
        <v>13545.507142857021</v>
      </c>
      <c r="BP554" s="87">
        <f>SUMIFS($AS$3:AS1315,$AO$3:AO1315,"W")</f>
        <v>0</v>
      </c>
      <c r="BQ554" s="87">
        <f>SUMIFS($AU$3:AU555,$Q$3:Q555,"O")</f>
        <v>2720.2299999993738</v>
      </c>
      <c r="BR554" s="87">
        <f>SUMIFS($AU$3:AU555,$AA$3:AA555,"*")</f>
        <v>33009.799999999392</v>
      </c>
      <c r="BS554" s="87">
        <f>SUMIFS($AU$3:AU555,$AB$3:AB555,"*")</f>
        <v>11794.829999999794</v>
      </c>
      <c r="BT554" s="87">
        <f>SUMIFS($AU$3:AU555,$AC$3:AC555,"*")</f>
        <v>27558.45714285714</v>
      </c>
      <c r="BU554" s="87">
        <f>SUMIFS($AU$3:AU555,$AA$3:AA555,"*",$AB$3:AB555,"*")</f>
        <v>5807.9999999998217</v>
      </c>
      <c r="BV554" s="87">
        <f>SUMIFS($AU$3:AU555,$AA$3:AA555,"*",$AC$3:AC555,"*")</f>
        <v>16244.4</v>
      </c>
      <c r="BW554" s="87">
        <f>SUMIFS($AU$3:AU555,$AB$3:AB555,"*",$AC$3:AC555,"*")</f>
        <v>7119.9999999999982</v>
      </c>
      <c r="BX554" s="87">
        <f>SUMIFS($AV$3:AV555,$Q$3:Q555,"F")</f>
        <v>397.90578243515159</v>
      </c>
      <c r="BY554" s="87">
        <f>SUMIFS($AV$3:AV555,$Q$3:Q555,"S")</f>
        <v>606.83991333429879</v>
      </c>
      <c r="BZ554" s="87">
        <f>SUMIFS($AV$3:AV555,$Q$3:Q555,"O")</f>
        <v>755.22899999970912</v>
      </c>
    </row>
    <row r="555" spans="1:78" ht="15.75" customHeight="1">
      <c r="A555" s="45" t="s">
        <v>1819</v>
      </c>
      <c r="B555" s="59">
        <v>45415</v>
      </c>
      <c r="C555" s="46" t="s">
        <v>1260</v>
      </c>
      <c r="D555" s="46" t="s">
        <v>115</v>
      </c>
      <c r="E555" s="66"/>
      <c r="F555" s="47"/>
      <c r="G555" s="155" t="s">
        <v>527</v>
      </c>
      <c r="H555" s="49"/>
      <c r="I555" s="49"/>
      <c r="J555" s="49"/>
      <c r="K555" s="50"/>
      <c r="L555" s="49"/>
      <c r="M555" s="49">
        <v>2</v>
      </c>
      <c r="N555" s="49"/>
      <c r="O555" s="50" t="s">
        <v>100</v>
      </c>
      <c r="P555" s="50" t="s">
        <v>126</v>
      </c>
      <c r="Q555" s="50" t="s">
        <v>102</v>
      </c>
      <c r="R555" s="50">
        <v>60</v>
      </c>
      <c r="S555" s="161">
        <v>0</v>
      </c>
      <c r="T555" s="50">
        <v>60</v>
      </c>
      <c r="U555" s="50" t="s">
        <v>102</v>
      </c>
      <c r="V555" s="50"/>
      <c r="W555" s="50"/>
      <c r="X555" s="50"/>
      <c r="Y555" s="51">
        <f>IF(ISBLANK(O555),"",(IF(O555=UPPER("IB"),0.005,0.01)))</f>
        <v>0.01</v>
      </c>
      <c r="Z555" s="52">
        <f>IF(ISBLANK(O555),"",IF(O555="IB",8.63*200,IF(O555="IR",16*100,IF(O555="YT",20*100,IF(O555="YT-XT",24*200,IF(O555="TED",80*100,IF(O555="XT",29*200)))))))</f>
        <v>1600</v>
      </c>
      <c r="AA555" s="52" t="s">
        <v>289</v>
      </c>
      <c r="AB555" s="52"/>
      <c r="AC555" s="52" t="s">
        <v>1851</v>
      </c>
      <c r="AD555" s="231">
        <v>7.0000000000000007E-2</v>
      </c>
      <c r="AE555" s="49"/>
      <c r="AF555" s="84"/>
      <c r="AG555" s="49"/>
      <c r="AH555" s="49"/>
      <c r="AI555" s="49"/>
      <c r="AJ555" s="226"/>
      <c r="AK555" s="49"/>
      <c r="AL555" s="113">
        <f t="shared" si="248"/>
        <v>-32</v>
      </c>
      <c r="AM555" s="113">
        <f t="shared" si="247"/>
        <v>-1920</v>
      </c>
      <c r="AN555" s="218"/>
      <c r="AO555" s="49"/>
      <c r="AP555" s="49" t="s">
        <v>1423</v>
      </c>
      <c r="AQ555" s="84" t="s">
        <v>142</v>
      </c>
      <c r="AR555" s="49" t="s">
        <v>1852</v>
      </c>
      <c r="AS555" s="55">
        <v>0.04</v>
      </c>
      <c r="AT555" s="55">
        <f>IF(ISBLANK(AS555),,IF(U555="S",AD555-AS555,AS555-AD555))</f>
        <v>3.0000000000000006E-2</v>
      </c>
      <c r="AU555" s="54">
        <f>AV555*R555</f>
        <v>2880.0000000000005</v>
      </c>
      <c r="AV555" s="56">
        <f t="shared" ref="AV555:AV560" si="251">IF(ISBLANK(AS555),,(AT555*Z555))</f>
        <v>48.000000000000007</v>
      </c>
      <c r="AW555" s="57" t="s">
        <v>101</v>
      </c>
      <c r="AX555" s="153"/>
      <c r="AY555" s="153"/>
      <c r="AZ555" s="153"/>
      <c r="BA555" s="153"/>
      <c r="BB555" s="153"/>
      <c r="BC555" s="153"/>
      <c r="BD555" s="151"/>
      <c r="BE555" s="152"/>
      <c r="BF555" s="151"/>
      <c r="BG555" s="94">
        <f>SUM($AV$4:AV555)</f>
        <v>3707.974695769165</v>
      </c>
      <c r="BH555" s="95">
        <f>SUM($AU$4:AU555)</f>
        <v>46470.687142856506</v>
      </c>
      <c r="BI555" s="80">
        <f>SUMIFS($AU$3:AU561,$Q$3:Q561,"F")</f>
        <v>25718.457142857143</v>
      </c>
      <c r="BJ555" s="80">
        <f>SUMIFS($AU$3:AU561,$Q$3:Q561,"S")</f>
        <v>21247.999999999996</v>
      </c>
      <c r="BK555" s="87">
        <f>SUMIFS($AU$3:AU561,$P$3:P561,"W")</f>
        <v>33887.637142857486</v>
      </c>
      <c r="BL555" s="87">
        <f>SUMIFS($AU$3:AU561,$P$3:P561,"R")</f>
        <v>15325.999999999862</v>
      </c>
      <c r="BM555" s="87">
        <f>SUMIFS($AU$3:AU561,$AQ$3:AQ561,"M")</f>
        <v>9109.3799999992098</v>
      </c>
      <c r="BN555" s="87">
        <f>SUMIFS($AU$3:AU561,$AQ$3:AQ561,"H")</f>
        <v>14807.200000000283</v>
      </c>
      <c r="BO555" s="87">
        <f>SUMIFS($AU$3:AU561,$AQ$3:AQ561,"D")</f>
        <v>14345.507142857021</v>
      </c>
      <c r="BP555" s="87">
        <f>SUMIFS($AS$3:AS1316,$AO$3:AO1316,"W")</f>
        <v>0</v>
      </c>
      <c r="BQ555" s="87">
        <f>SUMIFS($AU$3:AU561,$Q$3:Q561,"O")</f>
        <v>2720.2299999993738</v>
      </c>
      <c r="BR555" s="87">
        <f>SUMIFS($AU$3:AU561,$AA$3:AA561,"*")</f>
        <v>37649.799999999392</v>
      </c>
      <c r="BS555" s="87">
        <f>SUMIFS($AU$3:AU561,$AB$3:AB561,"*")</f>
        <v>11794.829999999794</v>
      </c>
      <c r="BT555" s="87">
        <f>SUMIFS($AU$3:AU561,$AC$3:AC561,"*")</f>
        <v>27558.45714285714</v>
      </c>
      <c r="BU555" s="87">
        <f>SUMIFS($AU$3:AU561,$AA$3:AA561,"*",$AB$3:AB561,"*")</f>
        <v>5807.9999999998217</v>
      </c>
      <c r="BV555" s="87">
        <f>SUMIFS($AU$3:AU561,$AA$3:AA561,"*",$AC$3:AC561,"*")</f>
        <v>16244.4</v>
      </c>
      <c r="BW555" s="87">
        <f>SUMIFS($AU$3:AU561,$AB$3:AB561,"*",$AC$3:AC561,"*")</f>
        <v>7119.9999999999982</v>
      </c>
      <c r="BX555" s="87">
        <f>SUMIFS($AV$3:AV561,$Q$3:Q561,"F")</f>
        <v>397.90578243515159</v>
      </c>
      <c r="BY555" s="87">
        <f>SUMIFS($AV$3:AV561,$Q$3:Q561,"S")</f>
        <v>674.03991333429883</v>
      </c>
      <c r="BZ555" s="87">
        <f>SUMIFS($AV$3:AV561,$Q$3:Q561,"O")</f>
        <v>755.22899999970912</v>
      </c>
    </row>
    <row r="556" spans="1:78" ht="15.75" customHeight="1">
      <c r="A556" s="45" t="s">
        <v>1819</v>
      </c>
      <c r="B556" s="59">
        <v>45415</v>
      </c>
      <c r="C556" s="46" t="s">
        <v>1143</v>
      </c>
      <c r="D556" s="46" t="s">
        <v>115</v>
      </c>
      <c r="E556" s="66" t="s">
        <v>1853</v>
      </c>
      <c r="F556" s="47" t="s">
        <v>1854</v>
      </c>
      <c r="G556" s="48"/>
      <c r="H556" s="49"/>
      <c r="I556" s="49"/>
      <c r="J556" s="49">
        <v>1</v>
      </c>
      <c r="K556" s="50" t="s">
        <v>155</v>
      </c>
      <c r="L556" s="49"/>
      <c r="M556" s="49"/>
      <c r="N556" s="49"/>
      <c r="O556" s="50"/>
      <c r="P556" s="50"/>
      <c r="Q556" s="50"/>
      <c r="R556" s="50"/>
      <c r="S556" s="50"/>
      <c r="T556" s="50"/>
      <c r="U556" s="50"/>
      <c r="V556" s="50"/>
      <c r="W556" s="50"/>
      <c r="X556" s="50"/>
      <c r="Y556" s="50"/>
      <c r="Z556" s="50"/>
      <c r="AA556" s="52"/>
      <c r="AB556" s="52"/>
      <c r="AC556" s="52"/>
      <c r="AD556" s="231"/>
      <c r="AE556" s="49"/>
      <c r="AF556" s="84"/>
      <c r="AG556" s="49"/>
      <c r="AH556" s="49"/>
      <c r="AI556" s="49"/>
      <c r="AJ556" s="226"/>
      <c r="AK556" s="49"/>
      <c r="AL556" s="113">
        <f t="shared" ref="AL556:AL560" si="252">-0.02*Z556</f>
        <v>0</v>
      </c>
      <c r="AM556" s="113">
        <f t="shared" si="247"/>
        <v>0</v>
      </c>
      <c r="AN556" s="218"/>
      <c r="AO556" s="49"/>
      <c r="AP556" s="49"/>
      <c r="AQ556" s="84" t="str">
        <f>UPPER(RIGHT(Journal_Live[[#This Row],[DURATION ]]))</f>
        <v/>
      </c>
      <c r="AR556" s="49"/>
      <c r="AS556" s="55"/>
      <c r="AT556" s="55"/>
      <c r="AU556" s="54"/>
      <c r="AV556" s="56"/>
      <c r="AW556" s="57"/>
      <c r="AX556" s="153" t="s">
        <v>1855</v>
      </c>
      <c r="AY556" s="153"/>
      <c r="AZ556" s="153"/>
      <c r="BA556" s="153"/>
      <c r="BB556" s="153"/>
      <c r="BC556" s="153"/>
      <c r="BD556" s="151"/>
      <c r="BE556" s="152"/>
      <c r="BF556" s="151"/>
      <c r="BG556" s="94">
        <f>SUM($AV$4:AV556)</f>
        <v>3707.974695769165</v>
      </c>
      <c r="BH556" s="95">
        <f>SUM($AU$4:AU556)</f>
        <v>46470.687142856506</v>
      </c>
      <c r="BI556" s="80">
        <f>SUMIFS($AU$3:AU557,$Q$3:Q557,"F")</f>
        <v>25718.457142857143</v>
      </c>
      <c r="BJ556" s="80">
        <f>SUMIFS($AU$3:AU557,$Q$3:Q557,"S")</f>
        <v>16607.999999999996</v>
      </c>
      <c r="BK556" s="87">
        <f>SUMIFS($AU$3:AU557,$P$3:P557,"W")</f>
        <v>30047.637142857486</v>
      </c>
      <c r="BL556" s="87">
        <f>SUMIFS($AU$3:AU557,$P$3:P557,"R")</f>
        <v>14525.999999999862</v>
      </c>
      <c r="BM556" s="87">
        <f>SUMIFS($AU$3:AU557,$AQ$3:AQ557,"M")</f>
        <v>9109.3799999992098</v>
      </c>
      <c r="BN556" s="87">
        <f>SUMIFS($AU$3:AU557,$AQ$3:AQ557,"H")</f>
        <v>10967.200000000283</v>
      </c>
      <c r="BO556" s="87">
        <f>SUMIFS($AU$3:AU557,$AQ$3:AQ557,"D")</f>
        <v>13545.507142857021</v>
      </c>
      <c r="BP556" s="87">
        <f>SUMIFS($AS$3:AS1312,$AO$3:AO1312,"W")</f>
        <v>0</v>
      </c>
      <c r="BQ556" s="87">
        <f>SUMIFS($AU$3:AU557,$Q$3:Q557,"O")</f>
        <v>2720.2299999993738</v>
      </c>
      <c r="BR556" s="87">
        <f>SUMIFS($AU$3:AU557,$AA$3:AA557,"*")</f>
        <v>33009.799999999392</v>
      </c>
      <c r="BS556" s="87">
        <f>SUMIFS($AU$3:AU557,$AB$3:AB557,"*")</f>
        <v>11794.829999999794</v>
      </c>
      <c r="BT556" s="87">
        <f>SUMIFS($AU$3:AU557,$AC$3:AC557,"*")</f>
        <v>27558.45714285714</v>
      </c>
      <c r="BU556" s="87">
        <f>SUMIFS($AU$3:AU557,$AA$3:AA557,"*",$AB$3:AB557,"*")</f>
        <v>5807.9999999998217</v>
      </c>
      <c r="BV556" s="87">
        <f>SUMIFS($AU$3:AU557,$AA$3:AA557,"*",$AC$3:AC557,"*")</f>
        <v>16244.4</v>
      </c>
      <c r="BW556" s="87">
        <f>SUMIFS($AU$3:AU557,$AB$3:AB557,"*",$AC$3:AC557,"*")</f>
        <v>7119.9999999999982</v>
      </c>
      <c r="BX556" s="87">
        <f>SUMIFS($AV$3:AV557,$Q$3:Q557,"F")</f>
        <v>397.90578243515159</v>
      </c>
      <c r="BY556" s="87">
        <f>SUMIFS($AV$3:AV557,$Q$3:Q557,"S")</f>
        <v>606.83991333429879</v>
      </c>
      <c r="BZ556" s="87">
        <f>SUMIFS($AV$3:AV557,$Q$3:Q557,"O")</f>
        <v>755.22899999970912</v>
      </c>
    </row>
    <row r="557" spans="1:78" ht="15.75" customHeight="1">
      <c r="A557" s="45" t="s">
        <v>1819</v>
      </c>
      <c r="B557" s="59"/>
      <c r="C557" s="46"/>
      <c r="D557" s="46"/>
      <c r="E557" s="66" t="s">
        <v>1856</v>
      </c>
      <c r="F557" s="47"/>
      <c r="G557" s="48"/>
      <c r="H557" s="49">
        <v>1</v>
      </c>
      <c r="I557" s="49"/>
      <c r="J557" s="49"/>
      <c r="K557" s="50" t="s">
        <v>155</v>
      </c>
      <c r="L557" s="49"/>
      <c r="M557" s="49"/>
      <c r="N557" s="49"/>
      <c r="O557" s="50"/>
      <c r="P557" s="50"/>
      <c r="Q557" s="50"/>
      <c r="R557" s="50"/>
      <c r="S557" s="50"/>
      <c r="T557" s="50"/>
      <c r="U557" s="50"/>
      <c r="V557" s="50"/>
      <c r="W557" s="50"/>
      <c r="X557" s="50"/>
      <c r="Y557" s="50"/>
      <c r="Z557" s="50"/>
      <c r="AA557" s="52"/>
      <c r="AB557" s="52"/>
      <c r="AC557" s="52"/>
      <c r="AD557" s="231"/>
      <c r="AE557" s="49"/>
      <c r="AF557" s="84"/>
      <c r="AG557" s="49"/>
      <c r="AH557" s="49"/>
      <c r="AI557" s="49"/>
      <c r="AJ557" s="226"/>
      <c r="AK557" s="49"/>
      <c r="AL557" s="113">
        <f t="shared" si="252"/>
        <v>0</v>
      </c>
      <c r="AM557" s="113">
        <f t="shared" si="247"/>
        <v>0</v>
      </c>
      <c r="AN557" s="218"/>
      <c r="AO557" s="49"/>
      <c r="AP557" s="49"/>
      <c r="AQ557" s="84" t="str">
        <f>UPPER(RIGHT(Journal_Live[[#This Row],[DURATION ]]))</f>
        <v/>
      </c>
      <c r="AR557" s="49"/>
      <c r="AS557" s="55"/>
      <c r="AT557" s="55"/>
      <c r="AU557" s="54"/>
      <c r="AV557" s="56"/>
      <c r="AW557" s="57"/>
      <c r="AX557" s="153"/>
      <c r="AY557" s="153"/>
      <c r="AZ557" s="153"/>
      <c r="BA557" s="153"/>
      <c r="BB557" s="153"/>
      <c r="BC557" s="153"/>
      <c r="BD557" s="151"/>
      <c r="BE557" s="152"/>
      <c r="BF557" s="151"/>
      <c r="BG557" s="94">
        <f>SUM($AV$4:AV557)</f>
        <v>3707.974695769165</v>
      </c>
      <c r="BH557" s="95">
        <f>SUM($AU$4:AU557)</f>
        <v>46470.687142856506</v>
      </c>
      <c r="BI557" s="80">
        <f>SUMIFS($AU$3:AU558,$Q$3:Q558,"F")</f>
        <v>25718.457142857143</v>
      </c>
      <c r="BJ557" s="80">
        <f>SUMIFS($AU$3:AU558,$Q$3:Q558,"S")</f>
        <v>16607.999999999996</v>
      </c>
      <c r="BK557" s="87">
        <f>SUMIFS($AU$3:AU558,$P$3:P558,"W")</f>
        <v>30047.637142857486</v>
      </c>
      <c r="BL557" s="87">
        <f>SUMIFS($AU$3:AU558,$P$3:P558,"R")</f>
        <v>14525.999999999862</v>
      </c>
      <c r="BM557" s="87">
        <f>SUMIFS($AU$3:AU558,$AQ$3:AQ558,"M")</f>
        <v>9109.3799999992098</v>
      </c>
      <c r="BN557" s="87">
        <f>SUMIFS($AU$3:AU558,$AQ$3:AQ558,"H")</f>
        <v>10967.200000000283</v>
      </c>
      <c r="BO557" s="87">
        <f>SUMIFS($AU$3:AU558,$AQ$3:AQ558,"D")</f>
        <v>13545.507142857021</v>
      </c>
      <c r="BP557" s="87">
        <f>SUMIFS($AS$3:AS1313,$AO$3:AO1313,"W")</f>
        <v>0</v>
      </c>
      <c r="BQ557" s="87">
        <f>SUMIFS($AU$3:AU558,$Q$3:Q558,"O")</f>
        <v>2720.2299999993738</v>
      </c>
      <c r="BR557" s="87">
        <f>SUMIFS($AU$3:AU558,$AA$3:AA558,"*")</f>
        <v>33009.799999999392</v>
      </c>
      <c r="BS557" s="87">
        <f>SUMIFS($AU$3:AU558,$AB$3:AB558,"*")</f>
        <v>11794.829999999794</v>
      </c>
      <c r="BT557" s="87">
        <f>SUMIFS($AU$3:AU558,$AC$3:AC558,"*")</f>
        <v>27558.45714285714</v>
      </c>
      <c r="BU557" s="87">
        <f>SUMIFS($AU$3:AU558,$AA$3:AA558,"*",$AB$3:AB558,"*")</f>
        <v>5807.9999999998217</v>
      </c>
      <c r="BV557" s="87">
        <f>SUMIFS($AU$3:AU558,$AA$3:AA558,"*",$AC$3:AC558,"*")</f>
        <v>16244.4</v>
      </c>
      <c r="BW557" s="87">
        <f>SUMIFS($AU$3:AU558,$AB$3:AB558,"*",$AC$3:AC558,"*")</f>
        <v>7119.9999999999982</v>
      </c>
      <c r="BX557" s="87">
        <f>SUMIFS($AV$3:AV558,$Q$3:Q558,"F")</f>
        <v>397.90578243515159</v>
      </c>
      <c r="BY557" s="87">
        <f>SUMIFS($AV$3:AV558,$Q$3:Q558,"S")</f>
        <v>606.83991333429879</v>
      </c>
      <c r="BZ557" s="87">
        <f>SUMIFS($AV$3:AV558,$Q$3:Q558,"O")</f>
        <v>755.22899999970912</v>
      </c>
    </row>
    <row r="558" spans="1:78" ht="15.75" customHeight="1">
      <c r="A558" s="45" t="s">
        <v>1819</v>
      </c>
      <c r="B558" s="59"/>
      <c r="C558" s="46"/>
      <c r="D558" s="46"/>
      <c r="E558" s="66" t="s">
        <v>1857</v>
      </c>
      <c r="F558" s="47"/>
      <c r="G558" s="48"/>
      <c r="H558" s="49"/>
      <c r="I558" s="49"/>
      <c r="J558" s="49">
        <v>1</v>
      </c>
      <c r="K558" s="50" t="s">
        <v>155</v>
      </c>
      <c r="L558" s="49"/>
      <c r="M558" s="49"/>
      <c r="N558" s="49"/>
      <c r="O558" s="50"/>
      <c r="P558" s="50"/>
      <c r="Q558" s="50"/>
      <c r="R558" s="50"/>
      <c r="S558" s="50"/>
      <c r="T558" s="50"/>
      <c r="U558" s="50"/>
      <c r="V558" s="50"/>
      <c r="W558" s="50"/>
      <c r="X558" s="50"/>
      <c r="Y558" s="50"/>
      <c r="Z558" s="50"/>
      <c r="AA558" s="52"/>
      <c r="AB558" s="52"/>
      <c r="AC558" s="52"/>
      <c r="AD558" s="231"/>
      <c r="AE558" s="49"/>
      <c r="AF558" s="84"/>
      <c r="AG558" s="49"/>
      <c r="AH558" s="49"/>
      <c r="AI558" s="49"/>
      <c r="AJ558" s="226"/>
      <c r="AK558" s="49"/>
      <c r="AL558" s="113">
        <f t="shared" si="252"/>
        <v>0</v>
      </c>
      <c r="AM558" s="113">
        <f t="shared" si="247"/>
        <v>0</v>
      </c>
      <c r="AN558" s="218"/>
      <c r="AO558" s="49"/>
      <c r="AP558" s="49"/>
      <c r="AQ558" s="84" t="str">
        <f>UPPER(RIGHT(Journal_Live[[#This Row],[DURATION ]]))</f>
        <v/>
      </c>
      <c r="AR558" s="49"/>
      <c r="AS558" s="55"/>
      <c r="AT558" s="55"/>
      <c r="AU558" s="54"/>
      <c r="AV558" s="56"/>
      <c r="AW558" s="57"/>
      <c r="AX558" s="153"/>
      <c r="AY558" s="153"/>
      <c r="AZ558" s="153"/>
      <c r="BA558" s="153"/>
      <c r="BB558" s="153"/>
      <c r="BC558" s="153"/>
      <c r="BD558" s="151"/>
      <c r="BE558" s="152"/>
      <c r="BF558" s="151"/>
      <c r="BG558" s="94">
        <f>SUM($AV$4:AV558)</f>
        <v>3707.974695769165</v>
      </c>
      <c r="BH558" s="95">
        <f>SUM($AU$4:AU558)</f>
        <v>46470.687142856506</v>
      </c>
      <c r="BI558" s="80">
        <f>SUMIFS($AU$3:AU559,$Q$3:Q559,"F")</f>
        <v>25718.457142857143</v>
      </c>
      <c r="BJ558" s="80">
        <f>SUMIFS($AU$3:AU559,$Q$3:Q559,"S")</f>
        <v>17407.999999999996</v>
      </c>
      <c r="BK558" s="87">
        <f>SUMIFS($AU$3:AU559,$P$3:P559,"W")</f>
        <v>30047.637142857486</v>
      </c>
      <c r="BL558" s="87">
        <f>SUMIFS($AU$3:AU559,$P$3:P559,"R")</f>
        <v>15325.999999999862</v>
      </c>
      <c r="BM558" s="87">
        <f>SUMIFS($AU$3:AU559,$AQ$3:AQ559,"M")</f>
        <v>9109.3799999992098</v>
      </c>
      <c r="BN558" s="87">
        <f>SUMIFS($AU$3:AU559,$AQ$3:AQ559,"H")</f>
        <v>10967.200000000283</v>
      </c>
      <c r="BO558" s="87">
        <f>SUMIFS($AU$3:AU559,$AQ$3:AQ559,"D")</f>
        <v>14345.507142857021</v>
      </c>
      <c r="BP558" s="87">
        <f>SUMIFS($AS$3:AS1314,$AO$3:AO1314,"W")</f>
        <v>0</v>
      </c>
      <c r="BQ558" s="87">
        <f>SUMIFS($AU$3:AU559,$Q$3:Q559,"O")</f>
        <v>2720.2299999993738</v>
      </c>
      <c r="BR558" s="87">
        <f>SUMIFS($AU$3:AU559,$AA$3:AA559,"*")</f>
        <v>33809.799999999392</v>
      </c>
      <c r="BS558" s="87">
        <f>SUMIFS($AU$3:AU559,$AB$3:AB559,"*")</f>
        <v>11794.829999999794</v>
      </c>
      <c r="BT558" s="87">
        <f>SUMIFS($AU$3:AU559,$AC$3:AC559,"*")</f>
        <v>27558.45714285714</v>
      </c>
      <c r="BU558" s="87">
        <f>SUMIFS($AU$3:AU559,$AA$3:AA559,"*",$AB$3:AB559,"*")</f>
        <v>5807.9999999998217</v>
      </c>
      <c r="BV558" s="87">
        <f>SUMIFS($AU$3:AU559,$AA$3:AA559,"*",$AC$3:AC559,"*")</f>
        <v>16244.4</v>
      </c>
      <c r="BW558" s="87">
        <f>SUMIFS($AU$3:AU559,$AB$3:AB559,"*",$AC$3:AC559,"*")</f>
        <v>7119.9999999999982</v>
      </c>
      <c r="BX558" s="87">
        <f>SUMIFS($AV$3:AV559,$Q$3:Q559,"F")</f>
        <v>397.90578243515159</v>
      </c>
      <c r="BY558" s="87">
        <f>SUMIFS($AV$3:AV559,$Q$3:Q559,"S")</f>
        <v>622.83991333429879</v>
      </c>
      <c r="BZ558" s="87">
        <f>SUMIFS($AV$3:AV559,$Q$3:Q559,"O")</f>
        <v>755.22899999970912</v>
      </c>
    </row>
    <row r="559" spans="1:78" ht="15.75" customHeight="1">
      <c r="A559" s="45" t="s">
        <v>1819</v>
      </c>
      <c r="B559" s="59">
        <v>45415</v>
      </c>
      <c r="C559" s="46" t="s">
        <v>147</v>
      </c>
      <c r="D559" s="46" t="s">
        <v>115</v>
      </c>
      <c r="E559" s="66"/>
      <c r="F559" s="47"/>
      <c r="G559" s="155" t="s">
        <v>463</v>
      </c>
      <c r="H559" s="49"/>
      <c r="I559" s="49"/>
      <c r="J559" s="49"/>
      <c r="K559" s="50"/>
      <c r="L559" s="49"/>
      <c r="M559" s="49">
        <v>2</v>
      </c>
      <c r="N559" s="49"/>
      <c r="O559" s="50" t="s">
        <v>100</v>
      </c>
      <c r="P559" s="50" t="s">
        <v>126</v>
      </c>
      <c r="Q559" s="50" t="s">
        <v>102</v>
      </c>
      <c r="R559" s="50">
        <v>50</v>
      </c>
      <c r="S559" s="161">
        <v>0</v>
      </c>
      <c r="T559" s="50">
        <v>50</v>
      </c>
      <c r="U559" s="50" t="s">
        <v>102</v>
      </c>
      <c r="V559" s="50"/>
      <c r="W559" s="50"/>
      <c r="X559" s="50"/>
      <c r="Y559" s="51">
        <f>IF(ISBLANK(O559),"",(IF(O559=UPPER("IB"),0.005,0.01)))</f>
        <v>0.01</v>
      </c>
      <c r="Z559" s="52">
        <f>IF(ISBLANK(O559),"",IF(O559="IB",8.63*200,IF(O559="IR",16*100,IF(O559="YT",20*100,IF(O559="YT-XT",24*200,IF(O559="TED",80*100,IF(O559="XT",29*200)))))))</f>
        <v>1600</v>
      </c>
      <c r="AA559" s="52" t="s">
        <v>277</v>
      </c>
      <c r="AB559" s="52"/>
      <c r="AC559" s="52"/>
      <c r="AD559" s="231">
        <v>-0.15</v>
      </c>
      <c r="AE559" s="49"/>
      <c r="AF559" s="84"/>
      <c r="AG559" s="49"/>
      <c r="AH559" s="49"/>
      <c r="AI559" s="49"/>
      <c r="AJ559" s="226"/>
      <c r="AK559" s="49"/>
      <c r="AL559" s="113">
        <f t="shared" si="252"/>
        <v>-32</v>
      </c>
      <c r="AM559" s="113">
        <f t="shared" si="247"/>
        <v>-1600</v>
      </c>
      <c r="AN559" s="218"/>
      <c r="AO559" s="49"/>
      <c r="AP559" s="49" t="s">
        <v>279</v>
      </c>
      <c r="AQ559" s="84" t="s">
        <v>155</v>
      </c>
      <c r="AR559" s="49" t="s">
        <v>1858</v>
      </c>
      <c r="AS559" s="55">
        <v>-0.16</v>
      </c>
      <c r="AT559" s="55">
        <f>IF(ISBLANK(AS559),,IF(U559="S",AD559-AS559,AS559-AD559))</f>
        <v>1.0000000000000009E-2</v>
      </c>
      <c r="AU559" s="54">
        <f>AV559*R559</f>
        <v>800.00000000000068</v>
      </c>
      <c r="AV559" s="56">
        <f t="shared" si="251"/>
        <v>16.000000000000014</v>
      </c>
      <c r="AW559" s="57" t="s">
        <v>101</v>
      </c>
      <c r="AX559" s="153"/>
      <c r="AY559" s="153"/>
      <c r="AZ559" s="153"/>
      <c r="BA559" s="153"/>
      <c r="BB559" s="153"/>
      <c r="BC559" s="153"/>
      <c r="BD559" s="151"/>
      <c r="BE559" s="152"/>
      <c r="BF559" s="151"/>
      <c r="BG559" s="94">
        <f>SUM($AV$4:AV559)</f>
        <v>3723.974695769165</v>
      </c>
      <c r="BH559" s="95">
        <f>SUM($AU$4:AU559)</f>
        <v>47270.687142856506</v>
      </c>
      <c r="BI559" s="80">
        <f>SUMIFS($AU$3:AU560,$Q$3:Q560,"F")</f>
        <v>25718.457142857143</v>
      </c>
      <c r="BJ559" s="80">
        <f>SUMIFS($AU$3:AU560,$Q$3:Q560,"S")</f>
        <v>20047.999999999996</v>
      </c>
      <c r="BK559" s="87">
        <f>SUMIFS($AU$3:AU560,$P$3:P560,"W")</f>
        <v>32687.637142857486</v>
      </c>
      <c r="BL559" s="87">
        <f>SUMIFS($AU$3:AU560,$P$3:P560,"R")</f>
        <v>15325.999999999862</v>
      </c>
      <c r="BM559" s="87">
        <f>SUMIFS($AU$3:AU560,$AQ$3:AQ560,"M")</f>
        <v>9109.3799999992098</v>
      </c>
      <c r="BN559" s="87">
        <f>SUMIFS($AU$3:AU560,$AQ$3:AQ560,"H")</f>
        <v>13607.200000000283</v>
      </c>
      <c r="BO559" s="87">
        <f>SUMIFS($AU$3:AU560,$AQ$3:AQ560,"D")</f>
        <v>14345.507142857021</v>
      </c>
      <c r="BP559" s="87">
        <f>SUMIFS($AS$3:AS1315,$AO$3:AO1315,"W")</f>
        <v>0</v>
      </c>
      <c r="BQ559" s="87">
        <f>SUMIFS($AU$3:AU560,$Q$3:Q560,"O")</f>
        <v>2720.2299999993738</v>
      </c>
      <c r="BR559" s="87">
        <f>SUMIFS($AU$3:AU560,$AA$3:AA560,"*")</f>
        <v>36449.799999999392</v>
      </c>
      <c r="BS559" s="87">
        <f>SUMIFS($AU$3:AU560,$AB$3:AB560,"*")</f>
        <v>11794.829999999794</v>
      </c>
      <c r="BT559" s="87">
        <f>SUMIFS($AU$3:AU560,$AC$3:AC560,"*")</f>
        <v>27558.45714285714</v>
      </c>
      <c r="BU559" s="87">
        <f>SUMIFS($AU$3:AU560,$AA$3:AA560,"*",$AB$3:AB560,"*")</f>
        <v>5807.9999999998217</v>
      </c>
      <c r="BV559" s="87">
        <f>SUMIFS($AU$3:AU560,$AA$3:AA560,"*",$AC$3:AC560,"*")</f>
        <v>16244.4</v>
      </c>
      <c r="BW559" s="87">
        <f>SUMIFS($AU$3:AU560,$AB$3:AB560,"*",$AC$3:AC560,"*")</f>
        <v>7119.9999999999982</v>
      </c>
      <c r="BX559" s="87">
        <f>SUMIFS($AV$3:AV560,$Q$3:Q560,"F")</f>
        <v>397.90578243515159</v>
      </c>
      <c r="BY559" s="87">
        <f>SUMIFS($AV$3:AV560,$Q$3:Q560,"S")</f>
        <v>658.03991333429883</v>
      </c>
      <c r="BZ559" s="87">
        <f>SUMIFS($AV$3:AV560,$Q$3:Q560,"O")</f>
        <v>755.22899999970912</v>
      </c>
    </row>
    <row r="560" spans="1:78" ht="15.75" customHeight="1">
      <c r="A560" s="45" t="s">
        <v>1819</v>
      </c>
      <c r="B560" s="59">
        <v>45415</v>
      </c>
      <c r="C560" s="46" t="s">
        <v>147</v>
      </c>
      <c r="D560" s="46" t="s">
        <v>115</v>
      </c>
      <c r="E560" s="66"/>
      <c r="F560" s="47"/>
      <c r="G560" s="155" t="s">
        <v>111</v>
      </c>
      <c r="H560" s="49"/>
      <c r="I560" s="49"/>
      <c r="J560" s="49"/>
      <c r="K560" s="50"/>
      <c r="L560" s="49"/>
      <c r="M560" s="49">
        <v>3</v>
      </c>
      <c r="N560" s="49"/>
      <c r="O560" s="50" t="s">
        <v>100</v>
      </c>
      <c r="P560" s="50" t="s">
        <v>101</v>
      </c>
      <c r="Q560" s="50" t="s">
        <v>102</v>
      </c>
      <c r="R560" s="50">
        <v>75</v>
      </c>
      <c r="S560" s="161">
        <v>45</v>
      </c>
      <c r="T560" s="50">
        <v>75</v>
      </c>
      <c r="U560" s="50" t="s">
        <v>22</v>
      </c>
      <c r="V560" s="50"/>
      <c r="W560" s="50"/>
      <c r="X560" s="50"/>
      <c r="Y560" s="51">
        <f>IF(ISBLANK(O560),"",(IF(O560=UPPER("IB"),0.005,0.01)))</f>
        <v>0.01</v>
      </c>
      <c r="Z560" s="52">
        <f>IF(ISBLANK(O560),"",IF(O560="IB",8.63*200,IF(O560="IR",16*100,IF(O560="YT",20*100,IF(O560="YT-XT",24*200,IF(O560="TED",80*100,IF(O560="XT",29*200)))))))</f>
        <v>1600</v>
      </c>
      <c r="AA560" s="52" t="s">
        <v>1859</v>
      </c>
      <c r="AB560" s="52"/>
      <c r="AC560" s="52"/>
      <c r="AD560" s="231">
        <v>0.02</v>
      </c>
      <c r="AE560" s="49"/>
      <c r="AF560" s="84"/>
      <c r="AG560" s="49"/>
      <c r="AH560" s="49"/>
      <c r="AI560" s="49"/>
      <c r="AJ560" s="226"/>
      <c r="AK560" s="49"/>
      <c r="AL560" s="113">
        <f t="shared" si="252"/>
        <v>-32</v>
      </c>
      <c r="AM560" s="113">
        <f t="shared" si="247"/>
        <v>-960</v>
      </c>
      <c r="AN560" s="218"/>
      <c r="AO560" s="49"/>
      <c r="AP560" s="49" t="s">
        <v>607</v>
      </c>
      <c r="AQ560" s="84" t="s">
        <v>142</v>
      </c>
      <c r="AR560" s="49" t="s">
        <v>1860</v>
      </c>
      <c r="AS560" s="55">
        <f>(0.03*15+0.04*30+0.05*30)/75</f>
        <v>4.1999999999999996E-2</v>
      </c>
      <c r="AT560" s="55">
        <f>IF(ISBLANK(AS560),,IF(U560="S",AD560-AS560,AS560-AD560))</f>
        <v>2.1999999999999995E-2</v>
      </c>
      <c r="AU560" s="54">
        <f>AV560*R560</f>
        <v>2639.9999999999995</v>
      </c>
      <c r="AV560" s="56">
        <f t="shared" si="251"/>
        <v>35.199999999999996</v>
      </c>
      <c r="AW560" s="57" t="s">
        <v>101</v>
      </c>
      <c r="AX560" s="153" t="s">
        <v>1861</v>
      </c>
      <c r="AY560" s="153"/>
      <c r="AZ560" s="153"/>
      <c r="BA560" s="153"/>
      <c r="BB560" s="153"/>
      <c r="BC560" s="153"/>
      <c r="BD560" s="151"/>
      <c r="BE560" s="152"/>
      <c r="BF560" s="151"/>
      <c r="BG560" s="94">
        <f>SUM($AV$4:AV560)</f>
        <v>3759.1746957691648</v>
      </c>
      <c r="BH560" s="95">
        <f>SUM($AU$4:AU560)</f>
        <v>49910.687142856506</v>
      </c>
      <c r="BI560" s="80">
        <f>SUMIFS($AU$3:AU561,$Q$3:Q561,"F")</f>
        <v>25718.457142857143</v>
      </c>
      <c r="BJ560" s="80">
        <f>SUMIFS($AU$3:AU561,$Q$3:Q561,"S")</f>
        <v>21247.999999999996</v>
      </c>
      <c r="BK560" s="87">
        <f>SUMIFS($AU$3:AU561,$P$3:P561,"W")</f>
        <v>33887.637142857486</v>
      </c>
      <c r="BL560" s="87">
        <f>SUMIFS($AU$3:AU561,$P$3:P561,"R")</f>
        <v>15325.999999999862</v>
      </c>
      <c r="BM560" s="87">
        <f>SUMIFS($AU$3:AU561,$AQ$3:AQ561,"M")</f>
        <v>9109.3799999992098</v>
      </c>
      <c r="BN560" s="87">
        <f>SUMIFS($AU$3:AU561,$AQ$3:AQ561,"H")</f>
        <v>14807.200000000283</v>
      </c>
      <c r="BO560" s="87">
        <f>SUMIFS($AU$3:AU561,$AQ$3:AQ561,"D")</f>
        <v>14345.507142857021</v>
      </c>
      <c r="BP560" s="87">
        <f>SUMIFS($AS$3:AS1316,$AO$3:AO1316,"W")</f>
        <v>0</v>
      </c>
      <c r="BQ560" s="87">
        <f>SUMIFS($AU$3:AU561,$Q$3:Q561,"O")</f>
        <v>2720.2299999993738</v>
      </c>
      <c r="BR560" s="87">
        <f>SUMIFS($AU$3:AU561,$AA$3:AA561,"*")</f>
        <v>37649.799999999392</v>
      </c>
      <c r="BS560" s="87">
        <f>SUMIFS($AU$3:AU561,$AB$3:AB561,"*")</f>
        <v>11794.829999999794</v>
      </c>
      <c r="BT560" s="87">
        <f>SUMIFS($AU$3:AU561,$AC$3:AC561,"*")</f>
        <v>27558.45714285714</v>
      </c>
      <c r="BU560" s="87">
        <f>SUMIFS($AU$3:AU561,$AA$3:AA561,"*",$AB$3:AB561,"*")</f>
        <v>5807.9999999998217</v>
      </c>
      <c r="BV560" s="87">
        <f>SUMIFS($AU$3:AU561,$AA$3:AA561,"*",$AC$3:AC561,"*")</f>
        <v>16244.4</v>
      </c>
      <c r="BW560" s="87">
        <f>SUMIFS($AU$3:AU561,$AB$3:AB561,"*",$AC$3:AC561,"*")</f>
        <v>7119.9999999999982</v>
      </c>
      <c r="BX560" s="87">
        <f>SUMIFS($AV$3:AV561,$Q$3:Q561,"F")</f>
        <v>397.90578243515159</v>
      </c>
      <c r="BY560" s="87">
        <f>SUMIFS($AV$3:AV561,$Q$3:Q561,"S")</f>
        <v>674.03991333429883</v>
      </c>
      <c r="BZ560" s="87">
        <f>SUMIFS($AV$3:AV561,$Q$3:Q561,"O")</f>
        <v>755.22899999970912</v>
      </c>
    </row>
    <row r="561" spans="1:78" ht="15.75" customHeight="1">
      <c r="A561" s="45" t="s">
        <v>1819</v>
      </c>
      <c r="B561" s="59">
        <v>45415</v>
      </c>
      <c r="C561" s="46" t="s">
        <v>147</v>
      </c>
      <c r="D561" s="46" t="s">
        <v>115</v>
      </c>
      <c r="E561" s="66"/>
      <c r="F561" s="47"/>
      <c r="G561" s="155" t="s">
        <v>227</v>
      </c>
      <c r="H561" s="49"/>
      <c r="I561" s="49"/>
      <c r="J561" s="49"/>
      <c r="K561" s="50"/>
      <c r="L561" s="49"/>
      <c r="M561" s="49">
        <v>3</v>
      </c>
      <c r="N561" s="49"/>
      <c r="O561" s="50" t="s">
        <v>100</v>
      </c>
      <c r="P561" s="50" t="s">
        <v>101</v>
      </c>
      <c r="Q561" s="50" t="s">
        <v>102</v>
      </c>
      <c r="R561" s="50">
        <v>75</v>
      </c>
      <c r="S561" s="161">
        <v>0</v>
      </c>
      <c r="T561" s="50">
        <v>75</v>
      </c>
      <c r="U561" s="50" t="s">
        <v>22</v>
      </c>
      <c r="V561" s="50"/>
      <c r="W561" s="50"/>
      <c r="X561" s="50"/>
      <c r="Y561" s="51">
        <f>IF(ISBLANK(O561),"",(IF(O561=UPPER("IB"),0.005,0.01)))</f>
        <v>0.01</v>
      </c>
      <c r="Z561" s="52">
        <f>IF(ISBLANK(O561),"",IF(O561="IB",8.63*200,IF(O561="IR",16*100,IF(O561="YT",20*100,IF(O561="YT-XT",24*200,IF(O561="TED",80*100,IF(O561="XT",29*200)))))))</f>
        <v>1600</v>
      </c>
      <c r="AA561" s="52" t="s">
        <v>1859</v>
      </c>
      <c r="AB561" s="52"/>
      <c r="AC561" s="52"/>
      <c r="AD561" s="231">
        <v>-0.04</v>
      </c>
      <c r="AE561" s="49"/>
      <c r="AF561" s="84"/>
      <c r="AG561" s="49"/>
      <c r="AH561" s="49"/>
      <c r="AI561" s="49"/>
      <c r="AJ561" s="226"/>
      <c r="AK561" s="49"/>
      <c r="AL561" s="113">
        <f t="shared" si="248"/>
        <v>-32</v>
      </c>
      <c r="AM561" s="113">
        <f t="shared" si="247"/>
        <v>-2400</v>
      </c>
      <c r="AN561" s="218"/>
      <c r="AO561" s="49"/>
      <c r="AP561" s="49" t="s">
        <v>165</v>
      </c>
      <c r="AQ561" s="84" t="s">
        <v>142</v>
      </c>
      <c r="AR561" s="49" t="s">
        <v>1579</v>
      </c>
      <c r="AS561" s="55">
        <v>-0.03</v>
      </c>
      <c r="AT561" s="55">
        <f>IF(ISBLANK(AS561),,IF(U561="S",AD561-AS561,AS561-AD561))</f>
        <v>1.0000000000000002E-2</v>
      </c>
      <c r="AU561" s="54">
        <f>AV561*R561</f>
        <v>1200.0000000000002</v>
      </c>
      <c r="AV561" s="56">
        <f t="shared" ref="AV561:AV563" si="253">IF(ISBLANK(AS561),,(AT561*Z561))</f>
        <v>16.000000000000004</v>
      </c>
      <c r="AW561" s="57" t="s">
        <v>101</v>
      </c>
      <c r="AX561" s="153"/>
      <c r="AY561" s="153"/>
      <c r="AZ561" s="153"/>
      <c r="BA561" s="153"/>
      <c r="BB561" s="153"/>
      <c r="BC561" s="153"/>
      <c r="BD561" s="151"/>
      <c r="BE561" s="152"/>
      <c r="BF561" s="151"/>
      <c r="BG561" s="94">
        <f>SUM($AV$4:AV561)</f>
        <v>3775.1746957691648</v>
      </c>
      <c r="BH561" s="95">
        <f>SUM($AU$4:AU561)</f>
        <v>51110.687142856506</v>
      </c>
      <c r="BI561" s="80">
        <f>SUMIFS($AU$3:AU562,$Q$3:Q562,"F")</f>
        <v>25718.457142857143</v>
      </c>
      <c r="BJ561" s="80">
        <f>SUMIFS($AU$3:AU562,$Q$3:Q562,"S")</f>
        <v>22527.999999999996</v>
      </c>
      <c r="BK561" s="87">
        <f>SUMIFS($AU$3:AU562,$P$3:P562,"W")</f>
        <v>35167.637142857486</v>
      </c>
      <c r="BL561" s="87">
        <f>SUMIFS($AU$3:AU562,$P$3:P562,"R")</f>
        <v>15325.999999999862</v>
      </c>
      <c r="BM561" s="87">
        <f>SUMIFS($AU$3:AU562,$AQ$3:AQ562,"M")</f>
        <v>9109.3799999992098</v>
      </c>
      <c r="BN561" s="87">
        <f>SUMIFS($AU$3:AU562,$AQ$3:AQ562,"H")</f>
        <v>16087.200000000283</v>
      </c>
      <c r="BO561" s="87">
        <f>SUMIFS($AU$3:AU562,$AQ$3:AQ562,"D")</f>
        <v>14345.507142857021</v>
      </c>
      <c r="BP561" s="87">
        <f>SUMIFS($AS$3:AS1317,$AO$3:AO1317,"W")</f>
        <v>0</v>
      </c>
      <c r="BQ561" s="87">
        <f>SUMIFS($AU$3:AU562,$Q$3:Q562,"O")</f>
        <v>2720.2299999993738</v>
      </c>
      <c r="BR561" s="87">
        <f>SUMIFS($AU$3:AU562,$AA$3:AA562,"*")</f>
        <v>38929.799999999392</v>
      </c>
      <c r="BS561" s="87">
        <f>SUMIFS($AU$3:AU562,$AB$3:AB562,"*")</f>
        <v>11794.829999999794</v>
      </c>
      <c r="BT561" s="87">
        <f>SUMIFS($AU$3:AU562,$AC$3:AC562,"*")</f>
        <v>28838.45714285714</v>
      </c>
      <c r="BU561" s="87">
        <f>SUMIFS($AU$3:AU562,$AA$3:AA562,"*",$AB$3:AB562,"*")</f>
        <v>5807.9999999998217</v>
      </c>
      <c r="BV561" s="87">
        <f>SUMIFS($AU$3:AU562,$AA$3:AA562,"*",$AC$3:AC562,"*")</f>
        <v>17524.400000000001</v>
      </c>
      <c r="BW561" s="87">
        <f>SUMIFS($AU$3:AU562,$AB$3:AB562,"*",$AC$3:AC562,"*")</f>
        <v>7119.9999999999982</v>
      </c>
      <c r="BX561" s="87">
        <f>SUMIFS($AV$3:AV562,$Q$3:Q562,"F")</f>
        <v>397.90578243515159</v>
      </c>
      <c r="BY561" s="87">
        <f>SUMIFS($AV$3:AV562,$Q$3:Q562,"S")</f>
        <v>706.03991333429883</v>
      </c>
      <c r="BZ561" s="87">
        <f>SUMIFS($AV$3:AV562,$Q$3:Q562,"O")</f>
        <v>755.22899999970912</v>
      </c>
    </row>
    <row r="562" spans="1:78" ht="15.75" customHeight="1">
      <c r="A562" s="45" t="s">
        <v>1819</v>
      </c>
      <c r="B562" s="59">
        <v>45415</v>
      </c>
      <c r="C562" s="46" t="s">
        <v>147</v>
      </c>
      <c r="D562" s="46" t="s">
        <v>115</v>
      </c>
      <c r="E562" s="66"/>
      <c r="F562" s="47"/>
      <c r="G562" s="155" t="s">
        <v>227</v>
      </c>
      <c r="H562" s="49"/>
      <c r="I562" s="49"/>
      <c r="J562" s="49"/>
      <c r="K562" s="50"/>
      <c r="L562" s="49"/>
      <c r="M562" s="49">
        <v>3</v>
      </c>
      <c r="N562" s="49"/>
      <c r="O562" s="50" t="s">
        <v>100</v>
      </c>
      <c r="P562" s="50" t="s">
        <v>101</v>
      </c>
      <c r="Q562" s="50" t="s">
        <v>102</v>
      </c>
      <c r="R562" s="50">
        <v>40</v>
      </c>
      <c r="S562" s="161">
        <v>40</v>
      </c>
      <c r="T562" s="50">
        <v>40</v>
      </c>
      <c r="U562" s="50" t="s">
        <v>22</v>
      </c>
      <c r="V562" s="50"/>
      <c r="W562" s="50"/>
      <c r="X562" s="50"/>
      <c r="Y562" s="51">
        <f>IF(ISBLANK(O562),"",(IF(O562=UPPER("IB"),0.005,0.01)))</f>
        <v>0.01</v>
      </c>
      <c r="Z562" s="52">
        <f>IF(ISBLANK(O562),"",IF(O562="IB",8.63*200,IF(O562="IR",16*100,IF(O562="YT",20*100,IF(O562="YT-XT",24*200,IF(O562="TED",80*100,IF(O562="XT",29*200)))))))</f>
        <v>1600</v>
      </c>
      <c r="AA562" s="52" t="s">
        <v>1862</v>
      </c>
      <c r="AB562" s="52"/>
      <c r="AC562" s="52" t="s">
        <v>1863</v>
      </c>
      <c r="AD562" s="231">
        <v>-0.05</v>
      </c>
      <c r="AE562" s="49"/>
      <c r="AF562" s="84"/>
      <c r="AG562" s="49"/>
      <c r="AH562" s="49"/>
      <c r="AI562" s="49"/>
      <c r="AJ562" s="226"/>
      <c r="AK562" s="49"/>
      <c r="AL562" s="113">
        <f t="shared" si="248"/>
        <v>-32</v>
      </c>
      <c r="AM562" s="113">
        <f t="shared" si="247"/>
        <v>0</v>
      </c>
      <c r="AN562" s="218"/>
      <c r="AO562" s="49"/>
      <c r="AP562" s="49"/>
      <c r="AQ562" s="84" t="s">
        <v>142</v>
      </c>
      <c r="AR562" s="49" t="s">
        <v>1411</v>
      </c>
      <c r="AS562" s="55">
        <v>-0.03</v>
      </c>
      <c r="AT562" s="55">
        <f>IF(ISBLANK(AS562),,IF(U562="S",AD562-AS562,AS562-AD562))</f>
        <v>2.0000000000000004E-2</v>
      </c>
      <c r="AU562" s="54">
        <f>AV562*R562</f>
        <v>1280.0000000000002</v>
      </c>
      <c r="AV562" s="56">
        <f t="shared" si="253"/>
        <v>32.000000000000007</v>
      </c>
      <c r="AW562" s="57" t="s">
        <v>101</v>
      </c>
      <c r="AX562" s="153" t="s">
        <v>1861</v>
      </c>
      <c r="AY562" s="153"/>
      <c r="AZ562" s="153"/>
      <c r="BA562" s="153"/>
      <c r="BB562" s="153"/>
      <c r="BC562" s="153"/>
      <c r="BD562" s="151"/>
      <c r="BE562" s="152"/>
      <c r="BF562" s="151"/>
      <c r="BG562" s="94">
        <f>SUM($AV$4:AV562)</f>
        <v>3807.1746957691648</v>
      </c>
      <c r="BH562" s="95">
        <f>SUM($AU$4:AU562)</f>
        <v>52390.687142856506</v>
      </c>
      <c r="BI562" s="80">
        <f>SUMIFS($AU$3:AU563,$Q$3:Q563,"F")</f>
        <v>25718.457142857143</v>
      </c>
      <c r="BJ562" s="80">
        <f>SUMIFS($AU$3:AU563,$Q$3:Q563,"S")</f>
        <v>23728</v>
      </c>
      <c r="BK562" s="87">
        <f>SUMIFS($AU$3:AU563,$P$3:P563,"W")</f>
        <v>36367.637142857486</v>
      </c>
      <c r="BL562" s="87">
        <f>SUMIFS($AU$3:AU563,$P$3:P563,"R")</f>
        <v>15325.999999999862</v>
      </c>
      <c r="BM562" s="87">
        <f>SUMIFS($AU$3:AU563,$AQ$3:AQ563,"M")</f>
        <v>9109.3799999992098</v>
      </c>
      <c r="BN562" s="87">
        <f>SUMIFS($AU$3:AU563,$AQ$3:AQ563,"H")</f>
        <v>17287.200000000284</v>
      </c>
      <c r="BO562" s="87">
        <f>SUMIFS($AU$3:AU563,$AQ$3:AQ563,"D")</f>
        <v>14345.507142857021</v>
      </c>
      <c r="BP562" s="87">
        <f>SUMIFS($AS$3:AS1318,$AO$3:AO1318,"W")</f>
        <v>0</v>
      </c>
      <c r="BQ562" s="87">
        <f>SUMIFS($AU$3:AU563,$Q$3:Q563,"O")</f>
        <v>2720.2299999993738</v>
      </c>
      <c r="BR562" s="87">
        <f>SUMIFS($AU$3:AU563,$AA$3:AA563,"*")</f>
        <v>40129.799999999392</v>
      </c>
      <c r="BS562" s="87">
        <f>SUMIFS($AU$3:AU563,$AB$3:AB563,"*")</f>
        <v>11794.829999999794</v>
      </c>
      <c r="BT562" s="87">
        <f>SUMIFS($AU$3:AU563,$AC$3:AC563,"*")</f>
        <v>28838.45714285714</v>
      </c>
      <c r="BU562" s="87">
        <f>SUMIFS($AU$3:AU563,$AA$3:AA563,"*",$AB$3:AB563,"*")</f>
        <v>5807.9999999998217</v>
      </c>
      <c r="BV562" s="87">
        <f>SUMIFS($AU$3:AU563,$AA$3:AA563,"*",$AC$3:AC563,"*")</f>
        <v>17524.400000000001</v>
      </c>
      <c r="BW562" s="87">
        <f>SUMIFS($AU$3:AU563,$AB$3:AB563,"*",$AC$3:AC563,"*")</f>
        <v>7119.9999999999982</v>
      </c>
      <c r="BX562" s="87">
        <f>SUMIFS($AV$3:AV563,$Q$3:Q563,"F")</f>
        <v>397.90578243515159</v>
      </c>
      <c r="BY562" s="87">
        <f>SUMIFS($AV$3:AV563,$Q$3:Q563,"S")</f>
        <v>732.70658000096557</v>
      </c>
      <c r="BZ562" s="87">
        <f>SUMIFS($AV$3:AV563,$Q$3:Q563,"O")</f>
        <v>755.22899999970912</v>
      </c>
    </row>
    <row r="563" spans="1:78" ht="15.75" customHeight="1">
      <c r="A563" s="45" t="s">
        <v>1819</v>
      </c>
      <c r="B563" s="59">
        <v>45415</v>
      </c>
      <c r="C563" s="46" t="s">
        <v>147</v>
      </c>
      <c r="D563" s="46" t="s">
        <v>115</v>
      </c>
      <c r="E563" s="66"/>
      <c r="F563" s="47"/>
      <c r="G563" s="155" t="s">
        <v>466</v>
      </c>
      <c r="H563" s="49"/>
      <c r="I563" s="49"/>
      <c r="J563" s="49"/>
      <c r="K563" s="50"/>
      <c r="L563" s="49"/>
      <c r="M563" s="49">
        <v>3</v>
      </c>
      <c r="N563" s="49"/>
      <c r="O563" s="50" t="s">
        <v>100</v>
      </c>
      <c r="P563" s="50" t="s">
        <v>101</v>
      </c>
      <c r="Q563" s="50" t="s">
        <v>102</v>
      </c>
      <c r="R563" s="50">
        <v>45</v>
      </c>
      <c r="S563" s="161">
        <v>15</v>
      </c>
      <c r="T563" s="50">
        <v>45</v>
      </c>
      <c r="U563" s="50" t="s">
        <v>22</v>
      </c>
      <c r="V563" s="50"/>
      <c r="W563" s="50"/>
      <c r="X563" s="50"/>
      <c r="Y563" s="51">
        <f>IF(ISBLANK(O563),"",(IF(O563=UPPER("IB"),0.005,0.01)))</f>
        <v>0.01</v>
      </c>
      <c r="Z563" s="52">
        <f>IF(ISBLANK(O563),"",IF(O563="IB",8.63*200,IF(O563="IR",16*100,IF(O563="YT",20*100,IF(O563="YT-XT",24*200,IF(O563="TED",80*100,IF(O563="XT",29*200)))))))</f>
        <v>1600</v>
      </c>
      <c r="AA563" s="52" t="s">
        <v>1859</v>
      </c>
      <c r="AB563" s="52"/>
      <c r="AC563" s="52"/>
      <c r="AD563" s="231">
        <v>-0.14000000000000001</v>
      </c>
      <c r="AE563" s="49"/>
      <c r="AF563" s="84"/>
      <c r="AG563" s="49"/>
      <c r="AH563" s="49"/>
      <c r="AI563" s="49"/>
      <c r="AJ563" s="226"/>
      <c r="AK563" s="49"/>
      <c r="AL563" s="113">
        <f t="shared" si="246"/>
        <v>-32</v>
      </c>
      <c r="AM563" s="113">
        <f t="shared" si="247"/>
        <v>-960</v>
      </c>
      <c r="AN563" s="218"/>
      <c r="AO563" s="49"/>
      <c r="AP563" s="49" t="s">
        <v>165</v>
      </c>
      <c r="AQ563" s="84" t="s">
        <v>142</v>
      </c>
      <c r="AR563" s="49" t="s">
        <v>1864</v>
      </c>
      <c r="AS563" s="55">
        <f>((-0.13*15)+(-0.12*30))/45</f>
        <v>-0.12333333333333332</v>
      </c>
      <c r="AT563" s="55">
        <f>IF(ISBLANK(AS563),,IF(U563="S",AD563-AS563,AS563-AD563))</f>
        <v>1.6666666666666691E-2</v>
      </c>
      <c r="AU563" s="54">
        <f>AV563*R563</f>
        <v>1200.0000000000018</v>
      </c>
      <c r="AV563" s="56">
        <f t="shared" si="253"/>
        <v>26.666666666666707</v>
      </c>
      <c r="AW563" s="57" t="s">
        <v>101</v>
      </c>
      <c r="AX563" s="153" t="s">
        <v>1861</v>
      </c>
      <c r="AY563" s="153"/>
      <c r="AZ563" s="153" t="s">
        <v>1865</v>
      </c>
      <c r="BA563" s="153" t="s">
        <v>1866</v>
      </c>
      <c r="BB563" s="153" t="s">
        <v>1867</v>
      </c>
      <c r="BC563" s="153"/>
      <c r="BD563" s="151"/>
      <c r="BE563" s="152"/>
      <c r="BF563" s="151"/>
      <c r="BG563" s="94">
        <f>SUM($AV$4:AV563)</f>
        <v>3833.8413624358313</v>
      </c>
      <c r="BH563" s="95">
        <f>SUM($AU$4:AU563)</f>
        <v>53590.687142856506</v>
      </c>
      <c r="BI563" s="80">
        <f>SUMIFS($AU$3:AU1090,$Q$3:Q1090,"F")</f>
        <v>27302.758121878131</v>
      </c>
      <c r="BJ563" s="80">
        <f>SUMIFS($AU$3:AU1090,$Q$3:Q1090,"S")</f>
        <v>16018.285714285717</v>
      </c>
      <c r="BK563" s="87">
        <f>SUMIFS($AU$3:AU1090,$P$3:P1090,"W")</f>
        <v>14725.423836163412</v>
      </c>
      <c r="BL563" s="87">
        <f>SUMIFS($AU$3:AU1090,$P$3:P1090,"R")</f>
        <v>20606.800000000316</v>
      </c>
      <c r="BM563" s="87">
        <f>SUMIFS($AU$3:AU1090,$AQ$3:AQ1090,"M")</f>
        <v>9430.1799999983141</v>
      </c>
      <c r="BN563" s="87">
        <f>SUMIFS($AU$3:AU1090,$AQ$3:AQ1090,"H")</f>
        <v>13147.200000000877</v>
      </c>
      <c r="BO563" s="87">
        <f>SUMIFS($AU$3:AU1090,$AQ$3:AQ1090,"D")</f>
        <v>7291.5774725271494</v>
      </c>
      <c r="BP563" s="87">
        <f>SUMIFS($AS$3:AS1319,$AO$3:AO1319,"W")</f>
        <v>0</v>
      </c>
      <c r="BQ563" s="87">
        <f>SUMIFS($AU$3:AU1090,$Q$3:Q1090,"O")</f>
        <v>-9935.1400000008871</v>
      </c>
      <c r="BR563" s="87">
        <f>SUMIFS($AU$3:AU1090,$AA$3:AA1090,"*")</f>
        <v>34559.002077921141</v>
      </c>
      <c r="BS563" s="87">
        <f>SUMIFS($AU$3:AU1090,$AB$3:AB1090,"*")</f>
        <v>7433.8599999997632</v>
      </c>
      <c r="BT563" s="87">
        <f>SUMIFS($AU$3:AU1090,$AC$3:AC1090,"*")</f>
        <v>28192.358121878111</v>
      </c>
      <c r="BU563" s="87">
        <f>SUMIFS($AU$3:AU1090,$AA$3:AA1090,"*",$AB$3:AB1090,"*")</f>
        <v>7493.9999999995462</v>
      </c>
      <c r="BV563" s="87">
        <f>SUMIFS($AU$3:AU1090,$AA$3:AA1090,"*",$AC$3:AC1090,"*")</f>
        <v>25997.316363636532</v>
      </c>
      <c r="BW563" s="87">
        <f>SUMIFS($AU$3:AU1090,$AB$3:AB1090,"*",$AC$3:AC1090,"*")</f>
        <v>3851.199999999998</v>
      </c>
      <c r="BX563" s="87">
        <f>SUMIFS($AV$3:AV1090,$Q$3:Q1090,"F")</f>
        <v>369.34537697889471</v>
      </c>
      <c r="BY563" s="87">
        <f>SUMIFS($AV$3:AV1090,$Q$3:Q1090,"S")</f>
        <v>676.67714277152845</v>
      </c>
      <c r="BZ563" s="87">
        <f>SUMIFS($AV$3:AV1090,$Q$3:Q1090,"O")</f>
        <v>326.96596666624367</v>
      </c>
    </row>
    <row r="564" spans="1:78" ht="15.75" customHeight="1">
      <c r="A564" s="45" t="s">
        <v>1819</v>
      </c>
      <c r="B564" s="59">
        <v>45415</v>
      </c>
      <c r="C564" s="46" t="s">
        <v>1160</v>
      </c>
      <c r="D564" s="46" t="s">
        <v>115</v>
      </c>
      <c r="E564" s="66" t="s">
        <v>1868</v>
      </c>
      <c r="F564" s="47" t="s">
        <v>1869</v>
      </c>
      <c r="G564" s="48"/>
      <c r="H564" s="49"/>
      <c r="I564" s="49"/>
      <c r="J564" s="49">
        <v>1</v>
      </c>
      <c r="K564" s="50" t="s">
        <v>155</v>
      </c>
      <c r="L564" s="49"/>
      <c r="M564" s="49"/>
      <c r="N564" s="49"/>
      <c r="O564" s="50"/>
      <c r="P564" s="50"/>
      <c r="Q564" s="50"/>
      <c r="R564" s="50"/>
      <c r="S564" s="50"/>
      <c r="T564" s="50"/>
      <c r="U564" s="50"/>
      <c r="V564" s="50"/>
      <c r="W564" s="50"/>
      <c r="X564" s="50"/>
      <c r="Y564" s="50"/>
      <c r="Z564" s="50"/>
      <c r="AA564" s="52"/>
      <c r="AB564" s="52"/>
      <c r="AC564" s="52"/>
      <c r="AD564" s="231"/>
      <c r="AE564" s="49"/>
      <c r="AF564" s="84"/>
      <c r="AG564" s="49"/>
      <c r="AH564" s="49"/>
      <c r="AI564" s="49"/>
      <c r="AJ564" s="226"/>
      <c r="AK564" s="49"/>
      <c r="AL564" s="113">
        <f t="shared" si="246"/>
        <v>0</v>
      </c>
      <c r="AM564" s="113">
        <f t="shared" si="247"/>
        <v>0</v>
      </c>
      <c r="AN564" s="218"/>
      <c r="AO564" s="49"/>
      <c r="AP564" s="49"/>
      <c r="AQ564" s="84" t="str">
        <f>UPPER(RIGHT(Journal_Live[[#This Row],[DURATION ]]))</f>
        <v/>
      </c>
      <c r="AR564" s="49"/>
      <c r="AS564" s="55"/>
      <c r="AT564" s="55"/>
      <c r="AU564" s="54"/>
      <c r="AV564" s="56"/>
      <c r="AW564" s="57"/>
      <c r="AX564" s="153"/>
      <c r="AY564" s="153"/>
      <c r="AZ564" s="153"/>
      <c r="BA564" s="153"/>
      <c r="BB564" s="153"/>
      <c r="BC564" s="153"/>
      <c r="BD564" s="151"/>
      <c r="BE564" s="152"/>
      <c r="BF564" s="151"/>
      <c r="BG564" s="94">
        <f>SUM($AV$4:AV564)</f>
        <v>3833.8413624358313</v>
      </c>
      <c r="BH564" s="95">
        <f>SUM($AU$4:AU564)</f>
        <v>53590.687142856506</v>
      </c>
      <c r="BI564" s="80">
        <f>SUMIFS($AU$3:AU565,$Q$3:Q565,"F")</f>
        <v>25718.457142857143</v>
      </c>
      <c r="BJ564" s="80">
        <f>SUMIFS($AU$3:AU565,$Q$3:Q565,"S")</f>
        <v>23728</v>
      </c>
      <c r="BK564" s="87">
        <f>SUMIFS($AU$3:AU565,$P$3:P565,"W")</f>
        <v>36367.637142857486</v>
      </c>
      <c r="BL564" s="87">
        <f>SUMIFS($AU$3:AU565,$P$3:P565,"R")</f>
        <v>15325.999999999862</v>
      </c>
      <c r="BM564" s="87">
        <f>SUMIFS($AU$3:AU565,$AQ$3:AQ565,"M")</f>
        <v>9109.3799999992098</v>
      </c>
      <c r="BN564" s="87">
        <f>SUMIFS($AU$3:AU565,$AQ$3:AQ565,"H")</f>
        <v>17287.200000000284</v>
      </c>
      <c r="BO564" s="87">
        <f>SUMIFS($AU$3:AU565,$AQ$3:AQ565,"D")</f>
        <v>14345.507142857021</v>
      </c>
      <c r="BP564" s="87">
        <f>SUMIFS($AS$3:AS1306,$AO$3:AO1306,"W")</f>
        <v>0</v>
      </c>
      <c r="BQ564" s="87">
        <f>SUMIFS($AU$3:AU565,$Q$3:Q565,"O")</f>
        <v>2720.2299999993738</v>
      </c>
      <c r="BR564" s="87">
        <f>SUMIFS($AU$3:AU565,$AA$3:AA565,"*")</f>
        <v>40129.799999999392</v>
      </c>
      <c r="BS564" s="87">
        <f>SUMIFS($AU$3:AU565,$AB$3:AB565,"*")</f>
        <v>11794.829999999794</v>
      </c>
      <c r="BT564" s="87">
        <f>SUMIFS($AU$3:AU565,$AC$3:AC565,"*")</f>
        <v>28838.45714285714</v>
      </c>
      <c r="BU564" s="87">
        <f>SUMIFS($AU$3:AU565,$AA$3:AA565,"*",$AB$3:AB565,"*")</f>
        <v>5807.9999999998217</v>
      </c>
      <c r="BV564" s="87">
        <f>SUMIFS($AU$3:AU565,$AA$3:AA565,"*",$AC$3:AC565,"*")</f>
        <v>17524.400000000001</v>
      </c>
      <c r="BW564" s="87">
        <f>SUMIFS($AU$3:AU565,$AB$3:AB565,"*",$AC$3:AC565,"*")</f>
        <v>7119.9999999999982</v>
      </c>
      <c r="BX564" s="87">
        <f>SUMIFS($AV$3:AV565,$Q$3:Q565,"F")</f>
        <v>397.90578243515159</v>
      </c>
      <c r="BY564" s="87">
        <f>SUMIFS($AV$3:AV565,$Q$3:Q565,"S")</f>
        <v>732.70658000096557</v>
      </c>
      <c r="BZ564" s="87">
        <f>SUMIFS($AV$3:AV565,$Q$3:Q565,"O")</f>
        <v>755.22899999970912</v>
      </c>
    </row>
    <row r="565" spans="1:78" ht="15.75" customHeight="1">
      <c r="A565" s="45" t="s">
        <v>1819</v>
      </c>
      <c r="B565" s="59"/>
      <c r="C565" s="46"/>
      <c r="D565" s="46"/>
      <c r="E565" s="66" t="s">
        <v>1870</v>
      </c>
      <c r="F565" s="47" t="s">
        <v>1871</v>
      </c>
      <c r="G565" s="48"/>
      <c r="H565" s="49">
        <v>1</v>
      </c>
      <c r="I565" s="49"/>
      <c r="J565" s="49"/>
      <c r="K565" s="50" t="s">
        <v>142</v>
      </c>
      <c r="L565" s="49"/>
      <c r="M565" s="49"/>
      <c r="N565" s="49"/>
      <c r="O565" s="50"/>
      <c r="P565" s="50"/>
      <c r="Q565" s="50"/>
      <c r="R565" s="50"/>
      <c r="S565" s="50"/>
      <c r="T565" s="50"/>
      <c r="U565" s="50"/>
      <c r="V565" s="50"/>
      <c r="W565" s="50"/>
      <c r="X565" s="50"/>
      <c r="Y565" s="50"/>
      <c r="Z565" s="50"/>
      <c r="AA565" s="52"/>
      <c r="AB565" s="52"/>
      <c r="AC565" s="52"/>
      <c r="AD565" s="231"/>
      <c r="AE565" s="49"/>
      <c r="AF565" s="84"/>
      <c r="AG565" s="49"/>
      <c r="AH565" s="49"/>
      <c r="AI565" s="49"/>
      <c r="AJ565" s="226"/>
      <c r="AK565" s="49"/>
      <c r="AL565" s="113">
        <f t="shared" si="246"/>
        <v>0</v>
      </c>
      <c r="AM565" s="113">
        <f t="shared" si="247"/>
        <v>0</v>
      </c>
      <c r="AN565" s="218"/>
      <c r="AO565" s="49"/>
      <c r="AP565" s="49"/>
      <c r="AQ565" s="84" t="str">
        <f>UPPER(RIGHT(Journal_Live[[#This Row],[DURATION ]]))</f>
        <v/>
      </c>
      <c r="AR565" s="49"/>
      <c r="AS565" s="55"/>
      <c r="AT565" s="55"/>
      <c r="AU565" s="54"/>
      <c r="AV565" s="56"/>
      <c r="AW565" s="57"/>
      <c r="AX565" s="153" t="s">
        <v>1872</v>
      </c>
      <c r="AY565" s="153" t="s">
        <v>1873</v>
      </c>
      <c r="AZ565" s="153" t="s">
        <v>1874</v>
      </c>
      <c r="BA565" s="153" t="s">
        <v>1875</v>
      </c>
      <c r="BB565" s="153" t="s">
        <v>1876</v>
      </c>
      <c r="BC565" s="153" t="s">
        <v>1877</v>
      </c>
      <c r="BD565" s="151"/>
      <c r="BE565" s="152"/>
      <c r="BF565" s="151"/>
      <c r="BG565" s="94">
        <f>SUM($AV$4:AV565)</f>
        <v>3833.8413624358313</v>
      </c>
      <c r="BH565" s="95">
        <f>SUM($AU$4:AU565)</f>
        <v>53590.687142856506</v>
      </c>
      <c r="BI565" s="80">
        <f>SUMIFS($AU$3:AU566,$Q$3:Q566,"F")</f>
        <v>25718.457142857143</v>
      </c>
      <c r="BJ565" s="80">
        <f>SUMIFS($AU$3:AU566,$Q$3:Q566,"S")</f>
        <v>23728</v>
      </c>
      <c r="BK565" s="87">
        <f>SUMIFS($AU$3:AU566,$P$3:P566,"W")</f>
        <v>36367.637142857486</v>
      </c>
      <c r="BL565" s="87">
        <f>SUMIFS($AU$3:AU566,$P$3:P566,"R")</f>
        <v>15325.999999999862</v>
      </c>
      <c r="BM565" s="87">
        <f>SUMIFS($AU$3:AU566,$AQ$3:AQ566,"M")</f>
        <v>8993.3799999992334</v>
      </c>
      <c r="BN565" s="87">
        <f>SUMIFS($AU$3:AU566,$AQ$3:AQ566,"H")</f>
        <v>17287.200000000284</v>
      </c>
      <c r="BO565" s="87">
        <f>SUMIFS($AU$3:AU566,$AQ$3:AQ566,"D")</f>
        <v>14345.507142857021</v>
      </c>
      <c r="BP565" s="87">
        <f>SUMIFS($AS$3:AS1307,$AO$3:AO1307,"W")</f>
        <v>0</v>
      </c>
      <c r="BQ565" s="87">
        <f>SUMIFS($AU$3:AU566,$Q$3:Q566,"O")</f>
        <v>2604.229999999397</v>
      </c>
      <c r="BR565" s="87">
        <f>SUMIFS($AU$3:AU566,$AA$3:AA566,"*")</f>
        <v>40013.799999999414</v>
      </c>
      <c r="BS565" s="87">
        <f>SUMIFS($AU$3:AU566,$AB$3:AB566,"*")</f>
        <v>11794.829999999794</v>
      </c>
      <c r="BT565" s="87">
        <f>SUMIFS($AU$3:AU566,$AC$3:AC566,"*")</f>
        <v>28838.45714285714</v>
      </c>
      <c r="BU565" s="87">
        <f>SUMIFS($AU$3:AU566,$AA$3:AA566,"*",$AB$3:AB566,"*")</f>
        <v>5807.9999999998217</v>
      </c>
      <c r="BV565" s="87">
        <f>SUMIFS($AU$3:AU566,$AA$3:AA566,"*",$AC$3:AC566,"*")</f>
        <v>17524.400000000001</v>
      </c>
      <c r="BW565" s="87">
        <f>SUMIFS($AU$3:AU566,$AB$3:AB566,"*",$AC$3:AC566,"*")</f>
        <v>7119.9999999999982</v>
      </c>
      <c r="BX565" s="87">
        <f>SUMIFS($AV$3:AV566,$Q$3:Q566,"F")</f>
        <v>397.90578243515159</v>
      </c>
      <c r="BY565" s="87">
        <f>SUMIFS($AV$3:AV566,$Q$3:Q566,"S")</f>
        <v>732.70658000096557</v>
      </c>
      <c r="BZ565" s="87">
        <f>SUMIFS($AV$3:AV566,$Q$3:Q566,"O")</f>
        <v>639.2289999997322</v>
      </c>
    </row>
    <row r="566" spans="1:78" ht="15.75" customHeight="1">
      <c r="A566" s="45" t="s">
        <v>1819</v>
      </c>
      <c r="B566" s="59">
        <v>45415</v>
      </c>
      <c r="C566" s="46" t="s">
        <v>147</v>
      </c>
      <c r="D566" s="46" t="s">
        <v>115</v>
      </c>
      <c r="E566" s="66"/>
      <c r="F566" s="47"/>
      <c r="G566" s="48" t="s">
        <v>1169</v>
      </c>
      <c r="H566" s="49"/>
      <c r="I566" s="49"/>
      <c r="J566" s="49"/>
      <c r="K566" s="50"/>
      <c r="L566" s="49">
        <v>3</v>
      </c>
      <c r="M566" s="49"/>
      <c r="N566" s="49"/>
      <c r="O566" s="50" t="s">
        <v>196</v>
      </c>
      <c r="P566" s="50" t="s">
        <v>197</v>
      </c>
      <c r="Q566" s="50" t="s">
        <v>198</v>
      </c>
      <c r="R566" s="50">
        <v>1</v>
      </c>
      <c r="S566" s="50">
        <v>0</v>
      </c>
      <c r="T566" s="50">
        <v>1</v>
      </c>
      <c r="U566" s="50" t="s">
        <v>22</v>
      </c>
      <c r="V566" s="50"/>
      <c r="W566" s="50"/>
      <c r="X566" s="50"/>
      <c r="Y566" s="51">
        <f>IF(ISBLANK(O566),"",(IF(O566=UPPER("IB"),0.005,0.01)))</f>
        <v>0.01</v>
      </c>
      <c r="Z566" s="52">
        <f>IF(ISBLANK(O566),"",IF(O566="IB",8.63*200,IF(O566="IR",16*100,IF(O566="YT",20*100,IF(O566="YT-XT",24*200,IF(O566="TED",80*100,IF(O566="XT",29*200)))))))</f>
        <v>5800</v>
      </c>
      <c r="AA566" s="52" t="s">
        <v>908</v>
      </c>
      <c r="AB566" s="52"/>
      <c r="AC566" s="52"/>
      <c r="AD566" s="231">
        <v>95.625</v>
      </c>
      <c r="AE566" s="49"/>
      <c r="AF566" s="84"/>
      <c r="AG566" s="49"/>
      <c r="AH566" s="49"/>
      <c r="AI566" s="49"/>
      <c r="AJ566" s="226"/>
      <c r="AK566" s="49"/>
      <c r="AL566" s="113">
        <f t="shared" si="246"/>
        <v>-116</v>
      </c>
      <c r="AM566" s="113">
        <f t="shared" si="247"/>
        <v>-116</v>
      </c>
      <c r="AN566" s="218"/>
      <c r="AO566" s="49"/>
      <c r="AP566" s="49"/>
      <c r="AQ566" s="84" t="s">
        <v>350</v>
      </c>
      <c r="AR566" s="49"/>
      <c r="AS566" s="55">
        <v>95.605000000000004</v>
      </c>
      <c r="AT566" s="55">
        <f>IF(ISBLANK(AS566),,IF(U566="S",AD566-AS566,AS566-AD566))</f>
        <v>-1.9999999999996021E-2</v>
      </c>
      <c r="AU566" s="54">
        <f>AV566*R566</f>
        <v>-115.99999999997692</v>
      </c>
      <c r="AV566" s="56">
        <f t="shared" ref="AV566" si="254">IF(ISBLANK(AS566),,(AT566*Z566))</f>
        <v>-115.99999999997692</v>
      </c>
      <c r="AW566" s="57" t="s">
        <v>121</v>
      </c>
      <c r="AX566" s="153"/>
      <c r="AY566" s="153"/>
      <c r="AZ566" s="153"/>
      <c r="BA566" s="153"/>
      <c r="BB566" s="153"/>
      <c r="BC566" s="153"/>
      <c r="BD566" s="151"/>
      <c r="BE566" s="152"/>
      <c r="BF566" s="151"/>
      <c r="BG566" s="94">
        <f>SUM($AV$4:AV566)</f>
        <v>3717.8413624358545</v>
      </c>
      <c r="BH566" s="95">
        <f>SUM($AU$4:AU566)</f>
        <v>53474.687142856528</v>
      </c>
      <c r="BI566" s="80">
        <f>SUMIFS($AU$3:AU567,$Q$3:Q567,"F")</f>
        <v>25718.457142857143</v>
      </c>
      <c r="BJ566" s="80">
        <f>SUMIFS($AU$3:AU567,$Q$3:Q567,"S")</f>
        <v>23728</v>
      </c>
      <c r="BK566" s="87">
        <f>SUMIFS($AU$3:AU567,$P$3:P567,"W")</f>
        <v>36367.637142857486</v>
      </c>
      <c r="BL566" s="87">
        <f>SUMIFS($AU$3:AU567,$P$3:P567,"R")</f>
        <v>15325.999999999862</v>
      </c>
      <c r="BM566" s="87">
        <f>SUMIFS($AU$3:AU567,$AQ$3:AQ567,"M")</f>
        <v>8993.3799999992334</v>
      </c>
      <c r="BN566" s="87">
        <f>SUMIFS($AU$3:AU567,$AQ$3:AQ567,"H")</f>
        <v>17287.200000000284</v>
      </c>
      <c r="BO566" s="87">
        <f>SUMIFS($AU$3:AU567,$AQ$3:AQ567,"D")</f>
        <v>14345.507142857021</v>
      </c>
      <c r="BP566" s="87">
        <f>SUMIFS($AS$3:AS1308,$AO$3:AO1308,"W")</f>
        <v>0</v>
      </c>
      <c r="BQ566" s="87">
        <f>SUMIFS($AU$3:AU567,$Q$3:Q567,"O")</f>
        <v>2604.229999999397</v>
      </c>
      <c r="BR566" s="87">
        <f>SUMIFS($AU$3:AU567,$AA$3:AA567,"*")</f>
        <v>40013.799999999414</v>
      </c>
      <c r="BS566" s="87">
        <f>SUMIFS($AU$3:AU567,$AB$3:AB567,"*")</f>
        <v>11794.829999999794</v>
      </c>
      <c r="BT566" s="87">
        <f>SUMIFS($AU$3:AU567,$AC$3:AC567,"*")</f>
        <v>28838.45714285714</v>
      </c>
      <c r="BU566" s="87">
        <f>SUMIFS($AU$3:AU567,$AA$3:AA567,"*",$AB$3:AB567,"*")</f>
        <v>5807.9999999998217</v>
      </c>
      <c r="BV566" s="87">
        <f>SUMIFS($AU$3:AU567,$AA$3:AA567,"*",$AC$3:AC567,"*")</f>
        <v>17524.400000000001</v>
      </c>
      <c r="BW566" s="87">
        <f>SUMIFS($AU$3:AU567,$AB$3:AB567,"*",$AC$3:AC567,"*")</f>
        <v>7119.9999999999982</v>
      </c>
      <c r="BX566" s="87">
        <f>SUMIFS($AV$3:AV567,$Q$3:Q567,"F")</f>
        <v>397.90578243515159</v>
      </c>
      <c r="BY566" s="87">
        <f>SUMIFS($AV$3:AV567,$Q$3:Q567,"S")</f>
        <v>732.70658000096557</v>
      </c>
      <c r="BZ566" s="87">
        <f>SUMIFS($AV$3:AV567,$Q$3:Q567,"O")</f>
        <v>639.2289999997322</v>
      </c>
    </row>
    <row r="567" spans="1:78" ht="15.75" customHeight="1">
      <c r="A567" s="45" t="s">
        <v>1819</v>
      </c>
      <c r="B567" s="59"/>
      <c r="C567" s="46"/>
      <c r="D567" s="46"/>
      <c r="E567" s="66"/>
      <c r="F567" s="47"/>
      <c r="G567" s="48"/>
      <c r="H567" s="49"/>
      <c r="I567" s="49"/>
      <c r="J567" s="49"/>
      <c r="K567" s="50"/>
      <c r="L567" s="49"/>
      <c r="M567" s="49"/>
      <c r="N567" s="49"/>
      <c r="O567" s="50"/>
      <c r="P567" s="50"/>
      <c r="Q567" s="50"/>
      <c r="R567" s="50"/>
      <c r="S567" s="161"/>
      <c r="T567" s="50"/>
      <c r="U567" s="50"/>
      <c r="V567" s="50"/>
      <c r="W567" s="50"/>
      <c r="X567" s="50"/>
      <c r="Y567" s="51"/>
      <c r="Z567" s="52"/>
      <c r="AA567" s="52"/>
      <c r="AB567" s="52"/>
      <c r="AC567" s="52"/>
      <c r="AD567" s="231"/>
      <c r="AE567" s="49"/>
      <c r="AF567" s="84"/>
      <c r="AG567" s="49"/>
      <c r="AH567" s="49"/>
      <c r="AI567" s="49"/>
      <c r="AJ567" s="226"/>
      <c r="AK567" s="49"/>
      <c r="AL567" s="113"/>
      <c r="AM567" s="113"/>
      <c r="AN567" s="218"/>
      <c r="AO567" s="49"/>
      <c r="AP567" s="49"/>
      <c r="AQ567" s="84"/>
      <c r="AR567" s="74"/>
      <c r="AS567" s="55"/>
      <c r="AT567" s="55"/>
      <c r="AU567" s="54"/>
      <c r="AV567" s="56"/>
      <c r="AW567" s="57"/>
      <c r="AX567" s="153" t="s">
        <v>1878</v>
      </c>
      <c r="AY567" s="66" t="s">
        <v>1879</v>
      </c>
      <c r="AZ567" s="47" t="s">
        <v>707</v>
      </c>
      <c r="BA567" s="153" t="s">
        <v>1880</v>
      </c>
      <c r="BB567" s="153" t="s">
        <v>1881</v>
      </c>
      <c r="BC567" s="153" t="s">
        <v>1882</v>
      </c>
      <c r="BD567" s="151" t="s">
        <v>1883</v>
      </c>
      <c r="BE567" s="152" t="s">
        <v>1884</v>
      </c>
      <c r="BF567" s="151"/>
      <c r="BG567" s="94">
        <f>SUM($AV$4:AV567)</f>
        <v>3717.8413624358545</v>
      </c>
      <c r="BH567" s="95">
        <f>SUM($AU$4:AU567)</f>
        <v>53474.687142856528</v>
      </c>
      <c r="BI567" s="80">
        <f>SUMIFS($AU$3:AU568,$Q$3:Q568,"F")</f>
        <v>25718.457142857143</v>
      </c>
      <c r="BJ567" s="80">
        <f>SUMIFS($AU$3:AU568,$Q$3:Q568,"S")</f>
        <v>23728</v>
      </c>
      <c r="BK567" s="87">
        <f>SUMIFS($AU$3:AU568,$P$3:P568,"W")</f>
        <v>36367.637142857486</v>
      </c>
      <c r="BL567" s="87">
        <f>SUMIFS($AU$3:AU568,$P$3:P568,"R")</f>
        <v>15325.999999999862</v>
      </c>
      <c r="BM567" s="87">
        <f>SUMIFS($AU$3:AU568,$AQ$3:AQ568,"M")</f>
        <v>8993.3799999992334</v>
      </c>
      <c r="BN567" s="87">
        <f>SUMIFS($AU$3:AU568,$AQ$3:AQ568,"H")</f>
        <v>17287.200000000284</v>
      </c>
      <c r="BO567" s="87">
        <f>SUMIFS($AU$3:AU568,$AQ$3:AQ568,"D")</f>
        <v>14345.507142857021</v>
      </c>
      <c r="BP567" s="87">
        <f>SUMIFS($AS$3:AS1328,$AO$3:AO1328,"W")</f>
        <v>0</v>
      </c>
      <c r="BQ567" s="87">
        <f>SUMIFS($AU$3:AU568,$Q$3:Q568,"O")</f>
        <v>2604.229999999397</v>
      </c>
      <c r="BR567" s="87">
        <f>SUMIFS($AU$3:AU568,$AA$3:AA568,"*")</f>
        <v>40013.799999999414</v>
      </c>
      <c r="BS567" s="87">
        <f>SUMIFS($AU$3:AU568,$AB$3:AB568,"*")</f>
        <v>11794.829999999794</v>
      </c>
      <c r="BT567" s="87">
        <f>SUMIFS($AU$3:AU568,$AC$3:AC568,"*")</f>
        <v>28838.45714285714</v>
      </c>
      <c r="BU567" s="87">
        <f>SUMIFS($AU$3:AU568,$AA$3:AA568,"*",$AB$3:AB568,"*")</f>
        <v>5807.9999999998217</v>
      </c>
      <c r="BV567" s="87">
        <f>SUMIFS($AU$3:AU568,$AA$3:AA568,"*",$AC$3:AC568,"*")</f>
        <v>17524.400000000001</v>
      </c>
      <c r="BW567" s="87">
        <f>SUMIFS($AU$3:AU568,$AB$3:AB568,"*",$AC$3:AC568,"*")</f>
        <v>7119.9999999999982</v>
      </c>
      <c r="BX567" s="87">
        <f>SUMIFS($AV$3:AV568,$Q$3:Q568,"F")</f>
        <v>397.90578243515159</v>
      </c>
      <c r="BY567" s="87">
        <f>SUMIFS($AV$3:AV568,$Q$3:Q568,"S")</f>
        <v>732.70658000096557</v>
      </c>
      <c r="BZ567" s="87">
        <f>SUMIFS($AV$3:AV568,$Q$3:Q568,"O")</f>
        <v>639.2289999997322</v>
      </c>
    </row>
    <row r="568" spans="1:78" ht="15.75" customHeight="1">
      <c r="A568" s="45" t="s">
        <v>1819</v>
      </c>
      <c r="B568" s="59">
        <v>45418</v>
      </c>
      <c r="C568" s="46" t="s">
        <v>1885</v>
      </c>
      <c r="D568" s="46" t="s">
        <v>176</v>
      </c>
      <c r="E568" s="66"/>
      <c r="F568" s="47"/>
      <c r="G568" s="48" t="s">
        <v>276</v>
      </c>
      <c r="H568" s="49"/>
      <c r="I568" s="49"/>
      <c r="J568" s="49"/>
      <c r="K568" s="50"/>
      <c r="L568" s="49"/>
      <c r="M568" s="49"/>
      <c r="N568" s="49"/>
      <c r="O568" s="50"/>
      <c r="P568" s="50"/>
      <c r="Q568" s="50"/>
      <c r="R568" s="50"/>
      <c r="S568" s="161"/>
      <c r="T568" s="50"/>
      <c r="U568" s="50"/>
      <c r="V568" s="50"/>
      <c r="W568" s="50"/>
      <c r="X568" s="50"/>
      <c r="Y568" s="51"/>
      <c r="Z568" s="52"/>
      <c r="AA568" s="52"/>
      <c r="AB568" s="52"/>
      <c r="AC568" s="52"/>
      <c r="AD568" s="231"/>
      <c r="AE568" s="49"/>
      <c r="AF568" s="84"/>
      <c r="AG568" s="49"/>
      <c r="AH568" s="49"/>
      <c r="AI568" s="49"/>
      <c r="AJ568" s="226"/>
      <c r="AK568" s="49"/>
      <c r="AL568" s="113">
        <f t="shared" si="246"/>
        <v>0</v>
      </c>
      <c r="AM568" s="113">
        <f t="shared" ref="AM568:AM599" si="255">AL568*(R568-S568)</f>
        <v>0</v>
      </c>
      <c r="AN568" s="218"/>
      <c r="AO568" s="49"/>
      <c r="AP568" s="49"/>
      <c r="AQ568" s="84" t="str">
        <f>UPPER(RIGHT(Journal_Live[[#This Row],[DURATION ]]))</f>
        <v/>
      </c>
      <c r="AR568" s="49"/>
      <c r="AS568" s="55"/>
      <c r="AT568" s="55"/>
      <c r="AU568" s="54"/>
      <c r="AV568" s="56"/>
      <c r="AW568" s="57"/>
      <c r="AX568" s="153"/>
      <c r="AY568" s="153"/>
      <c r="AZ568" s="153"/>
      <c r="BA568" s="153"/>
      <c r="BB568" s="153"/>
      <c r="BC568" s="153"/>
      <c r="BD568" s="151"/>
      <c r="BE568" s="152"/>
      <c r="BF568" s="151"/>
      <c r="BG568" s="94">
        <f>SUM($AV$4:AV568)</f>
        <v>3717.8413624358545</v>
      </c>
      <c r="BH568" s="95">
        <f>SUM($AU$4:AU568)</f>
        <v>53474.687142856528</v>
      </c>
      <c r="BI568" s="80">
        <f>SUMIFS($AU$3:AU569,$Q$3:Q569,"F")</f>
        <v>25718.457142857143</v>
      </c>
      <c r="BJ568" s="80">
        <f>SUMIFS($AU$3:AU569,$Q$3:Q569,"S")</f>
        <v>23344</v>
      </c>
      <c r="BK568" s="87">
        <f>SUMIFS($AU$3:AU569,$P$3:P569,"W")</f>
        <v>35983.637142857486</v>
      </c>
      <c r="BL568" s="87">
        <f>SUMIFS($AU$3:AU569,$P$3:P569,"R")</f>
        <v>15325.999999999862</v>
      </c>
      <c r="BM568" s="87">
        <f>SUMIFS($AU$3:AU569,$AQ$3:AQ569,"M")</f>
        <v>8993.3799999992334</v>
      </c>
      <c r="BN568" s="87">
        <f>SUMIFS($AU$3:AU569,$AQ$3:AQ569,"H")</f>
        <v>17287.200000000284</v>
      </c>
      <c r="BO568" s="87">
        <f>SUMIFS($AU$3:AU569,$AQ$3:AQ569,"D")</f>
        <v>13961.507142857021</v>
      </c>
      <c r="BP568" s="87">
        <f>SUMIFS($AS$3:AS1310,$AO$3:AO1310,"W")</f>
        <v>0</v>
      </c>
      <c r="BQ568" s="87">
        <f>SUMIFS($AU$3:AU569,$Q$3:Q569,"O")</f>
        <v>2604.229999999397</v>
      </c>
      <c r="BR568" s="87">
        <f>SUMIFS($AU$3:AU569,$AA$3:AA569,"*")</f>
        <v>39629.799999999414</v>
      </c>
      <c r="BS568" s="87">
        <f>SUMIFS($AU$3:AU569,$AB$3:AB569,"*")</f>
        <v>11410.829999999794</v>
      </c>
      <c r="BT568" s="87">
        <f>SUMIFS($AU$3:AU569,$AC$3:AC569,"*")</f>
        <v>28838.45714285714</v>
      </c>
      <c r="BU568" s="87">
        <f>SUMIFS($AU$3:AU569,$AA$3:AA569,"*",$AB$3:AB569,"*")</f>
        <v>5423.9999999998217</v>
      </c>
      <c r="BV568" s="87">
        <f>SUMIFS($AU$3:AU569,$AA$3:AA569,"*",$AC$3:AC569,"*")</f>
        <v>17524.400000000001</v>
      </c>
      <c r="BW568" s="87">
        <f>SUMIFS($AU$3:AU569,$AB$3:AB569,"*",$AC$3:AC569,"*")</f>
        <v>7119.9999999999982</v>
      </c>
      <c r="BX568" s="87">
        <f>SUMIFS($AV$3:AV569,$Q$3:Q569,"F")</f>
        <v>397.90578243515159</v>
      </c>
      <c r="BY568" s="87">
        <f>SUMIFS($AV$3:AV569,$Q$3:Q569,"S")</f>
        <v>700.70658000096557</v>
      </c>
      <c r="BZ568" s="87">
        <f>SUMIFS($AV$3:AV569,$Q$3:Q569,"O")</f>
        <v>639.2289999997322</v>
      </c>
    </row>
    <row r="569" spans="1:78" ht="15.75" customHeight="1">
      <c r="A569" s="45" t="s">
        <v>1819</v>
      </c>
      <c r="B569" s="59">
        <v>45418</v>
      </c>
      <c r="C569" s="46" t="s">
        <v>1886</v>
      </c>
      <c r="D569" s="46" t="s">
        <v>176</v>
      </c>
      <c r="E569" s="66"/>
      <c r="F569" s="47"/>
      <c r="G569" s="155" t="s">
        <v>459</v>
      </c>
      <c r="H569" s="49"/>
      <c r="I569" s="49"/>
      <c r="J569" s="49"/>
      <c r="K569" s="50"/>
      <c r="L569" s="49">
        <v>1</v>
      </c>
      <c r="M569" s="49"/>
      <c r="N569" s="49"/>
      <c r="O569" s="50" t="s">
        <v>100</v>
      </c>
      <c r="P569" s="50" t="s">
        <v>101</v>
      </c>
      <c r="Q569" s="50" t="s">
        <v>102</v>
      </c>
      <c r="R569" s="50">
        <v>12</v>
      </c>
      <c r="S569" s="161">
        <v>0</v>
      </c>
      <c r="T569" s="50">
        <v>10</v>
      </c>
      <c r="U569" s="50" t="s">
        <v>22</v>
      </c>
      <c r="V569" s="50"/>
      <c r="W569" s="50"/>
      <c r="X569" s="50"/>
      <c r="Y569" s="51">
        <f>IF(ISBLANK(O569),"",(IF(O569=UPPER("IB"),0.005,0.01)))</f>
        <v>0.01</v>
      </c>
      <c r="Z569" s="52">
        <f>IF(ISBLANK(O569),"",IF(O569="IB",8.63*200,IF(O569="IR",16*100,IF(O569="YT",20*100,IF(O569="YT-XT",24*200,IF(O569="TED",80*100,IF(O569="XT",29*200)))))))</f>
        <v>1600</v>
      </c>
      <c r="AA569" s="52" t="s">
        <v>1887</v>
      </c>
      <c r="AB569" s="52" t="s">
        <v>1888</v>
      </c>
      <c r="AC569" s="52"/>
      <c r="AD569" s="231">
        <v>0.02</v>
      </c>
      <c r="AE569" s="49"/>
      <c r="AF569" s="84"/>
      <c r="AG569" s="49"/>
      <c r="AH569" s="49"/>
      <c r="AI569" s="49"/>
      <c r="AJ569" s="226"/>
      <c r="AK569" s="49"/>
      <c r="AL569" s="113">
        <f t="shared" si="246"/>
        <v>-32</v>
      </c>
      <c r="AM569" s="113">
        <f t="shared" si="255"/>
        <v>-384</v>
      </c>
      <c r="AN569" s="218"/>
      <c r="AO569" s="49"/>
      <c r="AP569" s="49" t="s">
        <v>279</v>
      </c>
      <c r="AQ569" s="84" t="s">
        <v>155</v>
      </c>
      <c r="AR569" s="74">
        <v>45419</v>
      </c>
      <c r="AS569" s="55">
        <v>0</v>
      </c>
      <c r="AT569" s="55">
        <f>IF(ISBLANK(AS569),,IF(U569="S",AD569-AS569,AS569-AD569))</f>
        <v>-0.02</v>
      </c>
      <c r="AU569" s="54">
        <f>AV569*R569</f>
        <v>-384</v>
      </c>
      <c r="AV569" s="56">
        <f t="shared" ref="AV569" si="256">IF(ISBLANK(AS569),,(AT569*Z569))</f>
        <v>-32</v>
      </c>
      <c r="AW569" s="57" t="s">
        <v>121</v>
      </c>
      <c r="AX569" s="153"/>
      <c r="AY569" s="153"/>
      <c r="AZ569" s="153"/>
      <c r="BA569" s="153"/>
      <c r="BB569" s="153"/>
      <c r="BC569" s="153"/>
      <c r="BD569" s="151"/>
      <c r="BE569" s="152"/>
      <c r="BF569" s="151"/>
      <c r="BG569" s="94">
        <f>SUM($AV$4:AV569)</f>
        <v>3685.8413624358545</v>
      </c>
      <c r="BH569" s="95">
        <f>SUM($AU$4:AU569)</f>
        <v>53090.687142856528</v>
      </c>
      <c r="BI569" s="80">
        <f>SUMIFS($AU$3:AU570,$Q$3:Q570,"F")</f>
        <v>23922.093506493507</v>
      </c>
      <c r="BJ569" s="80">
        <f>SUMIFS($AU$3:AU570,$Q$3:Q570,"S")</f>
        <v>23344</v>
      </c>
      <c r="BK569" s="87">
        <f>SUMIFS($AU$3:AU570,$P$3:P570,"W")</f>
        <v>34187.273506493846</v>
      </c>
      <c r="BL569" s="87">
        <f>SUMIFS($AU$3:AU570,$P$3:P570,"R")</f>
        <v>15325.999999999862</v>
      </c>
      <c r="BM569" s="87">
        <f>SUMIFS($AU$3:AU570,$AQ$3:AQ570,"M")</f>
        <v>8993.3799999992334</v>
      </c>
      <c r="BN569" s="87">
        <f>SUMIFS($AU$3:AU570,$AQ$3:AQ570,"H")</f>
        <v>17287.200000000284</v>
      </c>
      <c r="BO569" s="87">
        <f>SUMIFS($AU$3:AU570,$AQ$3:AQ570,"D")</f>
        <v>13961.507142857021</v>
      </c>
      <c r="BP569" s="87">
        <f>SUMIFS($AS$3:AS1311,$AO$3:AO1311,"W")</f>
        <v>0</v>
      </c>
      <c r="BQ569" s="87">
        <f>SUMIFS($AU$3:AU570,$Q$3:Q570,"O")</f>
        <v>2604.229999999397</v>
      </c>
      <c r="BR569" s="87">
        <f>SUMIFS($AU$3:AU570,$AA$3:AA570,"*")</f>
        <v>37833.436363635774</v>
      </c>
      <c r="BS569" s="87">
        <f>SUMIFS($AU$3:AU570,$AB$3:AB570,"*")</f>
        <v>11410.829999999794</v>
      </c>
      <c r="BT569" s="87">
        <f>SUMIFS($AU$3:AU570,$AC$3:AC570,"*")</f>
        <v>27042.093506493504</v>
      </c>
      <c r="BU569" s="87">
        <f>SUMIFS($AU$3:AU570,$AA$3:AA570,"*",$AB$3:AB570,"*")</f>
        <v>5423.9999999998217</v>
      </c>
      <c r="BV569" s="87">
        <f>SUMIFS($AU$3:AU570,$AA$3:AA570,"*",$AC$3:AC570,"*")</f>
        <v>15728.036363636365</v>
      </c>
      <c r="BW569" s="87">
        <f>SUMIFS($AU$3:AU570,$AB$3:AB570,"*",$AC$3:AC570,"*")</f>
        <v>7119.9999999999982</v>
      </c>
      <c r="BX569" s="87">
        <f>SUMIFS($AV$3:AV570,$Q$3:Q570,"F")</f>
        <v>367.96638849575766</v>
      </c>
      <c r="BY569" s="87">
        <f>SUMIFS($AV$3:AV570,$Q$3:Q570,"S")</f>
        <v>700.70658000096557</v>
      </c>
      <c r="BZ569" s="87">
        <f>SUMIFS($AV$3:AV570,$Q$3:Q570,"O")</f>
        <v>639.2289999997322</v>
      </c>
    </row>
    <row r="570" spans="1:78" ht="15.75" customHeight="1">
      <c r="A570" s="45" t="s">
        <v>1819</v>
      </c>
      <c r="B570" s="59">
        <v>45419</v>
      </c>
      <c r="C570" s="46" t="s">
        <v>345</v>
      </c>
      <c r="D570" s="46" t="s">
        <v>98</v>
      </c>
      <c r="E570" s="66"/>
      <c r="F570" s="47"/>
      <c r="G570" s="109" t="s">
        <v>483</v>
      </c>
      <c r="H570" s="49"/>
      <c r="I570" s="49"/>
      <c r="J570" s="49"/>
      <c r="K570" s="50"/>
      <c r="L570" s="49"/>
      <c r="M570" s="49">
        <v>2</v>
      </c>
      <c r="N570" s="49"/>
      <c r="O570" s="50" t="s">
        <v>100</v>
      </c>
      <c r="P570" s="50" t="s">
        <v>101</v>
      </c>
      <c r="Q570" s="50" t="s">
        <v>127</v>
      </c>
      <c r="R570" s="50">
        <v>60</v>
      </c>
      <c r="S570" s="161">
        <v>55</v>
      </c>
      <c r="T570" s="50">
        <v>25</v>
      </c>
      <c r="U570" s="50" t="s">
        <v>22</v>
      </c>
      <c r="V570" s="50"/>
      <c r="W570" s="50"/>
      <c r="X570" s="50"/>
      <c r="Y570" s="51">
        <f>IF(ISBLANK(O570),"",(IF(O570=UPPER("IB"),0.005,0.01)))</f>
        <v>0.01</v>
      </c>
      <c r="Z570" s="52">
        <f>IF(ISBLANK(O570),"",IF(O570="IB",8.63*200,IF(O570="IR",16*100,IF(O570="YT",20*100,IF(O570="YT-XT",24*200,IF(O570="TED",80*100,IF(O570="XT",29*200)))))))</f>
        <v>1600</v>
      </c>
      <c r="AA570" s="52" t="s">
        <v>1889</v>
      </c>
      <c r="AB570" s="52"/>
      <c r="AC570" s="52" t="s">
        <v>1890</v>
      </c>
      <c r="AD570" s="231">
        <f>(0.02*30+0.01*45+0*35)/110</f>
        <v>9.5454545454545462E-3</v>
      </c>
      <c r="AE570" s="49"/>
      <c r="AF570" s="84"/>
      <c r="AG570" s="49"/>
      <c r="AH570" s="49"/>
      <c r="AI570" s="49"/>
      <c r="AJ570" s="226" t="s">
        <v>1891</v>
      </c>
      <c r="AK570" s="49"/>
      <c r="AL570" s="113">
        <f>-0.04*Z570</f>
        <v>-64</v>
      </c>
      <c r="AM570" s="113">
        <f t="shared" si="255"/>
        <v>-320</v>
      </c>
      <c r="AN570" s="218"/>
      <c r="AO570" s="49"/>
      <c r="AP570" s="49" t="s">
        <v>1283</v>
      </c>
      <c r="AQ570" s="84" t="s">
        <v>101</v>
      </c>
      <c r="AR570" s="74">
        <v>45428</v>
      </c>
      <c r="AS570" s="55">
        <f>((-0.01*50)+(0*5)+(-0.01*5))/60</f>
        <v>-9.1666666666666667E-3</v>
      </c>
      <c r="AT570" s="55">
        <f>IF(ISBLANK(AS570),,IF(U570="S",AD570-AS570,AS570-AD570))</f>
        <v>-1.8712121212121215E-2</v>
      </c>
      <c r="AU570" s="54">
        <f>AV570*R570</f>
        <v>-1796.3636363636367</v>
      </c>
      <c r="AV570" s="56">
        <f t="shared" ref="AV570" si="257">IF(ISBLANK(AS570),,(AT570*Z570))</f>
        <v>-29.939393939393945</v>
      </c>
      <c r="AW570" s="57" t="s">
        <v>121</v>
      </c>
      <c r="AX570" s="153" t="s">
        <v>1892</v>
      </c>
      <c r="AY570" s="153" t="s">
        <v>1893</v>
      </c>
      <c r="AZ570" s="153"/>
      <c r="BA570" s="153"/>
      <c r="BB570" s="153"/>
      <c r="BC570" s="153"/>
      <c r="BD570" s="151"/>
      <c r="BE570" s="152"/>
      <c r="BF570" s="151"/>
      <c r="BG570" s="94">
        <f>SUM($AV$4:AV570)</f>
        <v>3655.9019684964605</v>
      </c>
      <c r="BH570" s="95">
        <f>SUM($AU$4:AU570)</f>
        <v>51294.323506492889</v>
      </c>
      <c r="BI570" s="80">
        <f>SUMIFS($AU$3:AU571,$Q$3:Q571,"F")</f>
        <v>23922.093506493507</v>
      </c>
      <c r="BJ570" s="80">
        <f>SUMIFS($AU$3:AU571,$Q$3:Q571,"S")</f>
        <v>23344</v>
      </c>
      <c r="BK570" s="87">
        <f>SUMIFS($AU$3:AU571,$P$3:P571,"W")</f>
        <v>34187.273506493846</v>
      </c>
      <c r="BL570" s="87">
        <f>SUMIFS($AU$3:AU571,$P$3:P571,"R")</f>
        <v>15325.999999999862</v>
      </c>
      <c r="BM570" s="87">
        <f>SUMIFS($AU$3:AU571,$AQ$3:AQ571,"M")</f>
        <v>8993.3799999992334</v>
      </c>
      <c r="BN570" s="87">
        <f>SUMIFS($AU$3:AU571,$AQ$3:AQ571,"H")</f>
        <v>17287.200000000284</v>
      </c>
      <c r="BO570" s="87">
        <f>SUMIFS($AU$3:AU571,$AQ$3:AQ571,"D")</f>
        <v>13961.507142857021</v>
      </c>
      <c r="BP570" s="87">
        <f>SUMIFS($AS$3:AS1312,$AO$3:AO1312,"W")</f>
        <v>0</v>
      </c>
      <c r="BQ570" s="87">
        <f>SUMIFS($AU$3:AU571,$Q$3:Q571,"O")</f>
        <v>2604.229999999397</v>
      </c>
      <c r="BR570" s="87">
        <f>SUMIFS($AU$3:AU571,$AA$3:AA571,"*")</f>
        <v>37833.436363635774</v>
      </c>
      <c r="BS570" s="87">
        <f>SUMIFS($AU$3:AU571,$AB$3:AB571,"*")</f>
        <v>11410.829999999794</v>
      </c>
      <c r="BT570" s="87">
        <f>SUMIFS($AU$3:AU571,$AC$3:AC571,"*")</f>
        <v>27042.093506493504</v>
      </c>
      <c r="BU570" s="87">
        <f>SUMIFS($AU$3:AU571,$AA$3:AA571,"*",$AB$3:AB571,"*")</f>
        <v>5423.9999999998217</v>
      </c>
      <c r="BV570" s="87">
        <f>SUMIFS($AU$3:AU571,$AA$3:AA571,"*",$AC$3:AC571,"*")</f>
        <v>15728.036363636365</v>
      </c>
      <c r="BW570" s="87">
        <f>SUMIFS($AU$3:AU571,$AB$3:AB571,"*",$AC$3:AC571,"*")</f>
        <v>7119.9999999999982</v>
      </c>
      <c r="BX570" s="87">
        <f>SUMIFS($AV$3:AV571,$Q$3:Q571,"F")</f>
        <v>367.96638849575766</v>
      </c>
      <c r="BY570" s="87">
        <f>SUMIFS($AV$3:AV571,$Q$3:Q571,"S")</f>
        <v>700.70658000096557</v>
      </c>
      <c r="BZ570" s="87">
        <f>SUMIFS($AV$3:AV571,$Q$3:Q571,"O")</f>
        <v>639.2289999997322</v>
      </c>
    </row>
    <row r="571" spans="1:78" ht="15.75" customHeight="1">
      <c r="A571" s="45" t="s">
        <v>1819</v>
      </c>
      <c r="B571" s="59">
        <v>45419</v>
      </c>
      <c r="C571" s="46" t="s">
        <v>1894</v>
      </c>
      <c r="D571" s="46" t="s">
        <v>98</v>
      </c>
      <c r="E571" s="66" t="s">
        <v>1895</v>
      </c>
      <c r="F571" s="47"/>
      <c r="G571" s="48"/>
      <c r="H571" s="49"/>
      <c r="I571" s="49"/>
      <c r="J571" s="49"/>
      <c r="K571" s="50"/>
      <c r="L571" s="49"/>
      <c r="M571" s="49"/>
      <c r="N571" s="49"/>
      <c r="O571" s="50"/>
      <c r="P571" s="50"/>
      <c r="Q571" s="50"/>
      <c r="R571" s="50"/>
      <c r="S571" s="50"/>
      <c r="T571" s="50"/>
      <c r="U571" s="50"/>
      <c r="V571" s="50"/>
      <c r="W571" s="50"/>
      <c r="X571" s="50"/>
      <c r="Y571" s="50"/>
      <c r="Z571" s="50"/>
      <c r="AA571" s="52"/>
      <c r="AB571" s="52"/>
      <c r="AC571" s="52"/>
      <c r="AD571" s="231"/>
      <c r="AE571" s="49"/>
      <c r="AF571" s="84"/>
      <c r="AG571" s="49"/>
      <c r="AH571" s="49"/>
      <c r="AI571" s="49"/>
      <c r="AJ571" s="226"/>
      <c r="AK571" s="49"/>
      <c r="AL571" s="113">
        <f t="shared" si="246"/>
        <v>0</v>
      </c>
      <c r="AM571" s="113">
        <f t="shared" si="255"/>
        <v>0</v>
      </c>
      <c r="AN571" s="218"/>
      <c r="AO571" s="49"/>
      <c r="AP571" s="49"/>
      <c r="AQ571" s="84" t="str">
        <f>UPPER(RIGHT(Journal_Live[[#This Row],[DURATION ]]))</f>
        <v/>
      </c>
      <c r="AR571" s="49"/>
      <c r="AS571" s="55"/>
      <c r="AT571" s="55"/>
      <c r="AU571" s="54"/>
      <c r="AV571" s="56"/>
      <c r="AW571" s="57"/>
      <c r="AX571" s="153" t="s">
        <v>1896</v>
      </c>
      <c r="AY571" s="153"/>
      <c r="AZ571" s="153"/>
      <c r="BA571" s="153"/>
      <c r="BB571" s="153"/>
      <c r="BC571" s="153"/>
      <c r="BD571" s="151"/>
      <c r="BE571" s="152"/>
      <c r="BF571" s="151"/>
      <c r="BG571" s="94">
        <f>SUM($AV$4:AV571)</f>
        <v>3655.9019684964605</v>
      </c>
      <c r="BH571" s="95">
        <f>SUM($AU$4:AU571)</f>
        <v>51294.323506492889</v>
      </c>
      <c r="BI571" s="80">
        <f>SUMIFS($AU$3:AU572,$Q$3:Q572,"F")</f>
        <v>23922.093506493507</v>
      </c>
      <c r="BJ571" s="80">
        <f>SUMIFS($AU$3:AU572,$Q$3:Q572,"S")</f>
        <v>23344</v>
      </c>
      <c r="BK571" s="87">
        <f>SUMIFS($AU$3:AU572,$P$3:P572,"W")</f>
        <v>34187.273506493846</v>
      </c>
      <c r="BL571" s="87">
        <f>SUMIFS($AU$3:AU572,$P$3:P572,"R")</f>
        <v>15325.999999999862</v>
      </c>
      <c r="BM571" s="87">
        <f>SUMIFS($AU$3:AU572,$AQ$3:AQ572,"M")</f>
        <v>8993.3799999992334</v>
      </c>
      <c r="BN571" s="87">
        <f>SUMIFS($AU$3:AU572,$AQ$3:AQ572,"H")</f>
        <v>17287.200000000284</v>
      </c>
      <c r="BO571" s="87">
        <f>SUMIFS($AU$3:AU572,$AQ$3:AQ572,"D")</f>
        <v>13961.507142857021</v>
      </c>
      <c r="BP571" s="87">
        <f>SUMIFS($AS$3:AS1313,$AO$3:AO1313,"W")</f>
        <v>0</v>
      </c>
      <c r="BQ571" s="87">
        <f>SUMIFS($AU$3:AU572,$Q$3:Q572,"O")</f>
        <v>1577.2599999996442</v>
      </c>
      <c r="BR571" s="87">
        <f>SUMIFS($AU$3:AU572,$AA$3:AA572,"*")</f>
        <v>37833.436363635774</v>
      </c>
      <c r="BS571" s="87">
        <f>SUMIFS($AU$3:AU572,$AB$3:AB572,"*")</f>
        <v>10383.860000000041</v>
      </c>
      <c r="BT571" s="87">
        <f>SUMIFS($AU$3:AU572,$AC$3:AC572,"*")</f>
        <v>27042.093506493504</v>
      </c>
      <c r="BU571" s="87">
        <f>SUMIFS($AU$3:AU572,$AA$3:AA572,"*",$AB$3:AB572,"*")</f>
        <v>5423.9999999998217</v>
      </c>
      <c r="BV571" s="87">
        <f>SUMIFS($AU$3:AU572,$AA$3:AA572,"*",$AC$3:AC572,"*")</f>
        <v>15728.036363636365</v>
      </c>
      <c r="BW571" s="87">
        <f>SUMIFS($AU$3:AU572,$AB$3:AB572,"*",$AC$3:AC572,"*")</f>
        <v>7119.9999999999982</v>
      </c>
      <c r="BX571" s="87">
        <f>SUMIFS($AV$3:AV572,$Q$3:Q572,"F")</f>
        <v>367.96638849575766</v>
      </c>
      <c r="BY571" s="87">
        <f>SUMIFS($AV$3:AV572,$Q$3:Q572,"S")</f>
        <v>700.70658000096557</v>
      </c>
      <c r="BZ571" s="87">
        <f>SUMIFS($AV$3:AV572,$Q$3:Q572,"O")</f>
        <v>628.95929999973464</v>
      </c>
    </row>
    <row r="572" spans="1:78" ht="15.75" customHeight="1">
      <c r="A572" s="45" t="s">
        <v>1819</v>
      </c>
      <c r="B572" s="59">
        <v>45419</v>
      </c>
      <c r="C572" s="46" t="s">
        <v>147</v>
      </c>
      <c r="D572" s="46" t="s">
        <v>98</v>
      </c>
      <c r="E572" s="66"/>
      <c r="F572" s="47"/>
      <c r="G572" s="171" t="s">
        <v>1767</v>
      </c>
      <c r="H572" s="49"/>
      <c r="I572" s="49"/>
      <c r="J572" s="49"/>
      <c r="K572" s="50"/>
      <c r="L572" s="49">
        <v>2</v>
      </c>
      <c r="M572" s="49">
        <v>2</v>
      </c>
      <c r="N572" s="49"/>
      <c r="O572" s="50" t="s">
        <v>559</v>
      </c>
      <c r="P572" s="50"/>
      <c r="Q572" s="50" t="s">
        <v>198</v>
      </c>
      <c r="R572" s="50">
        <v>100</v>
      </c>
      <c r="S572" s="50">
        <v>45</v>
      </c>
      <c r="T572" s="50">
        <v>60</v>
      </c>
      <c r="U572" s="50" t="s">
        <v>102</v>
      </c>
      <c r="V572" s="50"/>
      <c r="W572" s="50"/>
      <c r="X572" s="50"/>
      <c r="Y572" s="51">
        <f>IF(ISBLANK(O572),"",(IF(O572=UPPER("IB"),0.005,0.01)))</f>
        <v>5.0000000000000001E-3</v>
      </c>
      <c r="Z572" s="52">
        <f>IF(ISBLANK(O572),"",IF(O572="IB",8.63*200,IF(O572="IR",16*100,IF(O572="YT",20*100,IF(O572="YT-XT",24*200,IF(O572="TED",80*100,IF(O572="XT",29*200)))))))</f>
        <v>1726.0000000000002</v>
      </c>
      <c r="AA572" s="52"/>
      <c r="AB572" s="52" t="s">
        <v>1768</v>
      </c>
      <c r="AC572" s="52"/>
      <c r="AD572" s="231">
        <f>(95.663*10+50*95.675+30*95.68+95.685*10)/100</f>
        <v>95.676300000000012</v>
      </c>
      <c r="AE572" s="49"/>
      <c r="AF572" s="84"/>
      <c r="AG572" s="49"/>
      <c r="AH572" s="49"/>
      <c r="AI572" s="49"/>
      <c r="AJ572" s="226"/>
      <c r="AK572" s="49"/>
      <c r="AL572" s="113">
        <f>-0.01*Z572</f>
        <v>-17.260000000000002</v>
      </c>
      <c r="AM572" s="113">
        <f t="shared" si="255"/>
        <v>-949.30000000000007</v>
      </c>
      <c r="AN572" s="218"/>
      <c r="AO572" s="49"/>
      <c r="AP572" s="49" t="s">
        <v>1897</v>
      </c>
      <c r="AQ572" s="84" t="s">
        <v>101</v>
      </c>
      <c r="AR572" s="49"/>
      <c r="AS572" s="55">
        <f>(95.685*45+95.68*55)/100</f>
        <v>95.68225000000001</v>
      </c>
      <c r="AT572" s="55">
        <f>IF(ISBLANK(AS572),,IF(U572="S",AD572-AS572,AS572-AD572))</f>
        <v>-5.9499999999985675E-3</v>
      </c>
      <c r="AU572" s="54">
        <f>AV572*R572</f>
        <v>-1026.9699999997529</v>
      </c>
      <c r="AV572" s="56">
        <f t="shared" ref="AV572" si="258">IF(ISBLANK(AS572),,(AT572*Z572))</f>
        <v>-10.269699999997529</v>
      </c>
      <c r="AW572" s="57" t="s">
        <v>121</v>
      </c>
      <c r="AX572" s="153" t="s">
        <v>1898</v>
      </c>
      <c r="AY572" s="153"/>
      <c r="AZ572" s="153"/>
      <c r="BA572" s="153"/>
      <c r="BB572" s="153"/>
      <c r="BC572" s="153"/>
      <c r="BD572" s="151"/>
      <c r="BE572" s="152"/>
      <c r="BF572" s="151"/>
      <c r="BG572" s="94">
        <f>SUM($AV$4:AV572)</f>
        <v>3645.632268496463</v>
      </c>
      <c r="BH572" s="95">
        <f>SUM($AU$4:AU572)</f>
        <v>50267.353506493135</v>
      </c>
      <c r="BI572" s="80">
        <f>SUMIFS($AU$3:AU573,$Q$3:Q573,"F")</f>
        <v>24562.093506493511</v>
      </c>
      <c r="BJ572" s="80">
        <f>SUMIFS($AU$3:AU573,$Q$3:Q573,"S")</f>
        <v>23344</v>
      </c>
      <c r="BK572" s="87">
        <f>SUMIFS($AU$3:AU573,$P$3:P573,"W")</f>
        <v>34827.273506493846</v>
      </c>
      <c r="BL572" s="87">
        <f>SUMIFS($AU$3:AU573,$P$3:P573,"R")</f>
        <v>15325.999999999862</v>
      </c>
      <c r="BM572" s="87">
        <f>SUMIFS($AU$3:AU573,$AQ$3:AQ573,"M")</f>
        <v>8993.3799999992334</v>
      </c>
      <c r="BN572" s="87">
        <f>SUMIFS($AU$3:AU573,$AQ$3:AQ573,"H")</f>
        <v>17287.200000000284</v>
      </c>
      <c r="BO572" s="87">
        <f>SUMIFS($AU$3:AU573,$AQ$3:AQ573,"D")</f>
        <v>13961.507142857021</v>
      </c>
      <c r="BP572" s="87">
        <f>SUMIFS($AS$3:AS1314,$AO$3:AO1314,"W")</f>
        <v>0</v>
      </c>
      <c r="BQ572" s="87">
        <f>SUMIFS($AU$3:AU573,$Q$3:Q573,"O")</f>
        <v>1577.2599999996442</v>
      </c>
      <c r="BR572" s="87">
        <f>SUMIFS($AU$3:AU573,$AA$3:AA573,"*")</f>
        <v>38473.436363635774</v>
      </c>
      <c r="BS572" s="87">
        <f>SUMIFS($AU$3:AU573,$AB$3:AB573,"*")</f>
        <v>10383.860000000041</v>
      </c>
      <c r="BT572" s="87">
        <f>SUMIFS($AU$3:AU573,$AC$3:AC573,"*")</f>
        <v>27682.093506493507</v>
      </c>
      <c r="BU572" s="87">
        <f>SUMIFS($AU$3:AU573,$AA$3:AA573,"*",$AB$3:AB573,"*")</f>
        <v>5423.9999999998217</v>
      </c>
      <c r="BV572" s="87">
        <f>SUMIFS($AU$3:AU573,$AA$3:AA573,"*",$AC$3:AC573,"*")</f>
        <v>16368.036363636367</v>
      </c>
      <c r="BW572" s="87">
        <f>SUMIFS($AU$3:AU573,$AB$3:AB573,"*",$AC$3:AC573,"*")</f>
        <v>7119.9999999999982</v>
      </c>
      <c r="BX572" s="87">
        <f>SUMIFS($AV$3:AV573,$Q$3:Q573,"F")</f>
        <v>375.0774996068688</v>
      </c>
      <c r="BY572" s="87">
        <f>SUMIFS($AV$3:AV573,$Q$3:Q573,"S")</f>
        <v>700.70658000096557</v>
      </c>
      <c r="BZ572" s="87">
        <f>SUMIFS($AV$3:AV573,$Q$3:Q573,"O")</f>
        <v>628.95929999973464</v>
      </c>
    </row>
    <row r="573" spans="1:78" ht="15.75" customHeight="1">
      <c r="A573" s="45" t="s">
        <v>1819</v>
      </c>
      <c r="B573" s="59">
        <v>45419</v>
      </c>
      <c r="C573" s="46" t="s">
        <v>147</v>
      </c>
      <c r="D573" s="46" t="s">
        <v>98</v>
      </c>
      <c r="E573" s="66"/>
      <c r="F573" s="47"/>
      <c r="G573" s="155" t="s">
        <v>1899</v>
      </c>
      <c r="H573" s="49"/>
      <c r="I573" s="49"/>
      <c r="J573" s="49"/>
      <c r="K573" s="50"/>
      <c r="L573" s="49">
        <v>1</v>
      </c>
      <c r="M573" s="49"/>
      <c r="N573" s="49"/>
      <c r="O573" s="50" t="s">
        <v>100</v>
      </c>
      <c r="P573" s="50" t="s">
        <v>101</v>
      </c>
      <c r="Q573" s="50" t="s">
        <v>127</v>
      </c>
      <c r="R573" s="50">
        <v>90</v>
      </c>
      <c r="S573" s="50">
        <v>60</v>
      </c>
      <c r="T573" s="50">
        <v>35</v>
      </c>
      <c r="U573" s="50" t="s">
        <v>102</v>
      </c>
      <c r="V573" s="50"/>
      <c r="W573" s="50"/>
      <c r="X573" s="50"/>
      <c r="Y573" s="51">
        <f>IF(ISBLANK(O573),"",(IF(O573=UPPER("IB"),0.005,0.01)))</f>
        <v>0.01</v>
      </c>
      <c r="Z573" s="52">
        <f>IF(ISBLANK(O573),"",IF(O573="IB",8.63*200,IF(O573="IR",16*100,IF(O573="YT",20*100,IF(O573="YT-XT",24*200,IF(O573="TED",80*100,IF(O573="XT",29*200)))))))</f>
        <v>1600</v>
      </c>
      <c r="AA573" s="52" t="s">
        <v>1900</v>
      </c>
      <c r="AB573" s="52"/>
      <c r="AC573" s="52" t="s">
        <v>1901</v>
      </c>
      <c r="AD573" s="231">
        <f>(0.07*70+0.06*20)/90</f>
        <v>6.7777777777777784E-2</v>
      </c>
      <c r="AE573" s="49"/>
      <c r="AF573" s="84"/>
      <c r="AG573" s="49"/>
      <c r="AH573" s="49"/>
      <c r="AI573" s="49"/>
      <c r="AJ573" s="226"/>
      <c r="AK573" s="49"/>
      <c r="AL573" s="113">
        <f>-0.025*Z573</f>
        <v>-40</v>
      </c>
      <c r="AM573" s="113">
        <f t="shared" si="255"/>
        <v>-1200</v>
      </c>
      <c r="AN573" s="218"/>
      <c r="AO573" s="49"/>
      <c r="AP573" s="49" t="s">
        <v>670</v>
      </c>
      <c r="AQ573" s="84" t="s">
        <v>101</v>
      </c>
      <c r="AR573" s="49"/>
      <c r="AS573" s="55">
        <f>((0.07*30)+(0.06*30)+(0.06*30))/90</f>
        <v>6.3333333333333325E-2</v>
      </c>
      <c r="AT573" s="55">
        <f>IF(ISBLANK(AS573),,IF(U573="S",AD573-AS573,AS573-AD573))</f>
        <v>4.4444444444444592E-3</v>
      </c>
      <c r="AU573" s="54">
        <f>AV573*R573</f>
        <v>640.00000000000216</v>
      </c>
      <c r="AV573" s="56">
        <f t="shared" ref="AV573:AV580" si="259">IF(ISBLANK(AS573),,(AT573*Z573))</f>
        <v>7.1111111111111347</v>
      </c>
      <c r="AW573" s="57" t="s">
        <v>101</v>
      </c>
      <c r="AX573" s="153"/>
      <c r="AY573" s="153"/>
      <c r="AZ573" s="153"/>
      <c r="BA573" s="153"/>
      <c r="BB573" s="153"/>
      <c r="BC573" s="153"/>
      <c r="BD573" s="151"/>
      <c r="BE573" s="152"/>
      <c r="BF573" s="151"/>
      <c r="BG573" s="94">
        <f>SUM($AV$4:AV573)</f>
        <v>3652.7433796075743</v>
      </c>
      <c r="BH573" s="95">
        <f>SUM($AU$4:AU573)</f>
        <v>50907.353506493135</v>
      </c>
      <c r="BI573" s="80">
        <f>SUMIFS($AU$3:AU574,$Q$3:Q574,"F")</f>
        <v>24562.093506493511</v>
      </c>
      <c r="BJ573" s="80">
        <f>SUMIFS($AU$3:AU574,$Q$3:Q574,"S")</f>
        <v>23344</v>
      </c>
      <c r="BK573" s="87">
        <f>SUMIFS($AU$3:AU574,$P$3:P574,"W")</f>
        <v>34827.273506493846</v>
      </c>
      <c r="BL573" s="87">
        <f>SUMIFS($AU$3:AU574,$P$3:P574,"R")</f>
        <v>15325.999999999862</v>
      </c>
      <c r="BM573" s="87">
        <f>SUMIFS($AU$3:AU574,$AQ$3:AQ574,"M")</f>
        <v>8993.3799999992334</v>
      </c>
      <c r="BN573" s="87">
        <f>SUMIFS($AU$3:AU574,$AQ$3:AQ574,"H")</f>
        <v>17287.200000000284</v>
      </c>
      <c r="BO573" s="87">
        <f>SUMIFS($AU$3:AU574,$AQ$3:AQ574,"D")</f>
        <v>13961.507142857021</v>
      </c>
      <c r="BP573" s="87">
        <f>SUMIFS($AS$3:AS1315,$AO$3:AO1315,"W")</f>
        <v>0</v>
      </c>
      <c r="BQ573" s="87">
        <f>SUMIFS($AU$3:AU574,$Q$3:Q574,"O")</f>
        <v>1577.2599999996442</v>
      </c>
      <c r="BR573" s="87">
        <f>SUMIFS($AU$3:AU574,$AA$3:AA574,"*")</f>
        <v>38473.436363635774</v>
      </c>
      <c r="BS573" s="87">
        <f>SUMIFS($AU$3:AU574,$AB$3:AB574,"*")</f>
        <v>10383.860000000041</v>
      </c>
      <c r="BT573" s="87">
        <f>SUMIFS($AU$3:AU574,$AC$3:AC574,"*")</f>
        <v>27682.093506493507</v>
      </c>
      <c r="BU573" s="87">
        <f>SUMIFS($AU$3:AU574,$AA$3:AA574,"*",$AB$3:AB574,"*")</f>
        <v>5423.9999999998217</v>
      </c>
      <c r="BV573" s="87">
        <f>SUMIFS($AU$3:AU574,$AA$3:AA574,"*",$AC$3:AC574,"*")</f>
        <v>16368.036363636367</v>
      </c>
      <c r="BW573" s="87">
        <f>SUMIFS($AU$3:AU574,$AB$3:AB574,"*",$AC$3:AC574,"*")</f>
        <v>7119.9999999999982</v>
      </c>
      <c r="BX573" s="87">
        <f>SUMIFS($AV$3:AV574,$Q$3:Q574,"F")</f>
        <v>375.0774996068688</v>
      </c>
      <c r="BY573" s="87">
        <f>SUMIFS($AV$3:AV574,$Q$3:Q574,"S")</f>
        <v>700.70658000096557</v>
      </c>
      <c r="BZ573" s="87">
        <f>SUMIFS($AV$3:AV574,$Q$3:Q574,"O")</f>
        <v>628.95929999973464</v>
      </c>
    </row>
    <row r="574" spans="1:78" ht="15.75" customHeight="1">
      <c r="A574" s="45" t="s">
        <v>1819</v>
      </c>
      <c r="B574" s="59">
        <v>45419</v>
      </c>
      <c r="C574" s="46" t="s">
        <v>1902</v>
      </c>
      <c r="D574" s="46" t="s">
        <v>98</v>
      </c>
      <c r="E574" s="66"/>
      <c r="F574" s="47"/>
      <c r="G574" s="48" t="s">
        <v>295</v>
      </c>
      <c r="H574" s="49"/>
      <c r="I574" s="49"/>
      <c r="J574" s="49"/>
      <c r="K574" s="50"/>
      <c r="L574" s="49"/>
      <c r="M574" s="49"/>
      <c r="N574" s="49"/>
      <c r="O574" s="50"/>
      <c r="P574" s="50"/>
      <c r="Q574" s="50"/>
      <c r="R574" s="50"/>
      <c r="S574" s="161"/>
      <c r="T574" s="50"/>
      <c r="U574" s="50"/>
      <c r="V574" s="50"/>
      <c r="W574" s="50"/>
      <c r="X574" s="50"/>
      <c r="Y574" s="51"/>
      <c r="Z574" s="52"/>
      <c r="AA574" s="52"/>
      <c r="AB574" s="52"/>
      <c r="AC574" s="52"/>
      <c r="AD574" s="231"/>
      <c r="AE574" s="49"/>
      <c r="AF574" s="84"/>
      <c r="AG574" s="49"/>
      <c r="AH574" s="49"/>
      <c r="AI574" s="49"/>
      <c r="AJ574" s="226" t="s">
        <v>1903</v>
      </c>
      <c r="AK574" s="49"/>
      <c r="AL574" s="113">
        <f t="shared" ref="AL574:AL575" si="260">-0.02*Z574</f>
        <v>0</v>
      </c>
      <c r="AM574" s="113">
        <f t="shared" si="255"/>
        <v>0</v>
      </c>
      <c r="AN574" s="218"/>
      <c r="AO574" s="49"/>
      <c r="AP574" s="49"/>
      <c r="AQ574" s="84" t="str">
        <f>UPPER(RIGHT(Journal_Live[[#This Row],[DURATION ]]))</f>
        <v/>
      </c>
      <c r="AR574" s="49"/>
      <c r="AS574" s="55"/>
      <c r="AT574" s="55"/>
      <c r="AU574" s="54"/>
      <c r="AV574" s="56"/>
      <c r="AW574" s="57"/>
      <c r="AX574" s="153"/>
      <c r="AY574" s="153"/>
      <c r="AZ574" s="153"/>
      <c r="BA574" s="153"/>
      <c r="BB574" s="153"/>
      <c r="BC574" s="153"/>
      <c r="BD574" s="151"/>
      <c r="BE574" s="152"/>
      <c r="BF574" s="151"/>
      <c r="BG574" s="94">
        <f>SUM($AV$4:AV574)</f>
        <v>3652.7433796075743</v>
      </c>
      <c r="BH574" s="95">
        <f>SUM($AU$4:AU574)</f>
        <v>50907.353506493135</v>
      </c>
      <c r="BI574" s="80">
        <f>SUMIFS($AU$3:AU575,$Q$3:Q575,"F")</f>
        <v>24562.093506493511</v>
      </c>
      <c r="BJ574" s="80">
        <f>SUMIFS($AU$3:AU575,$Q$3:Q575,"S")</f>
        <v>23344</v>
      </c>
      <c r="BK574" s="87">
        <f>SUMIFS($AU$3:AU575,$P$3:P575,"W")</f>
        <v>34827.273506493846</v>
      </c>
      <c r="BL574" s="87">
        <f>SUMIFS($AU$3:AU575,$P$3:P575,"R")</f>
        <v>15325.999999999862</v>
      </c>
      <c r="BM574" s="87">
        <f>SUMIFS($AU$3:AU575,$AQ$3:AQ575,"M")</f>
        <v>8993.3799999992334</v>
      </c>
      <c r="BN574" s="87">
        <f>SUMIFS($AU$3:AU575,$AQ$3:AQ575,"H")</f>
        <v>17287.200000000284</v>
      </c>
      <c r="BO574" s="87">
        <f>SUMIFS($AU$3:AU575,$AQ$3:AQ575,"D")</f>
        <v>13961.507142857021</v>
      </c>
      <c r="BP574" s="87">
        <f>SUMIFS($AS$3:AS1316,$AO$3:AO1316,"W")</f>
        <v>0</v>
      </c>
      <c r="BQ574" s="87">
        <f>SUMIFS($AU$3:AU575,$Q$3:Q575,"O")</f>
        <v>1577.2599999996442</v>
      </c>
      <c r="BR574" s="87">
        <f>SUMIFS($AU$3:AU575,$AA$3:AA575,"*")</f>
        <v>38473.436363635774</v>
      </c>
      <c r="BS574" s="87">
        <f>SUMIFS($AU$3:AU575,$AB$3:AB575,"*")</f>
        <v>10383.860000000041</v>
      </c>
      <c r="BT574" s="87">
        <f>SUMIFS($AU$3:AU575,$AC$3:AC575,"*")</f>
        <v>27682.093506493507</v>
      </c>
      <c r="BU574" s="87">
        <f>SUMIFS($AU$3:AU575,$AA$3:AA575,"*",$AB$3:AB575,"*")</f>
        <v>5423.9999999998217</v>
      </c>
      <c r="BV574" s="87">
        <f>SUMIFS($AU$3:AU575,$AA$3:AA575,"*",$AC$3:AC575,"*")</f>
        <v>16368.036363636367</v>
      </c>
      <c r="BW574" s="87">
        <f>SUMIFS($AU$3:AU575,$AB$3:AB575,"*",$AC$3:AC575,"*")</f>
        <v>7119.9999999999982</v>
      </c>
      <c r="BX574" s="87">
        <f>SUMIFS($AV$3:AV575,$Q$3:Q575,"F")</f>
        <v>375.0774996068688</v>
      </c>
      <c r="BY574" s="87">
        <f>SUMIFS($AV$3:AV575,$Q$3:Q575,"S")</f>
        <v>700.70658000096557</v>
      </c>
      <c r="BZ574" s="87">
        <f>SUMIFS($AV$3:AV575,$Q$3:Q575,"O")</f>
        <v>628.95929999973464</v>
      </c>
    </row>
    <row r="575" spans="1:78" ht="15.75" customHeight="1">
      <c r="A575" s="45" t="s">
        <v>1819</v>
      </c>
      <c r="B575" s="59">
        <v>45419</v>
      </c>
      <c r="C575" s="46" t="s">
        <v>1904</v>
      </c>
      <c r="D575" s="46" t="s">
        <v>98</v>
      </c>
      <c r="E575" s="66"/>
      <c r="F575" s="47"/>
      <c r="G575" s="48" t="s">
        <v>181</v>
      </c>
      <c r="H575" s="49"/>
      <c r="I575" s="49"/>
      <c r="J575" s="49"/>
      <c r="K575" s="50"/>
      <c r="L575" s="49"/>
      <c r="M575" s="49"/>
      <c r="N575" s="49"/>
      <c r="O575" s="50"/>
      <c r="P575" s="50"/>
      <c r="Q575" s="50"/>
      <c r="R575" s="50"/>
      <c r="S575" s="161"/>
      <c r="T575" s="50"/>
      <c r="U575" s="50"/>
      <c r="V575" s="50"/>
      <c r="W575" s="50"/>
      <c r="X575" s="50"/>
      <c r="Y575" s="51"/>
      <c r="Z575" s="52"/>
      <c r="AA575" s="52"/>
      <c r="AB575" s="52"/>
      <c r="AC575" s="52"/>
      <c r="AD575" s="231"/>
      <c r="AE575" s="49"/>
      <c r="AF575" s="84"/>
      <c r="AG575" s="49"/>
      <c r="AH575" s="49"/>
      <c r="AI575" s="49"/>
      <c r="AJ575" s="226"/>
      <c r="AK575" s="49"/>
      <c r="AL575" s="113">
        <f t="shared" si="260"/>
        <v>0</v>
      </c>
      <c r="AM575" s="113">
        <f t="shared" si="255"/>
        <v>0</v>
      </c>
      <c r="AN575" s="218"/>
      <c r="AO575" s="49"/>
      <c r="AP575" s="49"/>
      <c r="AQ575" s="84" t="str">
        <f>UPPER(RIGHT(Journal_Live[[#This Row],[DURATION ]]))</f>
        <v/>
      </c>
      <c r="AR575" s="49"/>
      <c r="AS575" s="55"/>
      <c r="AT575" s="55"/>
      <c r="AU575" s="54"/>
      <c r="AV575" s="56"/>
      <c r="AW575" s="57"/>
      <c r="AX575" s="153"/>
      <c r="AY575" s="153"/>
      <c r="AZ575" s="153"/>
      <c r="BA575" s="153"/>
      <c r="BB575" s="153"/>
      <c r="BC575" s="153"/>
      <c r="BD575" s="151"/>
      <c r="BE575" s="152"/>
      <c r="BF575" s="151"/>
      <c r="BG575" s="94">
        <f>SUM($AV$4:AV575)</f>
        <v>3652.7433796075743</v>
      </c>
      <c r="BH575" s="95">
        <f>SUM($AU$4:AU575)</f>
        <v>50907.353506493135</v>
      </c>
      <c r="BI575" s="80">
        <f>SUMIFS($AU$3:AU576,$Q$3:Q576,"F")</f>
        <v>25202.093506493511</v>
      </c>
      <c r="BJ575" s="80">
        <f>SUMIFS($AU$3:AU576,$Q$3:Q576,"S")</f>
        <v>23344</v>
      </c>
      <c r="BK575" s="87">
        <f>SUMIFS($AU$3:AU576,$P$3:P576,"W")</f>
        <v>35467.273506493846</v>
      </c>
      <c r="BL575" s="87">
        <f>SUMIFS($AU$3:AU576,$P$3:P576,"R")</f>
        <v>15325.999999999862</v>
      </c>
      <c r="BM575" s="87">
        <f>SUMIFS($AU$3:AU576,$AQ$3:AQ576,"M")</f>
        <v>8993.3799999992334</v>
      </c>
      <c r="BN575" s="87">
        <f>SUMIFS($AU$3:AU576,$AQ$3:AQ576,"H")</f>
        <v>17287.200000000284</v>
      </c>
      <c r="BO575" s="87">
        <f>SUMIFS($AU$3:AU576,$AQ$3:AQ576,"D")</f>
        <v>13961.507142857021</v>
      </c>
      <c r="BP575" s="87">
        <f>SUMIFS($AS$3:AS1317,$AO$3:AO1317,"W")</f>
        <v>0</v>
      </c>
      <c r="BQ575" s="87">
        <f>SUMIFS($AU$3:AU576,$Q$3:Q576,"O")</f>
        <v>1577.2599999996442</v>
      </c>
      <c r="BR575" s="87">
        <f>SUMIFS($AU$3:AU576,$AA$3:AA576,"*")</f>
        <v>38473.436363635774</v>
      </c>
      <c r="BS575" s="87">
        <f>SUMIFS($AU$3:AU576,$AB$3:AB576,"*")</f>
        <v>10383.860000000041</v>
      </c>
      <c r="BT575" s="87">
        <f>SUMIFS($AU$3:AU576,$AC$3:AC576,"*")</f>
        <v>28322.093506493507</v>
      </c>
      <c r="BU575" s="87">
        <f>SUMIFS($AU$3:AU576,$AA$3:AA576,"*",$AB$3:AB576,"*")</f>
        <v>5423.9999999998217</v>
      </c>
      <c r="BV575" s="87">
        <f>SUMIFS($AU$3:AU576,$AA$3:AA576,"*",$AC$3:AC576,"*")</f>
        <v>16368.036363636367</v>
      </c>
      <c r="BW575" s="87">
        <f>SUMIFS($AU$3:AU576,$AB$3:AB576,"*",$AC$3:AC576,"*")</f>
        <v>7119.9999999999982</v>
      </c>
      <c r="BX575" s="87">
        <f>SUMIFS($AV$3:AV576,$Q$3:Q576,"F")</f>
        <v>393.36321389258308</v>
      </c>
      <c r="BY575" s="87">
        <f>SUMIFS($AV$3:AV576,$Q$3:Q576,"S")</f>
        <v>700.70658000096557</v>
      </c>
      <c r="BZ575" s="87">
        <f>SUMIFS($AV$3:AV576,$Q$3:Q576,"O")</f>
        <v>628.95929999973464</v>
      </c>
    </row>
    <row r="576" spans="1:78" ht="15.75" customHeight="1">
      <c r="A576" s="45" t="s">
        <v>1819</v>
      </c>
      <c r="B576" s="59">
        <v>45419</v>
      </c>
      <c r="C576" s="46" t="s">
        <v>1905</v>
      </c>
      <c r="D576" s="46" t="s">
        <v>98</v>
      </c>
      <c r="E576" s="66"/>
      <c r="F576" s="47"/>
      <c r="G576" s="110" t="s">
        <v>1906</v>
      </c>
      <c r="H576" s="49"/>
      <c r="I576" s="49"/>
      <c r="J576" s="49"/>
      <c r="K576" s="50"/>
      <c r="L576" s="49">
        <v>1</v>
      </c>
      <c r="M576" s="49">
        <v>1</v>
      </c>
      <c r="N576" s="49"/>
      <c r="O576" s="50" t="s">
        <v>100</v>
      </c>
      <c r="P576" s="50" t="s">
        <v>101</v>
      </c>
      <c r="Q576" s="50" t="s">
        <v>127</v>
      </c>
      <c r="R576" s="50">
        <v>35</v>
      </c>
      <c r="S576" s="50">
        <v>25</v>
      </c>
      <c r="T576" s="50">
        <v>25</v>
      </c>
      <c r="U576" s="50" t="s">
        <v>102</v>
      </c>
      <c r="V576" s="50"/>
      <c r="W576" s="50"/>
      <c r="X576" s="50"/>
      <c r="Y576" s="51">
        <f>IF(ISBLANK(O576),"",(IF(O576=UPPER("IB"),0.005,0.01)))</f>
        <v>0.01</v>
      </c>
      <c r="Z576" s="52">
        <f>IF(ISBLANK(O576),"",IF(O576="IB",8.63*200,IF(O576="IR",16*100,IF(O576="YT",20*100,IF(O576="YT-XT",24*200,IF(O576="TED",80*100,IF(O576="XT",29*200)))))))</f>
        <v>1600</v>
      </c>
      <c r="AA576" s="52"/>
      <c r="AB576" s="52"/>
      <c r="AC576" s="52" t="s">
        <v>1890</v>
      </c>
      <c r="AD576" s="231">
        <f>(0.07*25+0.06*10)/35</f>
        <v>6.7142857142857143E-2</v>
      </c>
      <c r="AE576" s="49"/>
      <c r="AF576" s="84"/>
      <c r="AG576" s="49"/>
      <c r="AH576" s="49"/>
      <c r="AI576" s="49"/>
      <c r="AJ576" s="226"/>
      <c r="AK576" s="49"/>
      <c r="AL576" s="113">
        <f t="shared" si="246"/>
        <v>-32</v>
      </c>
      <c r="AM576" s="113">
        <f t="shared" si="255"/>
        <v>-320</v>
      </c>
      <c r="AN576" s="218"/>
      <c r="AO576" s="49"/>
      <c r="AP576" s="49" t="s">
        <v>1283</v>
      </c>
      <c r="AQ576" s="84" t="s">
        <v>101</v>
      </c>
      <c r="AR576" s="49"/>
      <c r="AS576" s="55">
        <f>(0.06*10+0.03*5+0.06*20)/35</f>
        <v>5.5714285714285716E-2</v>
      </c>
      <c r="AT576" s="55">
        <f>IF(ISBLANK(AS576),,IF(U576="S",AD576-AS576,AS576-AD576))</f>
        <v>1.1428571428571427E-2</v>
      </c>
      <c r="AU576" s="54">
        <f>AV576*R576</f>
        <v>640</v>
      </c>
      <c r="AV576" s="56">
        <f t="shared" si="259"/>
        <v>18.285714285714285</v>
      </c>
      <c r="AW576" s="57" t="s">
        <v>101</v>
      </c>
      <c r="AX576" s="153" t="s">
        <v>1907</v>
      </c>
      <c r="AY576" s="153"/>
      <c r="AZ576" s="153"/>
      <c r="BA576" s="153"/>
      <c r="BB576" s="153"/>
      <c r="BC576" s="153"/>
      <c r="BD576" s="151"/>
      <c r="BE576" s="152"/>
      <c r="BF576" s="151"/>
      <c r="BG576" s="94">
        <f>SUM($AV$4:AV576)</f>
        <v>3671.0290938932885</v>
      </c>
      <c r="BH576" s="95">
        <f>SUM($AU$4:AU576)</f>
        <v>51547.353506493135</v>
      </c>
      <c r="BI576" s="80">
        <f>SUMIFS($AU$3:AU997,$Q$3:Q997,"F")</f>
        <v>28758.758121878131</v>
      </c>
      <c r="BJ576" s="80">
        <f>SUMIFS($AU$3:AU997,$Q$3:Q997,"S")</f>
        <v>18338.285714285717</v>
      </c>
      <c r="BK576" s="87">
        <f>SUMIFS($AU$3:AU997,$P$3:P997,"W")</f>
        <v>16085.423836163443</v>
      </c>
      <c r="BL576" s="87">
        <f>SUMIFS($AU$3:AU997,$P$3:P997,"R")</f>
        <v>23278.800000000327</v>
      </c>
      <c r="BM576" s="87">
        <f>SUMIFS($AU$3:AU997,$AQ$3:AQ997,"M")</f>
        <v>9563.1799999983832</v>
      </c>
      <c r="BN576" s="87">
        <f>SUMIFS($AU$3:AU997,$AQ$3:AQ997,"H")</f>
        <v>12587.200000000877</v>
      </c>
      <c r="BO576" s="87">
        <f>SUMIFS($AU$3:AU997,$AQ$3:AQ997,"D")</f>
        <v>11195.57747252718</v>
      </c>
      <c r="BP576" s="87">
        <f>SUMIFS($AS$3:AS1318,$AO$3:AO1318,"W")</f>
        <v>0</v>
      </c>
      <c r="BQ576" s="87">
        <f>SUMIFS($AU$3:AU997,$Q$3:Q997,"O")</f>
        <v>-9366.1400000007852</v>
      </c>
      <c r="BR576" s="87">
        <f>SUMIFS($AU$3:AU997,$AA$3:AA997,"*")</f>
        <v>39156.002077921221</v>
      </c>
      <c r="BS576" s="87">
        <f>SUMIFS($AU$3:AU997,$AB$3:AB997,"*")</f>
        <v>7005.8599999997941</v>
      </c>
      <c r="BT576" s="87">
        <f>SUMIFS($AU$3:AU997,$AC$3:AC997,"*")</f>
        <v>31968.358121878122</v>
      </c>
      <c r="BU576" s="87">
        <f>SUMIFS($AU$3:AU997,$AA$3:AA997,"*",$AB$3:AB997,"*")</f>
        <v>7301.9999999995771</v>
      </c>
      <c r="BV576" s="87">
        <f>SUMIFS($AU$3:AU997,$AA$3:AA997,"*",$AC$3:AC997,"*")</f>
        <v>29949.316363636532</v>
      </c>
      <c r="BW576" s="87">
        <f>SUMIFS($AU$3:AU997,$AB$3:AB997,"*",$AC$3:AC997,"*")</f>
        <v>3739.199999999998</v>
      </c>
      <c r="BX576" s="87">
        <f>SUMIFS($AV$3:AV997,$Q$3:Q997,"F")</f>
        <v>396.72999236351012</v>
      </c>
      <c r="BY576" s="87">
        <f>SUMIFS($AV$3:AV997,$Q$3:Q997,"S")</f>
        <v>775.76285705724263</v>
      </c>
      <c r="BZ576" s="87">
        <f>SUMIFS($AV$3:AV997,$Q$3:Q997,"O")</f>
        <v>569.29929999965555</v>
      </c>
    </row>
    <row r="577" spans="1:78" ht="15.75" customHeight="1">
      <c r="A577" s="45" t="s">
        <v>1819</v>
      </c>
      <c r="B577" s="59">
        <v>45419</v>
      </c>
      <c r="C577" s="46" t="s">
        <v>1908</v>
      </c>
      <c r="D577" s="46" t="s">
        <v>98</v>
      </c>
      <c r="E577" s="66"/>
      <c r="F577" s="47"/>
      <c r="G577" s="48" t="s">
        <v>227</v>
      </c>
      <c r="H577" s="49"/>
      <c r="I577" s="49"/>
      <c r="J577" s="49"/>
      <c r="K577" s="50"/>
      <c r="L577" s="49"/>
      <c r="M577" s="49"/>
      <c r="N577" s="49"/>
      <c r="O577" s="50"/>
      <c r="P577" s="50"/>
      <c r="Q577" s="50"/>
      <c r="R577" s="50"/>
      <c r="S577" s="50"/>
      <c r="T577" s="50"/>
      <c r="U577" s="50"/>
      <c r="V577" s="50"/>
      <c r="W577" s="50"/>
      <c r="X577" s="50"/>
      <c r="Y577" s="51"/>
      <c r="Z577" s="52"/>
      <c r="AA577" s="52"/>
      <c r="AB577" s="52"/>
      <c r="AC577" s="52"/>
      <c r="AD577" s="231"/>
      <c r="AE577" s="49"/>
      <c r="AF577" s="84"/>
      <c r="AG577" s="49"/>
      <c r="AH577" s="49"/>
      <c r="AI577" s="49"/>
      <c r="AJ577" s="226"/>
      <c r="AK577" s="49"/>
      <c r="AL577" s="113">
        <f t="shared" ref="AL577:AL996" si="261">-0.02*Z577</f>
        <v>0</v>
      </c>
      <c r="AM577" s="113">
        <f t="shared" si="255"/>
        <v>0</v>
      </c>
      <c r="AN577" s="218"/>
      <c r="AO577" s="49"/>
      <c r="AP577" s="49"/>
      <c r="AQ577" s="84" t="str">
        <f>UPPER(RIGHT(Journal_Live[[#This Row],[DURATION ]]))</f>
        <v/>
      </c>
      <c r="AR577" s="49"/>
      <c r="AS577" s="55"/>
      <c r="AT577" s="55"/>
      <c r="AU577" s="54"/>
      <c r="AV577" s="56"/>
      <c r="AW577" s="57"/>
      <c r="AX577" s="153"/>
      <c r="AY577" s="153"/>
      <c r="AZ577" s="153"/>
      <c r="BA577" s="153"/>
      <c r="BB577" s="153"/>
      <c r="BC577" s="153"/>
      <c r="BD577" s="151"/>
      <c r="BE577" s="152"/>
      <c r="BF577" s="151"/>
      <c r="BG577" s="94">
        <f>SUM($AV$4:AV577)</f>
        <v>3671.0290938932885</v>
      </c>
      <c r="BH577" s="95">
        <f>SUM($AU$4:AU577)</f>
        <v>51547.353506493135</v>
      </c>
      <c r="BI577" s="80">
        <f>SUMIFS($AU$3:AU578,$Q$3:Q578,"F")</f>
        <v>27602.093506493511</v>
      </c>
      <c r="BJ577" s="80">
        <f>SUMIFS($AU$3:AU578,$Q$3:Q578,"S")</f>
        <v>23344</v>
      </c>
      <c r="BK577" s="87">
        <f>SUMIFS($AU$3:AU578,$P$3:P578,"W")</f>
        <v>35467.273506493846</v>
      </c>
      <c r="BL577" s="87">
        <f>SUMIFS($AU$3:AU578,$P$3:P578,"R")</f>
        <v>17725.999999999862</v>
      </c>
      <c r="BM577" s="87">
        <f>SUMIFS($AU$3:AU578,$AQ$3:AQ578,"M")</f>
        <v>8993.3799999992334</v>
      </c>
      <c r="BN577" s="87">
        <f>SUMIFS($AU$3:AU578,$AQ$3:AQ578,"H")</f>
        <v>17287.200000000284</v>
      </c>
      <c r="BO577" s="87">
        <f>SUMIFS($AU$3:AU578,$AQ$3:AQ578,"D")</f>
        <v>13961.507142857021</v>
      </c>
      <c r="BP577" s="87">
        <f>SUMIFS($AS$3:AS1316,$AO$3:AO1316,"W")</f>
        <v>0</v>
      </c>
      <c r="BQ577" s="87">
        <f>SUMIFS($AU$3:AU578,$Q$3:Q578,"O")</f>
        <v>1577.2599999996442</v>
      </c>
      <c r="BR577" s="87">
        <f>SUMIFS($AU$3:AU578,$AA$3:AA578,"*")</f>
        <v>40873.436363635774</v>
      </c>
      <c r="BS577" s="87">
        <f>SUMIFS($AU$3:AU578,$AB$3:AB578,"*")</f>
        <v>10383.860000000041</v>
      </c>
      <c r="BT577" s="87">
        <f>SUMIFS($AU$3:AU578,$AC$3:AC578,"*")</f>
        <v>30722.093506493511</v>
      </c>
      <c r="BU577" s="87">
        <f>SUMIFS($AU$3:AU578,$AA$3:AA578,"*",$AB$3:AB578,"*")</f>
        <v>5423.9999999998217</v>
      </c>
      <c r="BV577" s="87">
        <f>SUMIFS($AU$3:AU578,$AA$3:AA578,"*",$AC$3:AC578,"*")</f>
        <v>18768.036363636369</v>
      </c>
      <c r="BW577" s="87">
        <f>SUMIFS($AU$3:AU578,$AB$3:AB578,"*",$AC$3:AC578,"*")</f>
        <v>7119.9999999999982</v>
      </c>
      <c r="BX577" s="87">
        <f>SUMIFS($AV$3:AV578,$Q$3:Q578,"F")</f>
        <v>411.82475235412153</v>
      </c>
      <c r="BY577" s="87">
        <f>SUMIFS($AV$3:AV578,$Q$3:Q578,"S")</f>
        <v>700.70658000096557</v>
      </c>
      <c r="BZ577" s="87">
        <f>SUMIFS($AV$3:AV578,$Q$3:Q578,"O")</f>
        <v>628.95929999973464</v>
      </c>
    </row>
    <row r="578" spans="1:78" ht="15.75" customHeight="1">
      <c r="A578" s="45" t="s">
        <v>1819</v>
      </c>
      <c r="B578" s="59">
        <v>45419</v>
      </c>
      <c r="C578" s="46" t="s">
        <v>219</v>
      </c>
      <c r="D578" s="46" t="s">
        <v>98</v>
      </c>
      <c r="E578" s="66"/>
      <c r="F578" s="47"/>
      <c r="G578" s="173" t="s">
        <v>125</v>
      </c>
      <c r="H578" s="49"/>
      <c r="I578" s="49"/>
      <c r="J578" s="49"/>
      <c r="K578" s="50"/>
      <c r="L578" s="49">
        <v>1</v>
      </c>
      <c r="M578" s="49"/>
      <c r="N578" s="49"/>
      <c r="O578" s="50" t="s">
        <v>100</v>
      </c>
      <c r="P578" s="50" t="s">
        <v>126</v>
      </c>
      <c r="Q578" s="50" t="s">
        <v>127</v>
      </c>
      <c r="R578" s="50">
        <v>130</v>
      </c>
      <c r="S578" s="50">
        <v>70</v>
      </c>
      <c r="T578" s="50">
        <v>10</v>
      </c>
      <c r="U578" s="50" t="s">
        <v>22</v>
      </c>
      <c r="V578" s="50"/>
      <c r="W578" s="50"/>
      <c r="X578" s="50"/>
      <c r="Y578" s="51">
        <f>IF(ISBLANK(O578),"",(IF(O578=UPPER("IB"),0.005,0.01)))</f>
        <v>0.01</v>
      </c>
      <c r="Z578" s="52">
        <f>IF(ISBLANK(O578),"",IF(O578="IB",8.63*200,IF(O578="IR",16*100,IF(O578="YT",20*100,IF(O578="YT-XT",24*200,IF(O578="TED",80*100,IF(O578="XT",29*200)))))))</f>
        <v>1600</v>
      </c>
      <c r="AA578" s="52" t="s">
        <v>1909</v>
      </c>
      <c r="AB578" s="52"/>
      <c r="AC578" s="52" t="s">
        <v>1910</v>
      </c>
      <c r="AD578" s="231">
        <f>((-0.04*50)+(-0.03*80))/130</f>
        <v>-3.3846153846153852E-2</v>
      </c>
      <c r="AE578" s="49"/>
      <c r="AF578" s="84"/>
      <c r="AG578" s="49"/>
      <c r="AH578" s="49"/>
      <c r="AI578" s="49"/>
      <c r="AJ578" s="226"/>
      <c r="AK578" s="49"/>
      <c r="AL578" s="113">
        <f t="shared" si="261"/>
        <v>-32</v>
      </c>
      <c r="AM578" s="113">
        <f t="shared" si="255"/>
        <v>-1920</v>
      </c>
      <c r="AN578" s="218" t="s">
        <v>1911</v>
      </c>
      <c r="AO578" s="49"/>
      <c r="AP578" s="49" t="s">
        <v>1912</v>
      </c>
      <c r="AQ578" s="84" t="s">
        <v>101</v>
      </c>
      <c r="AR578" s="49"/>
      <c r="AS578" s="55">
        <f>((-0.03*30)+(-0.02*40)+(-0.02*60))/130</f>
        <v>-2.2307692307692306E-2</v>
      </c>
      <c r="AT578" s="55">
        <f>IF(ISBLANK(AS578),,IF(U578="S",AD578-AS578,AS578-AD578))</f>
        <v>1.1538461538461546E-2</v>
      </c>
      <c r="AU578" s="54">
        <f>AV578*R578</f>
        <v>2400.0000000000018</v>
      </c>
      <c r="AV578" s="56">
        <f t="shared" ref="AV578" si="262">IF(ISBLANK(AS578),,(AT578*Z578))</f>
        <v>18.461538461538474</v>
      </c>
      <c r="AW578" s="57" t="s">
        <v>101</v>
      </c>
      <c r="AX578" s="153" t="s">
        <v>1913</v>
      </c>
      <c r="AY578" s="153" t="s">
        <v>1914</v>
      </c>
      <c r="AZ578" s="153" t="s">
        <v>1915</v>
      </c>
      <c r="BA578" s="153" t="s">
        <v>1916</v>
      </c>
      <c r="BB578" s="153"/>
      <c r="BC578" s="153"/>
      <c r="BD578" s="151"/>
      <c r="BE578" s="152"/>
      <c r="BF578" s="151"/>
      <c r="BG578" s="94">
        <f>SUM($AV$4:AV578)</f>
        <v>3689.4906323548271</v>
      </c>
      <c r="BH578" s="95">
        <f>SUM($AU$4:AU578)</f>
        <v>53947.353506493135</v>
      </c>
      <c r="BI578" s="80">
        <f>SUMIFS($AU$3:AU579,$Q$3:Q579,"F")</f>
        <v>28242.093506493511</v>
      </c>
      <c r="BJ578" s="80">
        <f>SUMIFS($AU$3:AU579,$Q$3:Q579,"S")</f>
        <v>23344</v>
      </c>
      <c r="BK578" s="87">
        <f>SUMIFS($AU$3:AU579,$P$3:P579,"W")</f>
        <v>36107.273506493846</v>
      </c>
      <c r="BL578" s="87">
        <f>SUMIFS($AU$3:AU579,$P$3:P579,"R")</f>
        <v>17725.999999999862</v>
      </c>
      <c r="BM578" s="87">
        <f>SUMIFS($AU$3:AU579,$AQ$3:AQ579,"M")</f>
        <v>8993.3799999992334</v>
      </c>
      <c r="BN578" s="87">
        <f>SUMIFS($AU$3:AU579,$AQ$3:AQ579,"H")</f>
        <v>17287.200000000284</v>
      </c>
      <c r="BO578" s="87">
        <f>SUMIFS($AU$3:AU579,$AQ$3:AQ579,"D")</f>
        <v>13961.507142857021</v>
      </c>
      <c r="BP578" s="87">
        <f>SUMIFS($AS$3:AS1317,$AO$3:AO1317,"W")</f>
        <v>0</v>
      </c>
      <c r="BQ578" s="87">
        <f>SUMIFS($AU$3:AU579,$Q$3:Q579,"O")</f>
        <v>1577.2599999996442</v>
      </c>
      <c r="BR578" s="87">
        <f>SUMIFS($AU$3:AU579,$AA$3:AA579,"*")</f>
        <v>41513.436363635774</v>
      </c>
      <c r="BS578" s="87">
        <f>SUMIFS($AU$3:AU579,$AB$3:AB579,"*")</f>
        <v>10383.860000000041</v>
      </c>
      <c r="BT578" s="87">
        <f>SUMIFS($AU$3:AU579,$AC$3:AC579,"*")</f>
        <v>31362.093506493511</v>
      </c>
      <c r="BU578" s="87">
        <f>SUMIFS($AU$3:AU579,$AA$3:AA579,"*",$AB$3:AB579,"*")</f>
        <v>5423.9999999998217</v>
      </c>
      <c r="BV578" s="87">
        <f>SUMIFS($AU$3:AU579,$AA$3:AA579,"*",$AC$3:AC579,"*")</f>
        <v>19408.036363636369</v>
      </c>
      <c r="BW578" s="87">
        <f>SUMIFS($AU$3:AU579,$AB$3:AB579,"*",$AC$3:AC579,"*")</f>
        <v>7119.9999999999982</v>
      </c>
      <c r="BX578" s="87">
        <f>SUMIFS($AV$3:AV579,$Q$3:Q579,"F")</f>
        <v>418.22475235412151</v>
      </c>
      <c r="BY578" s="87">
        <f>SUMIFS($AV$3:AV579,$Q$3:Q579,"S")</f>
        <v>700.70658000096557</v>
      </c>
      <c r="BZ578" s="87">
        <f>SUMIFS($AV$3:AV579,$Q$3:Q579,"O")</f>
        <v>628.95929999973464</v>
      </c>
    </row>
    <row r="579" spans="1:78" ht="15.75" customHeight="1">
      <c r="A579" s="45" t="s">
        <v>1819</v>
      </c>
      <c r="B579" s="59">
        <v>45419</v>
      </c>
      <c r="C579" s="46" t="s">
        <v>871</v>
      </c>
      <c r="D579" s="46" t="s">
        <v>98</v>
      </c>
      <c r="E579" s="66"/>
      <c r="F579" s="47"/>
      <c r="G579" s="173" t="s">
        <v>255</v>
      </c>
      <c r="H579" s="49"/>
      <c r="I579" s="49"/>
      <c r="J579" s="49"/>
      <c r="K579" s="50"/>
      <c r="L579" s="49">
        <v>1</v>
      </c>
      <c r="M579" s="49"/>
      <c r="N579" s="49"/>
      <c r="O579" s="50" t="s">
        <v>100</v>
      </c>
      <c r="P579" s="50" t="s">
        <v>101</v>
      </c>
      <c r="Q579" s="50" t="s">
        <v>127</v>
      </c>
      <c r="R579" s="50">
        <v>100</v>
      </c>
      <c r="S579" s="50">
        <v>60</v>
      </c>
      <c r="T579" s="50">
        <v>35</v>
      </c>
      <c r="U579" s="50" t="s">
        <v>102</v>
      </c>
      <c r="V579" s="50"/>
      <c r="W579" s="50"/>
      <c r="X579" s="50"/>
      <c r="Y579" s="51">
        <f>IF(ISBLANK(O579),"",(IF(O579=UPPER("IB"),0.005,0.01)))</f>
        <v>0.01</v>
      </c>
      <c r="Z579" s="52">
        <f>IF(ISBLANK(O579),"",IF(O579="IB",8.63*200,IF(O579="IR",16*100,IF(O579="YT",20*100,IF(O579="YT-XT",24*200,IF(O579="TED",80*100,IF(O579="XT",29*200)))))))</f>
        <v>1600</v>
      </c>
      <c r="AA579" s="52" t="s">
        <v>1917</v>
      </c>
      <c r="AB579" s="52"/>
      <c r="AC579" s="52" t="s">
        <v>1910</v>
      </c>
      <c r="AD579" s="231">
        <f>((-0.02*50)+(-0.01*50))/100</f>
        <v>-1.4999999999999999E-2</v>
      </c>
      <c r="AE579" s="49"/>
      <c r="AF579" s="84"/>
      <c r="AG579" s="49"/>
      <c r="AH579" s="49"/>
      <c r="AI579" s="49"/>
      <c r="AJ579" s="226"/>
      <c r="AK579" s="49"/>
      <c r="AL579" s="113">
        <f>-0.01*Z579</f>
        <v>-16</v>
      </c>
      <c r="AM579" s="113">
        <f t="shared" si="255"/>
        <v>-640</v>
      </c>
      <c r="AN579" s="218" t="s">
        <v>1911</v>
      </c>
      <c r="AO579" s="49"/>
      <c r="AP579" s="49" t="s">
        <v>843</v>
      </c>
      <c r="AQ579" s="84" t="s">
        <v>101</v>
      </c>
      <c r="AR579" s="49"/>
      <c r="AS579" s="55">
        <f>((-0.01*10)+(-0.02*50)+(-0.02*40))/100</f>
        <v>-1.9000000000000003E-2</v>
      </c>
      <c r="AT579" s="55">
        <f>IF(ISBLANK(AS579),,IF(U579="S",AD579-AS579,AS579-AD579))</f>
        <v>4.0000000000000036E-3</v>
      </c>
      <c r="AU579" s="54">
        <f>AV579*R579</f>
        <v>640.00000000000057</v>
      </c>
      <c r="AV579" s="56">
        <f t="shared" si="259"/>
        <v>6.4000000000000057</v>
      </c>
      <c r="AW579" s="57" t="s">
        <v>101</v>
      </c>
      <c r="AX579" s="153"/>
      <c r="AY579" s="153"/>
      <c r="AZ579" s="153"/>
      <c r="BA579" s="153"/>
      <c r="BB579" s="153"/>
      <c r="BC579" s="153"/>
      <c r="BD579" s="151"/>
      <c r="BE579" s="152"/>
      <c r="BF579" s="151"/>
      <c r="BG579" s="94">
        <f>SUM($AV$4:AV579)</f>
        <v>3695.8906323548272</v>
      </c>
      <c r="BH579" s="95">
        <f>SUM($AU$4:AU579)</f>
        <v>54587.353506493135</v>
      </c>
      <c r="BI579" s="80">
        <f>SUMIFS($AU$3:AU997,$Q$3:Q997,"F")</f>
        <v>28758.758121878131</v>
      </c>
      <c r="BJ579" s="80">
        <f>SUMIFS($AU$3:AU997,$Q$3:Q997,"S")</f>
        <v>18338.285714285717</v>
      </c>
      <c r="BK579" s="87">
        <f>SUMIFS($AU$3:AU997,$P$3:P997,"W")</f>
        <v>16085.423836163443</v>
      </c>
      <c r="BL579" s="87">
        <f>SUMIFS($AU$3:AU997,$P$3:P997,"R")</f>
        <v>23278.800000000327</v>
      </c>
      <c r="BM579" s="87">
        <f>SUMIFS($AU$3:AU997,$AQ$3:AQ997,"M")</f>
        <v>9563.1799999983832</v>
      </c>
      <c r="BN579" s="87">
        <f>SUMIFS($AU$3:AU997,$AQ$3:AQ997,"H")</f>
        <v>12587.200000000877</v>
      </c>
      <c r="BO579" s="87">
        <f>SUMIFS($AU$3:AU997,$AQ$3:AQ997,"D")</f>
        <v>11195.57747252718</v>
      </c>
      <c r="BP579" s="87">
        <f>SUMIFS($AS$3:AS1318,$AO$3:AO1318,"W")</f>
        <v>0</v>
      </c>
      <c r="BQ579" s="87">
        <f>SUMIFS($AU$3:AU997,$Q$3:Q997,"O")</f>
        <v>-9366.1400000007852</v>
      </c>
      <c r="BR579" s="87">
        <f>SUMIFS($AU$3:AU997,$AA$3:AA997,"*")</f>
        <v>39156.002077921221</v>
      </c>
      <c r="BS579" s="87">
        <f>SUMIFS($AU$3:AU997,$AB$3:AB997,"*")</f>
        <v>7005.8599999997941</v>
      </c>
      <c r="BT579" s="87">
        <f>SUMIFS($AU$3:AU997,$AC$3:AC997,"*")</f>
        <v>31968.358121878122</v>
      </c>
      <c r="BU579" s="87">
        <f>SUMIFS($AU$3:AU997,$AA$3:AA997,"*",$AB$3:AB997,"*")</f>
        <v>7301.9999999995771</v>
      </c>
      <c r="BV579" s="87">
        <f>SUMIFS($AU$3:AU997,$AA$3:AA997,"*",$AC$3:AC997,"*")</f>
        <v>29949.316363636532</v>
      </c>
      <c r="BW579" s="87">
        <f>SUMIFS($AU$3:AU997,$AB$3:AB997,"*",$AC$3:AC997,"*")</f>
        <v>3739.199999999998</v>
      </c>
      <c r="BX579" s="87">
        <f>SUMIFS($AV$3:AV997,$Q$3:Q997,"F")</f>
        <v>396.72999236351012</v>
      </c>
      <c r="BY579" s="87">
        <f>SUMIFS($AV$3:AV997,$Q$3:Q997,"S")</f>
        <v>775.76285705724263</v>
      </c>
      <c r="BZ579" s="87">
        <f>SUMIFS($AV$3:AV997,$Q$3:Q997,"O")</f>
        <v>569.29929999965555</v>
      </c>
    </row>
    <row r="580" spans="1:78" ht="15.75" customHeight="1">
      <c r="A580" s="45" t="s">
        <v>1819</v>
      </c>
      <c r="B580" s="59">
        <v>45419</v>
      </c>
      <c r="C580" s="46" t="s">
        <v>406</v>
      </c>
      <c r="D580" s="46" t="s">
        <v>98</v>
      </c>
      <c r="E580" s="66"/>
      <c r="F580" s="47"/>
      <c r="G580" s="155" t="s">
        <v>1918</v>
      </c>
      <c r="H580" s="49"/>
      <c r="I580" s="49"/>
      <c r="J580" s="49"/>
      <c r="K580" s="50"/>
      <c r="L580" s="49">
        <v>1</v>
      </c>
      <c r="M580" s="49"/>
      <c r="N580" s="49"/>
      <c r="O580" s="50" t="s">
        <v>100</v>
      </c>
      <c r="P580" s="50" t="s">
        <v>126</v>
      </c>
      <c r="Q580" s="50" t="s">
        <v>198</v>
      </c>
      <c r="R580" s="50">
        <v>15</v>
      </c>
      <c r="S580" s="50">
        <v>0</v>
      </c>
      <c r="T580" s="50">
        <v>15</v>
      </c>
      <c r="U580" s="50" t="s">
        <v>102</v>
      </c>
      <c r="V580" s="50"/>
      <c r="W580" s="50"/>
      <c r="X580" s="50"/>
      <c r="Y580" s="51">
        <f>IF(ISBLANK(O580),"",(IF(O580=UPPER("IB"),0.005,0.01)))</f>
        <v>0.01</v>
      </c>
      <c r="Z580" s="52">
        <f>IF(ISBLANK(O580),"",IF(O580="IB",8.63*200,IF(O580="IR",16*100,IF(O580="YT",20*100,IF(O580="YT-XT",24*200,IF(O580="TED",80*100,IF(O580="XT",29*200)))))))</f>
        <v>1600</v>
      </c>
      <c r="AA580" s="52" t="s">
        <v>1919</v>
      </c>
      <c r="AB580" s="52"/>
      <c r="AC580" s="52"/>
      <c r="AD580" s="231">
        <v>95.95</v>
      </c>
      <c r="AE580" s="49"/>
      <c r="AF580" s="84"/>
      <c r="AG580" s="49"/>
      <c r="AH580" s="49"/>
      <c r="AI580" s="49"/>
      <c r="AJ580" s="226"/>
      <c r="AK580" s="49"/>
      <c r="AL580" s="113">
        <f t="shared" si="261"/>
        <v>-32</v>
      </c>
      <c r="AM580" s="113">
        <f t="shared" si="255"/>
        <v>-480</v>
      </c>
      <c r="AN580" s="218"/>
      <c r="AO580" s="49"/>
      <c r="AP580" s="49"/>
      <c r="AQ580" s="84" t="s">
        <v>142</v>
      </c>
      <c r="AR580" s="49"/>
      <c r="AS580" s="55">
        <v>95.97</v>
      </c>
      <c r="AT580" s="55">
        <f>IF(ISBLANK(AS580),,IF(U580="S",AD580-AS580,AS580-AD580))</f>
        <v>-1.9999999999996021E-2</v>
      </c>
      <c r="AU580" s="54">
        <f>AV580*R580</f>
        <v>-479.9999999999045</v>
      </c>
      <c r="AV580" s="56">
        <f t="shared" si="259"/>
        <v>-31.999999999993634</v>
      </c>
      <c r="AW580" s="57" t="s">
        <v>121</v>
      </c>
      <c r="AX580" s="153" t="s">
        <v>1920</v>
      </c>
      <c r="AY580" s="153"/>
      <c r="AZ580" s="153"/>
      <c r="BA580" s="153"/>
      <c r="BB580" s="153"/>
      <c r="BC580" s="153"/>
      <c r="BD580" s="151" t="s">
        <v>1921</v>
      </c>
      <c r="BE580" s="152"/>
      <c r="BF580" s="151"/>
      <c r="BG580" s="94">
        <f>SUM($AV$4:AV580)</f>
        <v>3663.8906323548335</v>
      </c>
      <c r="BH580" s="95">
        <f>SUM($AU$4:AU580)</f>
        <v>54107.353506493229</v>
      </c>
      <c r="BI580" s="80">
        <f>SUMIFS($AU$3:AU581,$Q$3:Q581,"F")</f>
        <v>28242.093506493511</v>
      </c>
      <c r="BJ580" s="80">
        <f>SUMIFS($AU$3:AU581,$Q$3:Q581,"S")</f>
        <v>23344</v>
      </c>
      <c r="BK580" s="87">
        <f>SUMIFS($AU$3:AU581,$P$3:P581,"W")</f>
        <v>36107.273506493846</v>
      </c>
      <c r="BL580" s="87">
        <f>SUMIFS($AU$3:AU581,$P$3:P581,"R")</f>
        <v>17245.999999999956</v>
      </c>
      <c r="BM580" s="87">
        <f>SUMIFS($AU$3:AU581,$AQ$3:AQ581,"M")</f>
        <v>8993.3799999992334</v>
      </c>
      <c r="BN580" s="87">
        <f>SUMIFS($AU$3:AU581,$AQ$3:AQ581,"H")</f>
        <v>16807.200000000379</v>
      </c>
      <c r="BO580" s="87">
        <f>SUMIFS($AU$3:AU581,$AQ$3:AQ581,"D")</f>
        <v>13961.507142857021</v>
      </c>
      <c r="BP580" s="87">
        <f>SUMIFS($AS$3:AS1315,$AO$3:AO1315,"W")</f>
        <v>0</v>
      </c>
      <c r="BQ580" s="87">
        <f>SUMIFS($AU$3:AU581,$Q$3:Q581,"O")</f>
        <v>1097.2599999997396</v>
      </c>
      <c r="BR580" s="87">
        <f>SUMIFS($AU$3:AU581,$AA$3:AA581,"*")</f>
        <v>41033.436363635868</v>
      </c>
      <c r="BS580" s="87">
        <f>SUMIFS($AU$3:AU581,$AB$3:AB581,"*")</f>
        <v>10383.860000000041</v>
      </c>
      <c r="BT580" s="87">
        <f>SUMIFS($AU$3:AU581,$AC$3:AC581,"*")</f>
        <v>31362.093506493511</v>
      </c>
      <c r="BU580" s="87">
        <f>SUMIFS($AU$3:AU581,$AA$3:AA581,"*",$AB$3:AB581,"*")</f>
        <v>5423.9999999998217</v>
      </c>
      <c r="BV580" s="87">
        <f>SUMIFS($AU$3:AU581,$AA$3:AA581,"*",$AC$3:AC581,"*")</f>
        <v>19408.036363636369</v>
      </c>
      <c r="BW580" s="87">
        <f>SUMIFS($AU$3:AU581,$AB$3:AB581,"*",$AC$3:AC581,"*")</f>
        <v>7119.9999999999982</v>
      </c>
      <c r="BX580" s="87">
        <f>SUMIFS($AV$3:AV581,$Q$3:Q581,"F")</f>
        <v>418.22475235412151</v>
      </c>
      <c r="BY580" s="87">
        <f>SUMIFS($AV$3:AV581,$Q$3:Q581,"S")</f>
        <v>700.70658000096557</v>
      </c>
      <c r="BZ580" s="87">
        <f>SUMIFS($AV$3:AV581,$Q$3:Q581,"O")</f>
        <v>596.95929999974101</v>
      </c>
    </row>
    <row r="581" spans="1:78" ht="15.75" customHeight="1">
      <c r="A581" s="45" t="s">
        <v>1819</v>
      </c>
      <c r="B581" s="59">
        <v>45420</v>
      </c>
      <c r="C581" s="46" t="s">
        <v>1211</v>
      </c>
      <c r="D581" s="46" t="s">
        <v>186</v>
      </c>
      <c r="E581" s="66"/>
      <c r="F581" s="47"/>
      <c r="G581" s="155" t="s">
        <v>116</v>
      </c>
      <c r="H581" s="49"/>
      <c r="I581" s="49"/>
      <c r="J581" s="49"/>
      <c r="K581" s="50"/>
      <c r="L581" s="49">
        <v>1</v>
      </c>
      <c r="M581" s="49"/>
      <c r="N581" s="49"/>
      <c r="O581" s="50" t="s">
        <v>100</v>
      </c>
      <c r="P581" s="50" t="s">
        <v>101</v>
      </c>
      <c r="Q581" s="50" t="s">
        <v>127</v>
      </c>
      <c r="R581" s="50">
        <v>50</v>
      </c>
      <c r="S581" s="50">
        <v>30</v>
      </c>
      <c r="T581" s="50">
        <v>20</v>
      </c>
      <c r="U581" s="50" t="s">
        <v>22</v>
      </c>
      <c r="V581" s="50"/>
      <c r="W581" s="50"/>
      <c r="X581" s="50"/>
      <c r="Y581" s="51">
        <f>IF(ISBLANK(O581),"",(IF(O581=UPPER("IB"),0.005,0.01)))</f>
        <v>0.01</v>
      </c>
      <c r="Z581" s="52">
        <f>IF(ISBLANK(O581),"",IF(O581="IB",8.63*200,IF(O581="IR",16*100,IF(O581="YT",20*100,IF(O581="YT-XT",24*200,IF(O581="TED",80*100,IF(O581="XT",29*200)))))))</f>
        <v>1600</v>
      </c>
      <c r="AA581" s="52"/>
      <c r="AB581" s="52"/>
      <c r="AC581" s="52" t="s">
        <v>1922</v>
      </c>
      <c r="AD581" s="231">
        <v>0.08</v>
      </c>
      <c r="AE581" s="49"/>
      <c r="AF581" s="84"/>
      <c r="AG581" s="49"/>
      <c r="AH581" s="49"/>
      <c r="AI581" s="49"/>
      <c r="AJ581" s="226"/>
      <c r="AK581" s="49"/>
      <c r="AL581" s="113">
        <f t="shared" si="261"/>
        <v>-32</v>
      </c>
      <c r="AM581" s="113">
        <f t="shared" si="255"/>
        <v>-640</v>
      </c>
      <c r="AN581" s="218"/>
      <c r="AO581" s="49"/>
      <c r="AP581" s="49"/>
      <c r="AQ581" s="84" t="s">
        <v>155</v>
      </c>
      <c r="AR581" s="49"/>
      <c r="AS581" s="55">
        <v>0.08</v>
      </c>
      <c r="AT581" s="55">
        <f>IF(ISBLANK(AS581),,IF(U581="S",AD581-AS581,AS581-AD581))</f>
        <v>0</v>
      </c>
      <c r="AU581" s="54">
        <f>AV581*R581</f>
        <v>0</v>
      </c>
      <c r="AV581" s="56">
        <f t="shared" ref="AV581" si="263">IF(ISBLANK(AS581),,(AT581*Z581))</f>
        <v>0</v>
      </c>
      <c r="AW581" s="57" t="s">
        <v>155</v>
      </c>
      <c r="AX581" s="153"/>
      <c r="AY581" s="153"/>
      <c r="AZ581" s="153"/>
      <c r="BA581" s="153"/>
      <c r="BB581" s="153"/>
      <c r="BC581" s="153"/>
      <c r="BD581" s="151"/>
      <c r="BE581" s="152"/>
      <c r="BF581" s="151"/>
      <c r="BG581" s="94">
        <f>SUM($AV$4:AV581)</f>
        <v>3663.8906323548335</v>
      </c>
      <c r="BH581" s="95">
        <f>SUM($AU$4:AU581)</f>
        <v>54107.353506493229</v>
      </c>
      <c r="BI581" s="80">
        <f>SUMIFS($AU$3:AU582,$Q$3:Q582,"F")</f>
        <v>28242.093506493511</v>
      </c>
      <c r="BJ581" s="80">
        <f>SUMIFS($AU$3:AU582,$Q$3:Q582,"S")</f>
        <v>23344</v>
      </c>
      <c r="BK581" s="87">
        <f>SUMIFS($AU$3:AU582,$P$3:P582,"W")</f>
        <v>36107.273506493846</v>
      </c>
      <c r="BL581" s="87">
        <f>SUMIFS($AU$3:AU582,$P$3:P582,"R")</f>
        <v>17245.999999999956</v>
      </c>
      <c r="BM581" s="87">
        <f>SUMIFS($AU$3:AU582,$AQ$3:AQ582,"M")</f>
        <v>8993.3799999992334</v>
      </c>
      <c r="BN581" s="87">
        <f>SUMIFS($AU$3:AU582,$AQ$3:AQ582,"H")</f>
        <v>16807.200000000379</v>
      </c>
      <c r="BO581" s="87">
        <f>SUMIFS($AU$3:AU582,$AQ$3:AQ582,"D")</f>
        <v>13961.507142857021</v>
      </c>
      <c r="BP581" s="87">
        <f>SUMIFS($AS$3:AS1316,$AO$3:AO1316,"W")</f>
        <v>0</v>
      </c>
      <c r="BQ581" s="87">
        <f>SUMIFS($AU$3:AU582,$Q$3:Q582,"O")</f>
        <v>1097.2599999997396</v>
      </c>
      <c r="BR581" s="87">
        <f>SUMIFS($AU$3:AU582,$AA$3:AA582,"*")</f>
        <v>41033.436363635868</v>
      </c>
      <c r="BS581" s="87">
        <f>SUMIFS($AU$3:AU582,$AB$3:AB582,"*")</f>
        <v>10383.860000000041</v>
      </c>
      <c r="BT581" s="87">
        <f>SUMIFS($AU$3:AU582,$AC$3:AC582,"*")</f>
        <v>31362.093506493511</v>
      </c>
      <c r="BU581" s="87">
        <f>SUMIFS($AU$3:AU582,$AA$3:AA582,"*",$AB$3:AB582,"*")</f>
        <v>5423.9999999998217</v>
      </c>
      <c r="BV581" s="87">
        <f>SUMIFS($AU$3:AU582,$AA$3:AA582,"*",$AC$3:AC582,"*")</f>
        <v>19408.036363636369</v>
      </c>
      <c r="BW581" s="87">
        <f>SUMIFS($AU$3:AU582,$AB$3:AB582,"*",$AC$3:AC582,"*")</f>
        <v>7119.9999999999982</v>
      </c>
      <c r="BX581" s="87">
        <f>SUMIFS($AV$3:AV582,$Q$3:Q582,"F")</f>
        <v>418.22475235412151</v>
      </c>
      <c r="BY581" s="87">
        <f>SUMIFS($AV$3:AV582,$Q$3:Q582,"S")</f>
        <v>700.70658000096557</v>
      </c>
      <c r="BZ581" s="87">
        <f>SUMIFS($AV$3:AV582,$Q$3:Q582,"O")</f>
        <v>596.95929999974101</v>
      </c>
    </row>
    <row r="582" spans="1:78" ht="15.75" customHeight="1">
      <c r="A582" s="45" t="s">
        <v>1819</v>
      </c>
      <c r="B582" s="59">
        <v>45420</v>
      </c>
      <c r="C582" s="46" t="s">
        <v>397</v>
      </c>
      <c r="D582" s="46" t="s">
        <v>186</v>
      </c>
      <c r="E582" s="66"/>
      <c r="F582" s="47"/>
      <c r="G582" s="155" t="s">
        <v>269</v>
      </c>
      <c r="H582" s="49"/>
      <c r="I582" s="49"/>
      <c r="J582" s="49"/>
      <c r="K582" s="50"/>
      <c r="L582" s="49"/>
      <c r="M582" s="49"/>
      <c r="N582" s="49"/>
      <c r="O582" s="50" t="s">
        <v>100</v>
      </c>
      <c r="P582" s="50" t="s">
        <v>126</v>
      </c>
      <c r="Q582" s="50" t="s">
        <v>102</v>
      </c>
      <c r="R582" s="50">
        <v>20</v>
      </c>
      <c r="S582" s="161">
        <v>0</v>
      </c>
      <c r="T582" s="50">
        <v>20</v>
      </c>
      <c r="U582" s="50" t="s">
        <v>22</v>
      </c>
      <c r="V582" s="50"/>
      <c r="W582" s="50"/>
      <c r="X582" s="50"/>
      <c r="Y582" s="51">
        <f>IF(ISBLANK(O582),"",(IF(O582=UPPER("IB"),0.005,0.01)))</f>
        <v>0.01</v>
      </c>
      <c r="Z582" s="52">
        <f>IF(ISBLANK(O582),"",IF(O582="IB",8.63*200,IF(O582="IR",16*100,IF(O582="YT",20*100,IF(O582="YT-XT",24*200,IF(O582="TED",80*100,IF(O582="XT",29*200)))))))</f>
        <v>1600</v>
      </c>
      <c r="AA582" s="52" t="s">
        <v>1923</v>
      </c>
      <c r="AB582" s="52"/>
      <c r="AC582" s="52"/>
      <c r="AD582" s="231">
        <v>-0.04</v>
      </c>
      <c r="AE582" s="49"/>
      <c r="AF582" s="84"/>
      <c r="AG582" s="49"/>
      <c r="AH582" s="49"/>
      <c r="AI582" s="49"/>
      <c r="AJ582" s="226"/>
      <c r="AK582" s="49"/>
      <c r="AL582" s="113">
        <f t="shared" si="261"/>
        <v>-32</v>
      </c>
      <c r="AM582" s="113">
        <f t="shared" si="255"/>
        <v>-640</v>
      </c>
      <c r="AN582" s="218"/>
      <c r="AO582" s="49"/>
      <c r="AP582" s="49" t="s">
        <v>279</v>
      </c>
      <c r="AQ582" s="84" t="s">
        <v>155</v>
      </c>
      <c r="AR582" s="49"/>
      <c r="AS582" s="55">
        <v>-0.04</v>
      </c>
      <c r="AT582" s="55">
        <f>IF(ISBLANK(AS582),,IF(U582="S",AD582-AS582,AS582-AD582))</f>
        <v>0</v>
      </c>
      <c r="AU582" s="54">
        <f>AV582*R582</f>
        <v>0</v>
      </c>
      <c r="AV582" s="56">
        <f t="shared" ref="AV582" si="264">IF(ISBLANK(AS582),,(AT582*Z582))</f>
        <v>0</v>
      </c>
      <c r="AW582" s="57" t="s">
        <v>155</v>
      </c>
      <c r="AX582" s="153" t="s">
        <v>1924</v>
      </c>
      <c r="AY582" s="153"/>
      <c r="AZ582" s="153"/>
      <c r="BA582" s="153"/>
      <c r="BB582" s="153"/>
      <c r="BC582" s="153"/>
      <c r="BD582" s="151"/>
      <c r="BE582" s="152"/>
      <c r="BF582" s="151"/>
      <c r="BG582" s="94">
        <f>SUM($AV$4:AV582)</f>
        <v>3663.8906323548335</v>
      </c>
      <c r="BH582" s="95">
        <f>SUM($AU$4:AU582)</f>
        <v>54107.353506493229</v>
      </c>
      <c r="BI582" s="80">
        <f>SUMIFS($AU$3:AU583,$Q$3:Q583,"F")</f>
        <v>28242.093506493511</v>
      </c>
      <c r="BJ582" s="80">
        <f>SUMIFS($AU$3:AU583,$Q$3:Q583,"S")</f>
        <v>23344</v>
      </c>
      <c r="BK582" s="87">
        <f>SUMIFS($AU$3:AU583,$P$3:P583,"W")</f>
        <v>36107.273506493846</v>
      </c>
      <c r="BL582" s="87">
        <f>SUMIFS($AU$3:AU583,$P$3:P583,"R")</f>
        <v>17245.999999999956</v>
      </c>
      <c r="BM582" s="87">
        <f>SUMIFS($AU$3:AU583,$AQ$3:AQ583,"M")</f>
        <v>8993.3799999992334</v>
      </c>
      <c r="BN582" s="87">
        <f>SUMIFS($AU$3:AU583,$AQ$3:AQ583,"H")</f>
        <v>16807.200000000379</v>
      </c>
      <c r="BO582" s="87">
        <f>SUMIFS($AU$3:AU583,$AQ$3:AQ583,"D")</f>
        <v>13961.507142857021</v>
      </c>
      <c r="BP582" s="87">
        <f>SUMIFS($AS$3:AS1317,$AO$3:AO1317,"W")</f>
        <v>0</v>
      </c>
      <c r="BQ582" s="87">
        <f>SUMIFS($AU$3:AU583,$Q$3:Q583,"O")</f>
        <v>1097.2599999997396</v>
      </c>
      <c r="BR582" s="87">
        <f>SUMIFS($AU$3:AU583,$AA$3:AA583,"*")</f>
        <v>41033.436363635868</v>
      </c>
      <c r="BS582" s="87">
        <f>SUMIFS($AU$3:AU583,$AB$3:AB583,"*")</f>
        <v>10383.860000000041</v>
      </c>
      <c r="BT582" s="87">
        <f>SUMIFS($AU$3:AU583,$AC$3:AC583,"*")</f>
        <v>31362.093506493511</v>
      </c>
      <c r="BU582" s="87">
        <f>SUMIFS($AU$3:AU583,$AA$3:AA583,"*",$AB$3:AB583,"*")</f>
        <v>5423.9999999998217</v>
      </c>
      <c r="BV582" s="87">
        <f>SUMIFS($AU$3:AU583,$AA$3:AA583,"*",$AC$3:AC583,"*")</f>
        <v>19408.036363636369</v>
      </c>
      <c r="BW582" s="87">
        <f>SUMIFS($AU$3:AU583,$AB$3:AB583,"*",$AC$3:AC583,"*")</f>
        <v>7119.9999999999982</v>
      </c>
      <c r="BX582" s="87">
        <f>SUMIFS($AV$3:AV583,$Q$3:Q583,"F")</f>
        <v>418.22475235412151</v>
      </c>
      <c r="BY582" s="87">
        <f>SUMIFS($AV$3:AV583,$Q$3:Q583,"S")</f>
        <v>700.70658000096557</v>
      </c>
      <c r="BZ582" s="87">
        <f>SUMIFS($AV$3:AV583,$Q$3:Q583,"O")</f>
        <v>596.95929999974101</v>
      </c>
    </row>
    <row r="583" spans="1:78" ht="15.75" customHeight="1">
      <c r="A583" s="45" t="s">
        <v>1819</v>
      </c>
      <c r="B583" s="59">
        <v>45420</v>
      </c>
      <c r="C583" s="46" t="s">
        <v>1925</v>
      </c>
      <c r="D583" s="46" t="s">
        <v>186</v>
      </c>
      <c r="E583" s="66"/>
      <c r="F583" s="47"/>
      <c r="G583" s="48" t="s">
        <v>111</v>
      </c>
      <c r="H583" s="49"/>
      <c r="I583" s="49"/>
      <c r="J583" s="49"/>
      <c r="K583" s="50"/>
      <c r="L583" s="49"/>
      <c r="M583" s="49"/>
      <c r="N583" s="49"/>
      <c r="O583" s="50"/>
      <c r="P583" s="50"/>
      <c r="Q583" s="50"/>
      <c r="R583" s="50"/>
      <c r="S583" s="161"/>
      <c r="T583" s="50"/>
      <c r="U583" s="50"/>
      <c r="V583" s="50"/>
      <c r="W583" s="50"/>
      <c r="X583" s="50"/>
      <c r="Y583" s="51"/>
      <c r="Z583" s="52"/>
      <c r="AA583" s="52"/>
      <c r="AB583" s="52"/>
      <c r="AC583" s="52"/>
      <c r="AD583" s="231"/>
      <c r="AE583" s="49"/>
      <c r="AF583" s="84"/>
      <c r="AG583" s="49"/>
      <c r="AH583" s="49"/>
      <c r="AI583" s="49"/>
      <c r="AJ583" s="226"/>
      <c r="AK583" s="49"/>
      <c r="AL583" s="113">
        <f t="shared" si="261"/>
        <v>0</v>
      </c>
      <c r="AM583" s="113">
        <f t="shared" si="255"/>
        <v>0</v>
      </c>
      <c r="AN583" s="218"/>
      <c r="AO583" s="49"/>
      <c r="AP583" s="49"/>
      <c r="AQ583" s="84" t="str">
        <f>UPPER(RIGHT(Journal_Live[[#This Row],[DURATION ]]))</f>
        <v/>
      </c>
      <c r="AR583" s="49"/>
      <c r="AS583" s="55"/>
      <c r="AT583" s="55"/>
      <c r="AU583" s="54"/>
      <c r="AV583" s="56"/>
      <c r="AW583" s="57"/>
      <c r="AX583" s="153"/>
      <c r="AY583" s="153"/>
      <c r="AZ583" s="153"/>
      <c r="BA583" s="153"/>
      <c r="BB583" s="153"/>
      <c r="BC583" s="153"/>
      <c r="BD583" s="151"/>
      <c r="BE583" s="152"/>
      <c r="BF583" s="151"/>
      <c r="BG583" s="94">
        <f>SUM($AV$4:AV583)</f>
        <v>3663.8906323548335</v>
      </c>
      <c r="BH583" s="95">
        <f>SUM($AU$4:AU583)</f>
        <v>54107.353506493229</v>
      </c>
      <c r="BI583" s="80">
        <f>SUMIFS($AU$3:AU997,$Q$3:Q997,"F")</f>
        <v>28758.758121878131</v>
      </c>
      <c r="BJ583" s="80">
        <f>SUMIFS($AU$3:AU997,$Q$3:Q997,"S")</f>
        <v>18338.285714285717</v>
      </c>
      <c r="BK583" s="87">
        <f>SUMIFS($AU$3:AU997,$P$3:P997,"W")</f>
        <v>16085.423836163443</v>
      </c>
      <c r="BL583" s="87">
        <f>SUMIFS($AU$3:AU997,$P$3:P997,"R")</f>
        <v>23278.800000000327</v>
      </c>
      <c r="BM583" s="87">
        <f>SUMIFS($AU$3:AU997,$AQ$3:AQ997,"M")</f>
        <v>9563.1799999983832</v>
      </c>
      <c r="BN583" s="87">
        <f>SUMIFS($AU$3:AU997,$AQ$3:AQ997,"H")</f>
        <v>12587.200000000877</v>
      </c>
      <c r="BO583" s="87">
        <f>SUMIFS($AU$3:AU997,$AQ$3:AQ997,"D")</f>
        <v>11195.57747252718</v>
      </c>
      <c r="BP583" s="87">
        <f>SUMIFS($AS$3:AS1318,$AO$3:AO1318,"W")</f>
        <v>0</v>
      </c>
      <c r="BQ583" s="87">
        <f>SUMIFS($AU$3:AU997,$Q$3:Q997,"O")</f>
        <v>-9366.1400000007852</v>
      </c>
      <c r="BR583" s="87">
        <f>SUMIFS($AU$3:AU997,$AA$3:AA997,"*")</f>
        <v>39156.002077921221</v>
      </c>
      <c r="BS583" s="87">
        <f>SUMIFS($AU$3:AU997,$AB$3:AB997,"*")</f>
        <v>7005.8599999997941</v>
      </c>
      <c r="BT583" s="87">
        <f>SUMIFS($AU$3:AU997,$AC$3:AC997,"*")</f>
        <v>31968.358121878122</v>
      </c>
      <c r="BU583" s="87">
        <f>SUMIFS($AU$3:AU997,$AA$3:AA997,"*",$AB$3:AB997,"*")</f>
        <v>7301.9999999995771</v>
      </c>
      <c r="BV583" s="87">
        <f>SUMIFS($AU$3:AU997,$AA$3:AA997,"*",$AC$3:AC997,"*")</f>
        <v>29949.316363636532</v>
      </c>
      <c r="BW583" s="87">
        <f>SUMIFS($AU$3:AU997,$AB$3:AB997,"*",$AC$3:AC997,"*")</f>
        <v>3739.199999999998</v>
      </c>
      <c r="BX583" s="87">
        <f>SUMIFS($AV$3:AV997,$Q$3:Q997,"F")</f>
        <v>396.72999236351012</v>
      </c>
      <c r="BY583" s="87">
        <f>SUMIFS($AV$3:AV997,$Q$3:Q997,"S")</f>
        <v>775.76285705724263</v>
      </c>
      <c r="BZ583" s="87">
        <f>SUMIFS($AV$3:AV997,$Q$3:Q997,"O")</f>
        <v>569.29929999965555</v>
      </c>
    </row>
    <row r="584" spans="1:78" ht="15.75" customHeight="1">
      <c r="A584" s="45" t="s">
        <v>1819</v>
      </c>
      <c r="B584" s="59">
        <v>45420</v>
      </c>
      <c r="C584" s="46" t="s">
        <v>1925</v>
      </c>
      <c r="D584" s="46" t="s">
        <v>186</v>
      </c>
      <c r="E584" s="66"/>
      <c r="F584" s="47"/>
      <c r="G584" s="48" t="s">
        <v>111</v>
      </c>
      <c r="H584" s="49"/>
      <c r="I584" s="49"/>
      <c r="J584" s="49"/>
      <c r="K584" s="50"/>
      <c r="L584" s="49"/>
      <c r="M584" s="49"/>
      <c r="N584" s="49"/>
      <c r="O584" s="50"/>
      <c r="P584" s="50"/>
      <c r="Q584" s="50"/>
      <c r="R584" s="50"/>
      <c r="S584" s="161"/>
      <c r="T584" s="50"/>
      <c r="U584" s="50"/>
      <c r="V584" s="50"/>
      <c r="W584" s="50"/>
      <c r="X584" s="50"/>
      <c r="Y584" s="51"/>
      <c r="Z584" s="52"/>
      <c r="AA584" s="52"/>
      <c r="AB584" s="52"/>
      <c r="AC584" s="52"/>
      <c r="AD584" s="231"/>
      <c r="AE584" s="49"/>
      <c r="AF584" s="84"/>
      <c r="AG584" s="49"/>
      <c r="AH584" s="49"/>
      <c r="AI584" s="49"/>
      <c r="AJ584" s="226"/>
      <c r="AK584" s="49"/>
      <c r="AL584" s="113">
        <f t="shared" ref="AL584" si="265">-0.02*Z584</f>
        <v>0</v>
      </c>
      <c r="AM584" s="113">
        <f t="shared" si="255"/>
        <v>0</v>
      </c>
      <c r="AN584" s="218"/>
      <c r="AO584" s="49"/>
      <c r="AP584" s="49"/>
      <c r="AQ584" s="84" t="str">
        <f>UPPER(RIGHT(Journal_Live[[#This Row],[DURATION ]]))</f>
        <v/>
      </c>
      <c r="AR584" s="49"/>
      <c r="AS584" s="55"/>
      <c r="AT584" s="55"/>
      <c r="AU584" s="54"/>
      <c r="AV584" s="56"/>
      <c r="AW584" s="57"/>
      <c r="AX584" s="153" t="s">
        <v>1926</v>
      </c>
      <c r="AY584" s="153"/>
      <c r="AZ584" s="153"/>
      <c r="BA584" s="153"/>
      <c r="BB584" s="153"/>
      <c r="BC584" s="153"/>
      <c r="BD584" s="151"/>
      <c r="BE584" s="152"/>
      <c r="BF584" s="151"/>
      <c r="BG584" s="94">
        <f>SUM($AV$4:AV584)</f>
        <v>3663.8906323548335</v>
      </c>
      <c r="BH584" s="95">
        <f>SUM($AU$4:AU584)</f>
        <v>54107.353506493229</v>
      </c>
      <c r="BI584" s="80">
        <f>SUMIFS($AU$3:AU1090,$Q$3:Q1090,"F")</f>
        <v>27302.758121878131</v>
      </c>
      <c r="BJ584" s="80">
        <f>SUMIFS($AU$3:AU1090,$Q$3:Q1090,"S")</f>
        <v>16018.285714285717</v>
      </c>
      <c r="BK584" s="87">
        <f>SUMIFS($AU$3:AU1090,$P$3:P1090,"W")</f>
        <v>14725.423836163412</v>
      </c>
      <c r="BL584" s="87">
        <f>SUMIFS($AU$3:AU1090,$P$3:P1090,"R")</f>
        <v>20606.800000000316</v>
      </c>
      <c r="BM584" s="87">
        <f>SUMIFS($AU$3:AU1090,$AQ$3:AQ1090,"M")</f>
        <v>9430.1799999983141</v>
      </c>
      <c r="BN584" s="87">
        <f>SUMIFS($AU$3:AU1090,$AQ$3:AQ1090,"H")</f>
        <v>13147.200000000877</v>
      </c>
      <c r="BO584" s="87">
        <f>SUMIFS($AU$3:AU1090,$AQ$3:AQ1090,"D")</f>
        <v>7291.5774725271494</v>
      </c>
      <c r="BP584" s="87">
        <f>SUMIFS($AS$3:AS1319,$AO$3:AO1319,"W")</f>
        <v>0</v>
      </c>
      <c r="BQ584" s="87">
        <f>SUMIFS($AU$3:AU1090,$Q$3:Q1090,"O")</f>
        <v>-9935.1400000008871</v>
      </c>
      <c r="BR584" s="87">
        <f>SUMIFS($AU$3:AU1090,$AA$3:AA1090,"*")</f>
        <v>34559.002077921141</v>
      </c>
      <c r="BS584" s="87">
        <f>SUMIFS($AU$3:AU1090,$AB$3:AB1090,"*")</f>
        <v>7433.8599999997632</v>
      </c>
      <c r="BT584" s="87">
        <f>SUMIFS($AU$3:AU1090,$AC$3:AC1090,"*")</f>
        <v>28192.358121878111</v>
      </c>
      <c r="BU584" s="87">
        <f>SUMIFS($AU$3:AU1090,$AA$3:AA1090,"*",$AB$3:AB1090,"*")</f>
        <v>7493.9999999995462</v>
      </c>
      <c r="BV584" s="87">
        <f>SUMIFS($AU$3:AU1090,$AA$3:AA1090,"*",$AC$3:AC1090,"*")</f>
        <v>25997.316363636532</v>
      </c>
      <c r="BW584" s="87">
        <f>SUMIFS($AU$3:AU1090,$AB$3:AB1090,"*",$AC$3:AC1090,"*")</f>
        <v>3851.199999999998</v>
      </c>
      <c r="BX584" s="87">
        <f>SUMIFS($AV$3:AV1090,$Q$3:Q1090,"F")</f>
        <v>369.34537697889471</v>
      </c>
      <c r="BY584" s="87">
        <f>SUMIFS($AV$3:AV1090,$Q$3:Q1090,"S")</f>
        <v>676.67714277152845</v>
      </c>
      <c r="BZ584" s="87">
        <f>SUMIFS($AV$3:AV1090,$Q$3:Q1090,"O")</f>
        <v>326.96596666624367</v>
      </c>
    </row>
    <row r="585" spans="1:78" ht="15.75" customHeight="1">
      <c r="A585" s="45" t="s">
        <v>1819</v>
      </c>
      <c r="B585" s="59">
        <v>45421</v>
      </c>
      <c r="C585" s="46" t="s">
        <v>1927</v>
      </c>
      <c r="D585" s="46" t="s">
        <v>107</v>
      </c>
      <c r="E585" s="66"/>
      <c r="F585" s="47"/>
      <c r="G585" s="155" t="s">
        <v>181</v>
      </c>
      <c r="H585" s="49"/>
      <c r="I585" s="49"/>
      <c r="J585" s="49"/>
      <c r="K585" s="50"/>
      <c r="L585" s="49"/>
      <c r="M585" s="49"/>
      <c r="N585" s="49"/>
      <c r="O585" s="50" t="s">
        <v>100</v>
      </c>
      <c r="P585" s="50" t="s">
        <v>126</v>
      </c>
      <c r="Q585" s="50" t="s">
        <v>102</v>
      </c>
      <c r="R585" s="50">
        <v>20</v>
      </c>
      <c r="S585" s="161">
        <v>0</v>
      </c>
      <c r="T585" s="50">
        <v>20</v>
      </c>
      <c r="U585" s="50" t="s">
        <v>102</v>
      </c>
      <c r="V585" s="50"/>
      <c r="W585" s="50"/>
      <c r="X585" s="50"/>
      <c r="Y585" s="51">
        <f>IF(ISBLANK(O585),"",(IF(O585=UPPER("IB"),0.005,0.01)))</f>
        <v>0.01</v>
      </c>
      <c r="Z585" s="52">
        <f>IF(ISBLANK(O585),"",IF(O585="IB",8.63*200,IF(O585="IR",16*100,IF(O585="YT",20*100,IF(O585="YT-XT",24*200,IF(O585="TED",80*100,IF(O585="XT",29*200)))))))</f>
        <v>1600</v>
      </c>
      <c r="AA585" s="52" t="s">
        <v>925</v>
      </c>
      <c r="AB585" s="52"/>
      <c r="AC585" s="52" t="s">
        <v>405</v>
      </c>
      <c r="AD585" s="231">
        <v>-0.09</v>
      </c>
      <c r="AE585" s="49"/>
      <c r="AF585" s="84"/>
      <c r="AG585" s="49"/>
      <c r="AH585" s="49"/>
      <c r="AI585" s="49"/>
      <c r="AJ585" s="226"/>
      <c r="AK585" s="49"/>
      <c r="AL585" s="113">
        <f t="shared" ref="AL585:AL589" si="266">-0.02*Z585</f>
        <v>-32</v>
      </c>
      <c r="AM585" s="113">
        <f t="shared" si="255"/>
        <v>-640</v>
      </c>
      <c r="AN585" s="218"/>
      <c r="AO585" s="49"/>
      <c r="AP585" s="49"/>
      <c r="AQ585" s="84" t="s">
        <v>142</v>
      </c>
      <c r="AR585" s="49"/>
      <c r="AS585" s="55">
        <v>-0.1</v>
      </c>
      <c r="AT585" s="55">
        <f>IF(ISBLANK(AS585),,IF(U585="S",AD585-AS585,AS585-AD585))</f>
        <v>1.0000000000000009E-2</v>
      </c>
      <c r="AU585" s="54">
        <f>AV585*R585</f>
        <v>320.00000000000028</v>
      </c>
      <c r="AV585" s="56">
        <f t="shared" ref="AV585" si="267">IF(ISBLANK(AS585),,(AT585*Z585))</f>
        <v>16.000000000000014</v>
      </c>
      <c r="AW585" s="57" t="s">
        <v>101</v>
      </c>
      <c r="AX585" s="153" t="s">
        <v>1460</v>
      </c>
      <c r="AY585" s="153"/>
      <c r="AZ585" s="153"/>
      <c r="BA585" s="153"/>
      <c r="BB585" s="153"/>
      <c r="BC585" s="153"/>
      <c r="BD585" s="151"/>
      <c r="BE585" s="152"/>
      <c r="BF585" s="151"/>
      <c r="BG585" s="94">
        <f>SUM($AV$4:AV585)</f>
        <v>3679.8906323548335</v>
      </c>
      <c r="BH585" s="95">
        <f>SUM($AU$4:AU585)</f>
        <v>54427.353506493229</v>
      </c>
      <c r="BI585" s="80">
        <f>SUMIFS($AU$3:AU586,$Q$3:Q586,"F")</f>
        <v>28242.093506493511</v>
      </c>
      <c r="BJ585" s="80">
        <f>SUMIFS($AU$3:AU586,$Q$3:Q586,"S")</f>
        <v>23664</v>
      </c>
      <c r="BK585" s="87">
        <f>SUMIFS($AU$3:AU586,$P$3:P586,"W")</f>
        <v>36107.273506493846</v>
      </c>
      <c r="BL585" s="87">
        <f>SUMIFS($AU$3:AU586,$P$3:P586,"R")</f>
        <v>17565.999999999956</v>
      </c>
      <c r="BM585" s="87">
        <f>SUMIFS($AU$3:AU586,$AQ$3:AQ586,"M")</f>
        <v>8993.3799999992334</v>
      </c>
      <c r="BN585" s="87">
        <f>SUMIFS($AU$3:AU586,$AQ$3:AQ586,"H")</f>
        <v>17127.200000000379</v>
      </c>
      <c r="BO585" s="87">
        <f>SUMIFS($AU$3:AU586,$AQ$3:AQ586,"D")</f>
        <v>13961.507142857021</v>
      </c>
      <c r="BP585" s="87">
        <f>SUMIFS($AS$3:AS1311,$AO$3:AO1311,"W")</f>
        <v>0</v>
      </c>
      <c r="BQ585" s="87">
        <f>SUMIFS($AU$3:AU586,$Q$3:Q586,"O")</f>
        <v>1097.2599999997396</v>
      </c>
      <c r="BR585" s="87">
        <f>SUMIFS($AU$3:AU586,$AA$3:AA586,"*")</f>
        <v>41353.436363635868</v>
      </c>
      <c r="BS585" s="87">
        <f>SUMIFS($AU$3:AU586,$AB$3:AB586,"*")</f>
        <v>10383.860000000041</v>
      </c>
      <c r="BT585" s="87">
        <f>SUMIFS($AU$3:AU586,$AC$3:AC586,"*")</f>
        <v>31682.093506493511</v>
      </c>
      <c r="BU585" s="87">
        <f>SUMIFS($AU$3:AU586,$AA$3:AA586,"*",$AB$3:AB586,"*")</f>
        <v>5423.9999999998217</v>
      </c>
      <c r="BV585" s="87">
        <f>SUMIFS($AU$3:AU586,$AA$3:AA586,"*",$AC$3:AC586,"*")</f>
        <v>19728.036363636369</v>
      </c>
      <c r="BW585" s="87">
        <f>SUMIFS($AU$3:AU586,$AB$3:AB586,"*",$AC$3:AC586,"*")</f>
        <v>7119.9999999999982</v>
      </c>
      <c r="BX585" s="87">
        <f>SUMIFS($AV$3:AV586,$Q$3:Q586,"F")</f>
        <v>418.22475235412151</v>
      </c>
      <c r="BY585" s="87">
        <f>SUMIFS($AV$3:AV586,$Q$3:Q586,"S")</f>
        <v>716.70658000096557</v>
      </c>
      <c r="BZ585" s="87">
        <f>SUMIFS($AV$3:AV586,$Q$3:Q586,"O")</f>
        <v>596.95929999974101</v>
      </c>
    </row>
    <row r="586" spans="1:78" ht="15.75" customHeight="1">
      <c r="A586" s="45" t="s">
        <v>1819</v>
      </c>
      <c r="B586" s="59">
        <v>45422</v>
      </c>
      <c r="C586" s="46" t="s">
        <v>888</v>
      </c>
      <c r="D586" s="46" t="s">
        <v>115</v>
      </c>
      <c r="E586" s="66"/>
      <c r="F586" s="47"/>
      <c r="G586" s="48" t="s">
        <v>276</v>
      </c>
      <c r="H586" s="49"/>
      <c r="I586" s="49"/>
      <c r="J586" s="49"/>
      <c r="K586" s="50"/>
      <c r="L586" s="49"/>
      <c r="M586" s="49"/>
      <c r="N586" s="49"/>
      <c r="O586" s="50"/>
      <c r="P586" s="50"/>
      <c r="Q586" s="50"/>
      <c r="R586" s="50"/>
      <c r="S586" s="161"/>
      <c r="T586" s="50"/>
      <c r="U586" s="50"/>
      <c r="V586" s="50"/>
      <c r="W586" s="50"/>
      <c r="X586" s="50"/>
      <c r="Y586" s="51"/>
      <c r="Z586" s="52"/>
      <c r="AA586" s="52"/>
      <c r="AB586" s="52"/>
      <c r="AC586" s="52"/>
      <c r="AD586" s="231"/>
      <c r="AE586" s="49"/>
      <c r="AF586" s="84"/>
      <c r="AG586" s="49"/>
      <c r="AH586" s="49"/>
      <c r="AI586" s="49"/>
      <c r="AJ586" s="226"/>
      <c r="AK586" s="49"/>
      <c r="AL586" s="113">
        <f t="shared" si="266"/>
        <v>0</v>
      </c>
      <c r="AM586" s="113">
        <f t="shared" si="255"/>
        <v>0</v>
      </c>
      <c r="AN586" s="218"/>
      <c r="AO586" s="49"/>
      <c r="AP586" s="49"/>
      <c r="AQ586" s="84" t="str">
        <f>UPPER(RIGHT(Journal_Live[[#This Row],[DURATION ]]))</f>
        <v/>
      </c>
      <c r="AR586" s="49"/>
      <c r="AS586" s="55"/>
      <c r="AT586" s="55"/>
      <c r="AU586" s="54"/>
      <c r="AV586" s="56"/>
      <c r="AW586" s="57"/>
      <c r="AX586" s="153"/>
      <c r="AY586" s="153"/>
      <c r="AZ586" s="153"/>
      <c r="BA586" s="153"/>
      <c r="BB586" s="153"/>
      <c r="BC586" s="153"/>
      <c r="BD586" s="151"/>
      <c r="BE586" s="152"/>
      <c r="BF586" s="151"/>
      <c r="BG586" s="94">
        <f>SUM($AV$4:AV586)</f>
        <v>3679.8906323548335</v>
      </c>
      <c r="BH586" s="95">
        <f>SUM($AU$4:AU586)</f>
        <v>54427.353506493229</v>
      </c>
      <c r="BI586" s="80">
        <f>SUMIFS($AU$3:AU587,$Q$3:Q587,"F")</f>
        <v>28242.093506493511</v>
      </c>
      <c r="BJ586" s="80">
        <f>SUMIFS($AU$3:AU587,$Q$3:Q587,"S")</f>
        <v>23664</v>
      </c>
      <c r="BK586" s="87">
        <f>SUMIFS($AU$3:AU587,$P$3:P587,"W")</f>
        <v>36107.273506493846</v>
      </c>
      <c r="BL586" s="87">
        <f>SUMIFS($AU$3:AU587,$P$3:P587,"R")</f>
        <v>17565.999999999956</v>
      </c>
      <c r="BM586" s="87">
        <f>SUMIFS($AU$3:AU587,$AQ$3:AQ587,"M")</f>
        <v>8993.3799999992334</v>
      </c>
      <c r="BN586" s="87">
        <f>SUMIFS($AU$3:AU587,$AQ$3:AQ587,"H")</f>
        <v>17127.200000000379</v>
      </c>
      <c r="BO586" s="87">
        <f>SUMIFS($AU$3:AU587,$AQ$3:AQ587,"D")</f>
        <v>13961.507142857021</v>
      </c>
      <c r="BP586" s="87">
        <f>SUMIFS($AS$3:AS1312,$AO$3:AO1312,"W")</f>
        <v>0</v>
      </c>
      <c r="BQ586" s="87">
        <f>SUMIFS($AU$3:AU587,$Q$3:Q587,"O")</f>
        <v>1097.2599999997396</v>
      </c>
      <c r="BR586" s="87">
        <f>SUMIFS($AU$3:AU587,$AA$3:AA587,"*")</f>
        <v>41353.436363635868</v>
      </c>
      <c r="BS586" s="87">
        <f>SUMIFS($AU$3:AU587,$AB$3:AB587,"*")</f>
        <v>10383.860000000041</v>
      </c>
      <c r="BT586" s="87">
        <f>SUMIFS($AU$3:AU587,$AC$3:AC587,"*")</f>
        <v>31682.093506493511</v>
      </c>
      <c r="BU586" s="87">
        <f>SUMIFS($AU$3:AU587,$AA$3:AA587,"*",$AB$3:AB587,"*")</f>
        <v>5423.9999999998217</v>
      </c>
      <c r="BV586" s="87">
        <f>SUMIFS($AU$3:AU587,$AA$3:AA587,"*",$AC$3:AC587,"*")</f>
        <v>19728.036363636369</v>
      </c>
      <c r="BW586" s="87">
        <f>SUMIFS($AU$3:AU587,$AB$3:AB587,"*",$AC$3:AC587,"*")</f>
        <v>7119.9999999999982</v>
      </c>
      <c r="BX586" s="87">
        <f>SUMIFS($AV$3:AV587,$Q$3:Q587,"F")</f>
        <v>418.22475235412151</v>
      </c>
      <c r="BY586" s="87">
        <f>SUMIFS($AV$3:AV587,$Q$3:Q587,"S")</f>
        <v>716.70658000096557</v>
      </c>
      <c r="BZ586" s="87">
        <f>SUMIFS($AV$3:AV587,$Q$3:Q587,"O")</f>
        <v>596.95929999974101</v>
      </c>
    </row>
    <row r="587" spans="1:78" ht="15.75" customHeight="1">
      <c r="A587" s="45" t="s">
        <v>1819</v>
      </c>
      <c r="B587" s="59">
        <v>45422</v>
      </c>
      <c r="C587" s="46" t="s">
        <v>1928</v>
      </c>
      <c r="D587" s="46" t="s">
        <v>115</v>
      </c>
      <c r="E587" s="66"/>
      <c r="F587" s="47"/>
      <c r="G587" s="155" t="s">
        <v>466</v>
      </c>
      <c r="H587" s="49"/>
      <c r="I587" s="49"/>
      <c r="J587" s="49"/>
      <c r="K587" s="50"/>
      <c r="L587" s="49"/>
      <c r="M587" s="49"/>
      <c r="N587" s="49"/>
      <c r="O587" s="50" t="s">
        <v>100</v>
      </c>
      <c r="P587" s="50" t="s">
        <v>101</v>
      </c>
      <c r="Q587" s="50" t="s">
        <v>102</v>
      </c>
      <c r="R587" s="50">
        <v>10</v>
      </c>
      <c r="S587" s="161">
        <v>0</v>
      </c>
      <c r="T587" s="50">
        <v>7</v>
      </c>
      <c r="U587" s="50" t="s">
        <v>102</v>
      </c>
      <c r="V587" s="50"/>
      <c r="W587" s="50"/>
      <c r="X587" s="50"/>
      <c r="Y587" s="51">
        <f>IF(ISBLANK(O587),"",(IF(O587=UPPER("IB"),0.005,0.01)))</f>
        <v>0.01</v>
      </c>
      <c r="Z587" s="52">
        <f>IF(ISBLANK(O587),"",IF(O587="IB",8.63*200,IF(O587="IR",16*100,IF(O587="YT",20*100,IF(O587="YT-XT",24*200,IF(O587="TED",80*100,IF(O587="XT",29*200)))))))</f>
        <v>1600</v>
      </c>
      <c r="AA587" s="52" t="s">
        <v>1929</v>
      </c>
      <c r="AB587" s="52"/>
      <c r="AC587" s="52"/>
      <c r="AD587" s="231">
        <v>-0.12</v>
      </c>
      <c r="AE587" s="49"/>
      <c r="AF587" s="84"/>
      <c r="AG587" s="49"/>
      <c r="AH587" s="49"/>
      <c r="AI587" s="49"/>
      <c r="AJ587" s="226"/>
      <c r="AK587" s="49"/>
      <c r="AL587" s="113">
        <f t="shared" si="266"/>
        <v>-32</v>
      </c>
      <c r="AM587" s="113">
        <f t="shared" si="255"/>
        <v>-320</v>
      </c>
      <c r="AN587" s="218"/>
      <c r="AO587" s="49"/>
      <c r="AP587" s="49" t="s">
        <v>279</v>
      </c>
      <c r="AQ587" s="84" t="s">
        <v>155</v>
      </c>
      <c r="AR587" s="49"/>
      <c r="AS587" s="55">
        <v>-0.12</v>
      </c>
      <c r="AT587" s="55">
        <f>IF(ISBLANK(AS587),,IF(U587="S",AD587-AS587,AS587-AD587))</f>
        <v>0</v>
      </c>
      <c r="AU587" s="54">
        <f>AV587*R587</f>
        <v>0</v>
      </c>
      <c r="AV587" s="56">
        <f t="shared" ref="AV587" si="268">IF(ISBLANK(AS587),,(AT587*Z587))</f>
        <v>0</v>
      </c>
      <c r="AW587" s="57" t="s">
        <v>155</v>
      </c>
      <c r="AX587" s="153" t="s">
        <v>1930</v>
      </c>
      <c r="AY587" s="153" t="s">
        <v>1931</v>
      </c>
      <c r="AZ587" s="153" t="s">
        <v>1932</v>
      </c>
      <c r="BA587" s="153"/>
      <c r="BB587" s="153"/>
      <c r="BC587" s="153"/>
      <c r="BD587" s="151"/>
      <c r="BE587" s="152"/>
      <c r="BF587" s="151"/>
      <c r="BG587" s="94">
        <f>SUM($AV$4:AV587)</f>
        <v>3679.8906323548335</v>
      </c>
      <c r="BH587" s="95">
        <f>SUM($AU$4:AU587)</f>
        <v>54427.353506493229</v>
      </c>
      <c r="BI587" s="80">
        <f>SUMIFS($AU$3:AU588,$Q$3:Q588,"F")</f>
        <v>28242.093506493511</v>
      </c>
      <c r="BJ587" s="80">
        <f>SUMIFS($AU$3:AU588,$Q$3:Q588,"S")</f>
        <v>23664</v>
      </c>
      <c r="BK587" s="87">
        <f>SUMIFS($AU$3:AU588,$P$3:P588,"W")</f>
        <v>36107.273506493846</v>
      </c>
      <c r="BL587" s="87">
        <f>SUMIFS($AU$3:AU588,$P$3:P588,"R")</f>
        <v>17565.999999999956</v>
      </c>
      <c r="BM587" s="87">
        <f>SUMIFS($AU$3:AU588,$AQ$3:AQ588,"M")</f>
        <v>8993.3799999992334</v>
      </c>
      <c r="BN587" s="87">
        <f>SUMIFS($AU$3:AU588,$AQ$3:AQ588,"H")</f>
        <v>17127.200000000379</v>
      </c>
      <c r="BO587" s="87">
        <f>SUMIFS($AU$3:AU588,$AQ$3:AQ588,"D")</f>
        <v>13961.507142857021</v>
      </c>
      <c r="BP587" s="87">
        <f>SUMIFS($AS$3:AS1313,$AO$3:AO1313,"W")</f>
        <v>0</v>
      </c>
      <c r="BQ587" s="87">
        <f>SUMIFS($AU$3:AU588,$Q$3:Q588,"O")</f>
        <v>1097.2599999997396</v>
      </c>
      <c r="BR587" s="87">
        <f>SUMIFS($AU$3:AU588,$AA$3:AA588,"*")</f>
        <v>41353.436363635868</v>
      </c>
      <c r="BS587" s="87">
        <f>SUMIFS($AU$3:AU588,$AB$3:AB588,"*")</f>
        <v>10383.860000000041</v>
      </c>
      <c r="BT587" s="87">
        <f>SUMIFS($AU$3:AU588,$AC$3:AC588,"*")</f>
        <v>31682.093506493511</v>
      </c>
      <c r="BU587" s="87">
        <f>SUMIFS($AU$3:AU588,$AA$3:AA588,"*",$AB$3:AB588,"*")</f>
        <v>5423.9999999998217</v>
      </c>
      <c r="BV587" s="87">
        <f>SUMIFS($AU$3:AU588,$AA$3:AA588,"*",$AC$3:AC588,"*")</f>
        <v>19728.036363636369</v>
      </c>
      <c r="BW587" s="87">
        <f>SUMIFS($AU$3:AU588,$AB$3:AB588,"*",$AC$3:AC588,"*")</f>
        <v>7119.9999999999982</v>
      </c>
      <c r="BX587" s="87">
        <f>SUMIFS($AV$3:AV588,$Q$3:Q588,"F")</f>
        <v>418.22475235412151</v>
      </c>
      <c r="BY587" s="87">
        <f>SUMIFS($AV$3:AV588,$Q$3:Q588,"S")</f>
        <v>716.70658000096557</v>
      </c>
      <c r="BZ587" s="87">
        <f>SUMIFS($AV$3:AV588,$Q$3:Q588,"O")</f>
        <v>596.95929999974101</v>
      </c>
    </row>
    <row r="588" spans="1:78" ht="15.75" customHeight="1">
      <c r="A588" s="45" t="s">
        <v>1819</v>
      </c>
      <c r="B588" s="59"/>
      <c r="C588" s="46"/>
      <c r="D588" s="46"/>
      <c r="E588" s="66"/>
      <c r="F588" s="47"/>
      <c r="G588" s="48"/>
      <c r="H588" s="49"/>
      <c r="I588" s="49"/>
      <c r="J588" s="49"/>
      <c r="K588" s="50"/>
      <c r="L588" s="49"/>
      <c r="M588" s="49"/>
      <c r="N588" s="49"/>
      <c r="O588" s="50"/>
      <c r="P588" s="50"/>
      <c r="Q588" s="50"/>
      <c r="R588" s="50"/>
      <c r="S588" s="50"/>
      <c r="T588" s="50"/>
      <c r="U588" s="50"/>
      <c r="V588" s="50"/>
      <c r="W588" s="50"/>
      <c r="X588" s="50"/>
      <c r="Y588" s="51"/>
      <c r="Z588" s="52"/>
      <c r="AA588" s="52"/>
      <c r="AB588" s="52"/>
      <c r="AC588" s="52"/>
      <c r="AD588" s="231"/>
      <c r="AE588" s="49"/>
      <c r="AF588" s="84"/>
      <c r="AG588" s="49"/>
      <c r="AH588" s="49"/>
      <c r="AI588" s="49"/>
      <c r="AJ588" s="226"/>
      <c r="AK588" s="49"/>
      <c r="AL588" s="113">
        <f t="shared" si="266"/>
        <v>0</v>
      </c>
      <c r="AM588" s="113">
        <f t="shared" si="255"/>
        <v>0</v>
      </c>
      <c r="AN588" s="218"/>
      <c r="AO588" s="49"/>
      <c r="AP588" s="49"/>
      <c r="AQ588" s="84" t="str">
        <f>UPPER(RIGHT(Journal_Live[[#This Row],[DURATION ]]))</f>
        <v/>
      </c>
      <c r="AR588" s="49"/>
      <c r="AS588" s="55"/>
      <c r="AT588" s="55"/>
      <c r="AU588" s="54"/>
      <c r="AV588" s="56"/>
      <c r="AW588" s="57"/>
      <c r="AX588" s="153" t="s">
        <v>1933</v>
      </c>
      <c r="AY588" s="153" t="s">
        <v>1934</v>
      </c>
      <c r="AZ588" s="153" t="s">
        <v>1935</v>
      </c>
      <c r="BA588" s="153"/>
      <c r="BB588" s="153"/>
      <c r="BC588" s="153"/>
      <c r="BD588" s="151"/>
      <c r="BE588" s="152"/>
      <c r="BF588" s="151"/>
      <c r="BG588" s="94">
        <f>SUM($AV$4:AV588)</f>
        <v>3679.8906323548335</v>
      </c>
      <c r="BH588" s="95">
        <f>SUM($AU$4:AU588)</f>
        <v>54427.353506493229</v>
      </c>
      <c r="BI588" s="80">
        <f>SUMIFS($AU$3:AU589,$Q$3:Q589,"F")</f>
        <v>28242.093506493511</v>
      </c>
      <c r="BJ588" s="80">
        <f>SUMIFS($AU$3:AU589,$Q$3:Q589,"S")</f>
        <v>23664</v>
      </c>
      <c r="BK588" s="87">
        <f>SUMIFS($AU$3:AU589,$P$3:P589,"W")</f>
        <v>36107.273506493846</v>
      </c>
      <c r="BL588" s="87">
        <f>SUMIFS($AU$3:AU589,$P$3:P589,"R")</f>
        <v>17565.999999999956</v>
      </c>
      <c r="BM588" s="87">
        <f>SUMIFS($AU$3:AU589,$AQ$3:AQ589,"M")</f>
        <v>8993.3799999992334</v>
      </c>
      <c r="BN588" s="87">
        <f>SUMIFS($AU$3:AU589,$AQ$3:AQ589,"H")</f>
        <v>17127.200000000379</v>
      </c>
      <c r="BO588" s="87">
        <f>SUMIFS($AU$3:AU589,$AQ$3:AQ589,"D")</f>
        <v>13961.507142857021</v>
      </c>
      <c r="BP588" s="87">
        <f>SUMIFS($AS$3:AS1314,$AO$3:AO1314,"W")</f>
        <v>0</v>
      </c>
      <c r="BQ588" s="87">
        <f>SUMIFS($AU$3:AU589,$Q$3:Q589,"O")</f>
        <v>1097.2599999997396</v>
      </c>
      <c r="BR588" s="87">
        <f>SUMIFS($AU$3:AU589,$AA$3:AA589,"*")</f>
        <v>41353.436363635868</v>
      </c>
      <c r="BS588" s="87">
        <f>SUMIFS($AU$3:AU589,$AB$3:AB589,"*")</f>
        <v>10383.860000000041</v>
      </c>
      <c r="BT588" s="87">
        <f>SUMIFS($AU$3:AU589,$AC$3:AC589,"*")</f>
        <v>31682.093506493511</v>
      </c>
      <c r="BU588" s="87">
        <f>SUMIFS($AU$3:AU589,$AA$3:AA589,"*",$AB$3:AB589,"*")</f>
        <v>5423.9999999998217</v>
      </c>
      <c r="BV588" s="87">
        <f>SUMIFS($AU$3:AU589,$AA$3:AA589,"*",$AC$3:AC589,"*")</f>
        <v>19728.036363636369</v>
      </c>
      <c r="BW588" s="87">
        <f>SUMIFS($AU$3:AU589,$AB$3:AB589,"*",$AC$3:AC589,"*")</f>
        <v>7119.9999999999982</v>
      </c>
      <c r="BX588" s="87">
        <f>SUMIFS($AV$3:AV589,$Q$3:Q589,"F")</f>
        <v>418.22475235412151</v>
      </c>
      <c r="BY588" s="87">
        <f>SUMIFS($AV$3:AV589,$Q$3:Q589,"S")</f>
        <v>716.70658000096557</v>
      </c>
      <c r="BZ588" s="87">
        <f>SUMIFS($AV$3:AV589,$Q$3:Q589,"O")</f>
        <v>596.95929999974101</v>
      </c>
    </row>
    <row r="589" spans="1:78" ht="15.75" customHeight="1">
      <c r="A589" s="45" t="s">
        <v>1819</v>
      </c>
      <c r="B589" s="59"/>
      <c r="C589" s="46"/>
      <c r="D589" s="46"/>
      <c r="E589" s="66"/>
      <c r="F589" s="47"/>
      <c r="G589" s="48"/>
      <c r="H589" s="49"/>
      <c r="I589" s="49"/>
      <c r="J589" s="49"/>
      <c r="K589" s="50"/>
      <c r="L589" s="49"/>
      <c r="M589" s="49"/>
      <c r="N589" s="49"/>
      <c r="O589" s="50"/>
      <c r="P589" s="50"/>
      <c r="Q589" s="50"/>
      <c r="R589" s="50"/>
      <c r="S589" s="50"/>
      <c r="T589" s="50"/>
      <c r="U589" s="50"/>
      <c r="V589" s="50"/>
      <c r="W589" s="50"/>
      <c r="X589" s="50"/>
      <c r="Y589" s="50"/>
      <c r="Z589" s="50"/>
      <c r="AA589" s="52"/>
      <c r="AB589" s="52"/>
      <c r="AC589" s="52"/>
      <c r="AD589" s="231"/>
      <c r="AE589" s="49"/>
      <c r="AF589" s="84"/>
      <c r="AG589" s="49"/>
      <c r="AH589" s="49"/>
      <c r="AI589" s="49"/>
      <c r="AJ589" s="226"/>
      <c r="AK589" s="49"/>
      <c r="AL589" s="113">
        <f t="shared" si="266"/>
        <v>0</v>
      </c>
      <c r="AM589" s="113">
        <f t="shared" si="255"/>
        <v>0</v>
      </c>
      <c r="AN589" s="218"/>
      <c r="AO589" s="49"/>
      <c r="AP589" s="49"/>
      <c r="AQ589" s="84" t="str">
        <f>UPPER(RIGHT(Journal_Live[[#This Row],[DURATION ]]))</f>
        <v/>
      </c>
      <c r="AR589" s="49"/>
      <c r="AS589" s="55"/>
      <c r="AT589" s="55"/>
      <c r="AU589" s="54"/>
      <c r="AV589" s="56"/>
      <c r="AW589" s="57"/>
      <c r="AX589" s="153" t="s">
        <v>1936</v>
      </c>
      <c r="AY589" s="151" t="s">
        <v>1937</v>
      </c>
      <c r="AZ589" s="151" t="s">
        <v>1938</v>
      </c>
      <c r="BA589" s="151" t="s">
        <v>1939</v>
      </c>
      <c r="BB589" s="151" t="s">
        <v>1940</v>
      </c>
      <c r="BC589" s="153" t="s">
        <v>1941</v>
      </c>
      <c r="BD589" s="151"/>
      <c r="BE589" s="152"/>
      <c r="BF589" s="151"/>
      <c r="BG589" s="94">
        <f>SUM($AV$4:AV589)</f>
        <v>3679.8906323548335</v>
      </c>
      <c r="BH589" s="95">
        <f>SUM($AU$4:AU589)</f>
        <v>54427.353506493229</v>
      </c>
      <c r="BI589" s="80">
        <f>SUMIFS($AU$3:AU590,$Q$3:Q590,"F")</f>
        <v>28242.093506493511</v>
      </c>
      <c r="BJ589" s="80">
        <f>SUMIFS($AU$3:AU590,$Q$3:Q590,"S")</f>
        <v>23344</v>
      </c>
      <c r="BK589" s="87">
        <f>SUMIFS($AU$3:AU590,$P$3:P590,"W")</f>
        <v>35787.273506493846</v>
      </c>
      <c r="BL589" s="87">
        <f>SUMIFS($AU$3:AU590,$P$3:P590,"R")</f>
        <v>17565.999999999956</v>
      </c>
      <c r="BM589" s="87">
        <f>SUMIFS($AU$3:AU590,$AQ$3:AQ590,"M")</f>
        <v>8993.3799999992334</v>
      </c>
      <c r="BN589" s="87">
        <f>SUMIFS($AU$3:AU590,$AQ$3:AQ590,"H")</f>
        <v>17127.200000000379</v>
      </c>
      <c r="BO589" s="87">
        <f>SUMIFS($AU$3:AU590,$AQ$3:AQ590,"D")</f>
        <v>13641.507142857021</v>
      </c>
      <c r="BP589" s="87">
        <f>SUMIFS($AS$3:AS1315,$AO$3:AO1315,"W")</f>
        <v>0</v>
      </c>
      <c r="BQ589" s="87">
        <f>SUMIFS($AU$3:AU590,$Q$3:Q590,"O")</f>
        <v>1097.2599999997396</v>
      </c>
      <c r="BR589" s="87">
        <f>SUMIFS($AU$3:AU590,$AA$3:AA590,"*")</f>
        <v>41033.436363635868</v>
      </c>
      <c r="BS589" s="87">
        <f>SUMIFS($AU$3:AU590,$AB$3:AB590,"*")</f>
        <v>10383.860000000041</v>
      </c>
      <c r="BT589" s="87">
        <f>SUMIFS($AU$3:AU590,$AC$3:AC590,"*")</f>
        <v>31362.093506493511</v>
      </c>
      <c r="BU589" s="87">
        <f>SUMIFS($AU$3:AU590,$AA$3:AA590,"*",$AB$3:AB590,"*")</f>
        <v>5423.9999999998217</v>
      </c>
      <c r="BV589" s="87">
        <f>SUMIFS($AU$3:AU590,$AA$3:AA590,"*",$AC$3:AC590,"*")</f>
        <v>19408.036363636369</v>
      </c>
      <c r="BW589" s="87">
        <f>SUMIFS($AU$3:AU590,$AB$3:AB590,"*",$AC$3:AC590,"*")</f>
        <v>7119.9999999999982</v>
      </c>
      <c r="BX589" s="87">
        <f>SUMIFS($AV$3:AV590,$Q$3:Q590,"F")</f>
        <v>418.22475235412151</v>
      </c>
      <c r="BY589" s="87">
        <f>SUMIFS($AV$3:AV590,$Q$3:Q590,"S")</f>
        <v>706.03991333429894</v>
      </c>
      <c r="BZ589" s="87">
        <f>SUMIFS($AV$3:AV590,$Q$3:Q590,"O")</f>
        <v>596.95929999974101</v>
      </c>
    </row>
    <row r="590" spans="1:78" ht="15.75" customHeight="1">
      <c r="A590" s="45" t="s">
        <v>1819</v>
      </c>
      <c r="B590" s="59">
        <v>45425</v>
      </c>
      <c r="C590" s="46" t="s">
        <v>1942</v>
      </c>
      <c r="D590" s="46" t="s">
        <v>176</v>
      </c>
      <c r="E590" s="66"/>
      <c r="F590" s="47"/>
      <c r="G590" s="104" t="s">
        <v>1943</v>
      </c>
      <c r="H590" s="49"/>
      <c r="I590" s="49"/>
      <c r="J590" s="49"/>
      <c r="K590" s="50"/>
      <c r="L590" s="49"/>
      <c r="M590" s="49"/>
      <c r="N590" s="49"/>
      <c r="O590" s="50" t="s">
        <v>100</v>
      </c>
      <c r="P590" s="50" t="s">
        <v>101</v>
      </c>
      <c r="Q590" s="50" t="s">
        <v>102</v>
      </c>
      <c r="R590" s="50">
        <v>30</v>
      </c>
      <c r="S590" s="50">
        <v>10</v>
      </c>
      <c r="T590" s="50">
        <v>30</v>
      </c>
      <c r="U590" s="50" t="s">
        <v>22</v>
      </c>
      <c r="V590" s="50"/>
      <c r="W590" s="50"/>
      <c r="X590" s="50"/>
      <c r="Y590" s="51">
        <f>IF(ISBLANK(O590),"",(IF(O590=UPPER("IB"),0.005,0.01)))</f>
        <v>0.01</v>
      </c>
      <c r="Z590" s="52">
        <f>IF(ISBLANK(O590),"",IF(O590="IB",8.63*200,IF(O590="IR",16*100,IF(O590="YT",20*100,IF(O590="YT-XT",24*200,IF(O590="TED",80*100,IF(O590="XT",29*200)))))))</f>
        <v>1600</v>
      </c>
      <c r="AA590" s="52" t="s">
        <v>1944</v>
      </c>
      <c r="AB590" s="52"/>
      <c r="AC590" s="52" t="s">
        <v>1945</v>
      </c>
      <c r="AD590" s="231">
        <v>0.05</v>
      </c>
      <c r="AE590" s="49"/>
      <c r="AF590" s="84"/>
      <c r="AG590" s="49"/>
      <c r="AH590" s="49"/>
      <c r="AI590" s="49"/>
      <c r="AJ590" s="226"/>
      <c r="AK590" s="49"/>
      <c r="AL590" s="113">
        <f t="shared" si="261"/>
        <v>-32</v>
      </c>
      <c r="AM590" s="113">
        <f t="shared" si="255"/>
        <v>-640</v>
      </c>
      <c r="AN590" s="218"/>
      <c r="AO590" s="49"/>
      <c r="AP590" s="49" t="s">
        <v>279</v>
      </c>
      <c r="AQ590" s="84" t="s">
        <v>155</v>
      </c>
      <c r="AR590" s="49"/>
      <c r="AS590" s="55">
        <f>(0.03*10+0.05*20)/30</f>
        <v>4.3333333333333335E-2</v>
      </c>
      <c r="AT590" s="55">
        <f>IF(ISBLANK(AS590),,IF(U590="S",AD590-AS590,AS590-AD590))</f>
        <v>-6.666666666666668E-3</v>
      </c>
      <c r="AU590" s="54">
        <f>AV590*R590</f>
        <v>-320.00000000000006</v>
      </c>
      <c r="AV590" s="56">
        <f t="shared" ref="AV590:AV592" si="269">IF(ISBLANK(AS590),,(AT590*Z590))</f>
        <v>-10.666666666666668</v>
      </c>
      <c r="AW590" s="57" t="s">
        <v>121</v>
      </c>
      <c r="AX590" s="153"/>
      <c r="AY590" s="153"/>
      <c r="AZ590" s="153"/>
      <c r="BA590" s="153"/>
      <c r="BB590" s="153"/>
      <c r="BC590" s="153"/>
      <c r="BD590" s="151"/>
      <c r="BE590" s="152"/>
      <c r="BF590" s="151"/>
      <c r="BG590" s="94">
        <f>SUM($AV$4:AV590)</f>
        <v>3669.223965688167</v>
      </c>
      <c r="BH590" s="95">
        <f>SUM($AU$4:AU590)</f>
        <v>54107.353506493229</v>
      </c>
      <c r="BI590" s="80">
        <f>SUMIFS($AU$3:AU591,$Q$3:Q591,"F")</f>
        <v>28242.093506493511</v>
      </c>
      <c r="BJ590" s="80">
        <f>SUMIFS($AU$3:AU591,$Q$3:Q591,"S")</f>
        <v>23344</v>
      </c>
      <c r="BK590" s="87">
        <f>SUMIFS($AU$3:AU591,$P$3:P591,"W")</f>
        <v>35787.273506493846</v>
      </c>
      <c r="BL590" s="87">
        <f>SUMIFS($AU$3:AU591,$P$3:P591,"R")</f>
        <v>17886.00000000012</v>
      </c>
      <c r="BM590" s="87">
        <f>SUMIFS($AU$3:AU591,$AQ$3:AQ591,"M")</f>
        <v>8993.3799999992334</v>
      </c>
      <c r="BN590" s="87">
        <f>SUMIFS($AU$3:AU591,$AQ$3:AQ591,"H")</f>
        <v>17447.200000000543</v>
      </c>
      <c r="BO590" s="87">
        <f>SUMIFS($AU$3:AU591,$AQ$3:AQ591,"D")</f>
        <v>13641.507142857021</v>
      </c>
      <c r="BP590" s="87">
        <f>SUMIFS($AS$3:AS1316,$AO$3:AO1316,"W")</f>
        <v>0</v>
      </c>
      <c r="BQ590" s="87">
        <f>SUMIFS($AU$3:AU591,$Q$3:Q591,"O")</f>
        <v>1417.2599999999034</v>
      </c>
      <c r="BR590" s="87">
        <f>SUMIFS($AU$3:AU591,$AA$3:AA591,"*")</f>
        <v>41353.436363636036</v>
      </c>
      <c r="BS590" s="87">
        <f>SUMIFS($AU$3:AU591,$AB$3:AB591,"*")</f>
        <v>10383.860000000041</v>
      </c>
      <c r="BT590" s="87">
        <f>SUMIFS($AU$3:AU591,$AC$3:AC591,"*")</f>
        <v>31682.093506493675</v>
      </c>
      <c r="BU590" s="87">
        <f>SUMIFS($AU$3:AU591,$AA$3:AA591,"*",$AB$3:AB591,"*")</f>
        <v>5423.9999999998217</v>
      </c>
      <c r="BV590" s="87">
        <f>SUMIFS($AU$3:AU591,$AA$3:AA591,"*",$AC$3:AC591,"*")</f>
        <v>19728.036363636533</v>
      </c>
      <c r="BW590" s="87">
        <f>SUMIFS($AU$3:AU591,$AB$3:AB591,"*",$AC$3:AC591,"*")</f>
        <v>7119.9999999999982</v>
      </c>
      <c r="BX590" s="87">
        <f>SUMIFS($AV$3:AV591,$Q$3:Q591,"F")</f>
        <v>418.22475235412151</v>
      </c>
      <c r="BY590" s="87">
        <f>SUMIFS($AV$3:AV591,$Q$3:Q591,"S")</f>
        <v>706.03991333429894</v>
      </c>
      <c r="BZ590" s="87">
        <f>SUMIFS($AV$3:AV591,$Q$3:Q591,"O")</f>
        <v>612.95929999974919</v>
      </c>
    </row>
    <row r="591" spans="1:78" ht="15.75" customHeight="1">
      <c r="A591" s="45" t="s">
        <v>1819</v>
      </c>
      <c r="B591" s="59">
        <v>45426</v>
      </c>
      <c r="C591" s="46" t="s">
        <v>1946</v>
      </c>
      <c r="D591" s="46" t="s">
        <v>98</v>
      </c>
      <c r="E591" s="66"/>
      <c r="F591" s="47"/>
      <c r="G591" s="104" t="s">
        <v>1918</v>
      </c>
      <c r="H591" s="49"/>
      <c r="I591" s="49"/>
      <c r="J591" s="49"/>
      <c r="K591" s="50"/>
      <c r="L591" s="49">
        <v>1</v>
      </c>
      <c r="M591" s="49"/>
      <c r="N591" s="49"/>
      <c r="O591" s="50" t="s">
        <v>100</v>
      </c>
      <c r="P591" s="50" t="s">
        <v>126</v>
      </c>
      <c r="Q591" s="50" t="s">
        <v>198</v>
      </c>
      <c r="R591" s="50">
        <v>20</v>
      </c>
      <c r="S591" s="50">
        <v>0</v>
      </c>
      <c r="T591" s="50">
        <v>20</v>
      </c>
      <c r="U591" s="50" t="s">
        <v>102</v>
      </c>
      <c r="V591" s="50"/>
      <c r="W591" s="50"/>
      <c r="X591" s="50"/>
      <c r="Y591" s="51">
        <f>IF(ISBLANK(O591),"",(IF(O591=UPPER("IB"),0.005,0.01)))</f>
        <v>0.01</v>
      </c>
      <c r="Z591" s="52">
        <f>IF(ISBLANK(O591),"",IF(O591="IB",8.63*200,IF(O591="IR",16*100,IF(O591="YT",20*100,IF(O591="YT-XT",24*200,IF(O591="TED",80*100,IF(O591="XT",29*200)))))))</f>
        <v>1600</v>
      </c>
      <c r="AA591" s="52" t="s">
        <v>1947</v>
      </c>
      <c r="AB591" s="52"/>
      <c r="AC591" s="52" t="s">
        <v>1948</v>
      </c>
      <c r="AD591" s="231">
        <v>95.93</v>
      </c>
      <c r="AE591" s="49"/>
      <c r="AF591" s="84"/>
      <c r="AG591" s="49"/>
      <c r="AH591" s="49"/>
      <c r="AI591" s="49"/>
      <c r="AJ591" s="226"/>
      <c r="AK591" s="49"/>
      <c r="AL591" s="113">
        <f t="shared" si="261"/>
        <v>-32</v>
      </c>
      <c r="AM591" s="113">
        <f t="shared" si="255"/>
        <v>-640</v>
      </c>
      <c r="AN591" s="218"/>
      <c r="AO591" s="49"/>
      <c r="AP591" s="49" t="s">
        <v>607</v>
      </c>
      <c r="AQ591" s="84" t="s">
        <v>142</v>
      </c>
      <c r="AR591" s="49" t="s">
        <v>1949</v>
      </c>
      <c r="AS591" s="55">
        <v>95.92</v>
      </c>
      <c r="AT591" s="55">
        <f>IF(ISBLANK(AS591),,IF(U591="S",AD591-AS591,AS591-AD591))</f>
        <v>1.0000000000005116E-2</v>
      </c>
      <c r="AU591" s="54">
        <f>AV591*R591</f>
        <v>320.00000000016371</v>
      </c>
      <c r="AV591" s="56">
        <f t="shared" si="269"/>
        <v>16.000000000008185</v>
      </c>
      <c r="AW591" s="57" t="s">
        <v>101</v>
      </c>
      <c r="AX591" s="153" t="s">
        <v>1950</v>
      </c>
      <c r="AY591" s="153"/>
      <c r="AZ591" s="153"/>
      <c r="BA591" s="153"/>
      <c r="BB591" s="153"/>
      <c r="BC591" s="153"/>
      <c r="BD591" s="151"/>
      <c r="BE591" s="152"/>
      <c r="BF591" s="151"/>
      <c r="BG591" s="94">
        <f>SUM($AV$4:AV591)</f>
        <v>3685.2239656881752</v>
      </c>
      <c r="BH591" s="95">
        <f>SUM($AU$4:AU591)</f>
        <v>54427.353506493397</v>
      </c>
      <c r="BI591" s="80">
        <f>SUMIFS($AU$3:AU628,$Q$3:Q628,"F")</f>
        <v>28242.093506493511</v>
      </c>
      <c r="BJ591" s="80">
        <f>SUMIFS($AU$3:AU628,$Q$3:Q628,"S")</f>
        <v>24912</v>
      </c>
      <c r="BK591" s="87">
        <f>SUMIFS($AU$3:AU628,$P$3:P628,"W")</f>
        <v>37355.273506493846</v>
      </c>
      <c r="BL591" s="87">
        <f>SUMIFS($AU$3:AU628,$P$3:P628,"R")</f>
        <v>18186.00000000012</v>
      </c>
      <c r="BM591" s="87">
        <f>SUMIFS($AU$3:AU628,$AQ$3:AQ628,"M")</f>
        <v>9793.3799999992334</v>
      </c>
      <c r="BN591" s="87">
        <f>SUMIFS($AU$3:AU628,$AQ$3:AQ628,"H")</f>
        <v>18515.200000000543</v>
      </c>
      <c r="BO591" s="87">
        <f>SUMIFS($AU$3:AU628,$AQ$3:AQ628,"D")</f>
        <v>13641.507142857021</v>
      </c>
      <c r="BP591" s="87">
        <f>SUMIFS($AS$3:AS1317,$AO$3:AO1317,"W")</f>
        <v>0</v>
      </c>
      <c r="BQ591" s="87">
        <f>SUMIFS($AU$3:AU628,$Q$3:Q628,"O")</f>
        <v>1417.2599999999034</v>
      </c>
      <c r="BR591" s="87">
        <f>SUMIFS($AU$3:AU628,$AA$3:AA628,"*")</f>
        <v>43221.436363636036</v>
      </c>
      <c r="BS591" s="87">
        <f>SUMIFS($AU$3:AU628,$AB$3:AB628,"*")</f>
        <v>10383.860000000041</v>
      </c>
      <c r="BT591" s="87">
        <f>SUMIFS($AU$3:AU628,$AC$3:AC628,"*")</f>
        <v>31682.093506493675</v>
      </c>
      <c r="BU591" s="87">
        <f>SUMIFS($AU$3:AU628,$AA$3:AA628,"*",$AB$3:AB628,"*")</f>
        <v>5423.9999999998217</v>
      </c>
      <c r="BV591" s="87">
        <f>SUMIFS($AU$3:AU628,$AA$3:AA628,"*",$AC$3:AC628,"*")</f>
        <v>19728.036363636533</v>
      </c>
      <c r="BW591" s="87">
        <f>SUMIFS($AU$3:AU628,$AB$3:AB628,"*",$AC$3:AC628,"*")</f>
        <v>7119.9999999999982</v>
      </c>
      <c r="BX591" s="87">
        <f>SUMIFS($AV$3:AV628,$Q$3:Q628,"F")</f>
        <v>418.22475235412151</v>
      </c>
      <c r="BY591" s="87">
        <f>SUMIFS($AV$3:AV628,$Q$3:Q628,"S")</f>
        <v>784.03991333429894</v>
      </c>
      <c r="BZ591" s="87">
        <f>SUMIFS($AV$3:AV628,$Q$3:Q628,"O")</f>
        <v>612.95929999974919</v>
      </c>
    </row>
    <row r="592" spans="1:78" ht="15.75" customHeight="1">
      <c r="A592" s="45" t="s">
        <v>1819</v>
      </c>
      <c r="B592" s="59">
        <v>45426</v>
      </c>
      <c r="C592" s="46" t="s">
        <v>1949</v>
      </c>
      <c r="D592" s="46" t="s">
        <v>98</v>
      </c>
      <c r="E592" s="66"/>
      <c r="F592" s="47"/>
      <c r="G592" s="48" t="s">
        <v>1173</v>
      </c>
      <c r="H592" s="49"/>
      <c r="I592" s="49"/>
      <c r="J592" s="49"/>
      <c r="K592" s="50"/>
      <c r="L592" s="49"/>
      <c r="M592" s="49"/>
      <c r="N592" s="49"/>
      <c r="O592" s="50" t="s">
        <v>476</v>
      </c>
      <c r="P592" s="50"/>
      <c r="Q592" s="50"/>
      <c r="R592" s="50">
        <v>16</v>
      </c>
      <c r="S592" s="50">
        <v>0</v>
      </c>
      <c r="T592" s="50">
        <v>16</v>
      </c>
      <c r="U592" s="50" t="s">
        <v>22</v>
      </c>
      <c r="V592" s="50"/>
      <c r="W592" s="50"/>
      <c r="X592" s="50"/>
      <c r="Y592" s="51">
        <f>IF(ISBLANK(O592),"",(IF(O592=UPPER("IB"),0.005,0.01)))</f>
        <v>0.01</v>
      </c>
      <c r="Z592" s="52">
        <f>IF(ISBLANK(O592),"",IF(O592="IB",8.63*200,IF(O592="IR",16*100,IF(O592="YT",20*100,IF(O592="YT-XT",24*200,IF(O592="TED",80*100,IF(O592="XT",29*200)))))))</f>
        <v>2000</v>
      </c>
      <c r="AA592" s="52" t="s">
        <v>1951</v>
      </c>
      <c r="AB592" s="52"/>
      <c r="AC592" s="52"/>
      <c r="AD592" s="231">
        <v>96.05</v>
      </c>
      <c r="AE592" s="49"/>
      <c r="AF592" s="84"/>
      <c r="AG592" s="49"/>
      <c r="AH592" s="49"/>
      <c r="AI592" s="49"/>
      <c r="AJ592" s="226"/>
      <c r="AK592" s="49"/>
      <c r="AL592" s="113">
        <f t="shared" si="261"/>
        <v>-40</v>
      </c>
      <c r="AM592" s="113">
        <f t="shared" si="255"/>
        <v>-640</v>
      </c>
      <c r="AN592" s="218"/>
      <c r="AO592" s="49"/>
      <c r="AP592" s="49"/>
      <c r="AQ592" s="84" t="str">
        <f>UPPER(RIGHT(Journal_Live[[#This Row],[DURATION ]]))</f>
        <v/>
      </c>
      <c r="AR592" s="49"/>
      <c r="AS592" s="55">
        <v>96.05</v>
      </c>
      <c r="AT592" s="55">
        <f>IF(ISBLANK(AS592),,IF(U592="S",AD592-AS592,AS592-AD592))</f>
        <v>0</v>
      </c>
      <c r="AU592" s="54">
        <f>AV592*R592</f>
        <v>0</v>
      </c>
      <c r="AV592" s="56">
        <f t="shared" si="269"/>
        <v>0</v>
      </c>
      <c r="AW592" s="57" t="s">
        <v>155</v>
      </c>
      <c r="AX592" s="153"/>
      <c r="AY592" s="153"/>
      <c r="AZ592" s="153"/>
      <c r="BA592" s="153"/>
      <c r="BB592" s="153"/>
      <c r="BC592" s="153"/>
      <c r="BD592" s="151"/>
      <c r="BE592" s="152"/>
      <c r="BF592" s="151"/>
      <c r="BG592" s="94">
        <f>SUM($AV$4:AV592)</f>
        <v>3685.2239656881752</v>
      </c>
      <c r="BH592" s="95">
        <f>SUM($AU$4:AU592)</f>
        <v>54427.353506493397</v>
      </c>
      <c r="BI592" s="80">
        <f>SUMIFS($AU$3:AU593,$Q$3:Q593,"F")</f>
        <v>28242.093506493511</v>
      </c>
      <c r="BJ592" s="80">
        <f>SUMIFS($AU$3:AU593,$Q$3:Q593,"S")</f>
        <v>23344</v>
      </c>
      <c r="BK592" s="87">
        <f>SUMIFS($AU$3:AU593,$P$3:P593,"W")</f>
        <v>35787.273506493846</v>
      </c>
      <c r="BL592" s="87">
        <f>SUMIFS($AU$3:AU593,$P$3:P593,"R")</f>
        <v>17886.00000000012</v>
      </c>
      <c r="BM592" s="87">
        <f>SUMIFS($AU$3:AU593,$AQ$3:AQ593,"M")</f>
        <v>8993.3799999992334</v>
      </c>
      <c r="BN592" s="87">
        <f>SUMIFS($AU$3:AU593,$AQ$3:AQ593,"H")</f>
        <v>17447.200000000543</v>
      </c>
      <c r="BO592" s="87">
        <f>SUMIFS($AU$3:AU593,$AQ$3:AQ593,"D")</f>
        <v>13641.507142857021</v>
      </c>
      <c r="BP592" s="87">
        <f>SUMIFS($AS$3:AS1309,$AO$3:AO1309,"W")</f>
        <v>0</v>
      </c>
      <c r="BQ592" s="87">
        <f>SUMIFS($AU$3:AU593,$Q$3:Q593,"O")</f>
        <v>1417.2599999999034</v>
      </c>
      <c r="BR592" s="87">
        <f>SUMIFS($AU$3:AU593,$AA$3:AA593,"*")</f>
        <v>41353.436363636036</v>
      </c>
      <c r="BS592" s="87">
        <f>SUMIFS($AU$3:AU593,$AB$3:AB593,"*")</f>
        <v>10383.860000000041</v>
      </c>
      <c r="BT592" s="87">
        <f>SUMIFS($AU$3:AU593,$AC$3:AC593,"*")</f>
        <v>31682.093506493675</v>
      </c>
      <c r="BU592" s="87">
        <f>SUMIFS($AU$3:AU593,$AA$3:AA593,"*",$AB$3:AB593,"*")</f>
        <v>5423.9999999998217</v>
      </c>
      <c r="BV592" s="87">
        <f>SUMIFS($AU$3:AU593,$AA$3:AA593,"*",$AC$3:AC593,"*")</f>
        <v>19728.036363636533</v>
      </c>
      <c r="BW592" s="87">
        <f>SUMIFS($AU$3:AU593,$AB$3:AB593,"*",$AC$3:AC593,"*")</f>
        <v>7119.9999999999982</v>
      </c>
      <c r="BX592" s="87">
        <f>SUMIFS($AV$3:AV593,$Q$3:Q593,"F")</f>
        <v>418.22475235412151</v>
      </c>
      <c r="BY592" s="87">
        <f>SUMIFS($AV$3:AV593,$Q$3:Q593,"S")</f>
        <v>706.03991333429894</v>
      </c>
      <c r="BZ592" s="87">
        <f>SUMIFS($AV$3:AV593,$Q$3:Q593,"O")</f>
        <v>612.95929999974919</v>
      </c>
    </row>
    <row r="593" spans="1:78" ht="15.75" customHeight="1">
      <c r="A593" s="45" t="s">
        <v>1819</v>
      </c>
      <c r="B593" s="59">
        <v>45426</v>
      </c>
      <c r="C593" s="46" t="s">
        <v>871</v>
      </c>
      <c r="D593" s="46" t="s">
        <v>98</v>
      </c>
      <c r="E593" s="66" t="s">
        <v>1952</v>
      </c>
      <c r="F593" s="47" t="s">
        <v>1953</v>
      </c>
      <c r="G593" s="48"/>
      <c r="H593" s="49">
        <v>1</v>
      </c>
      <c r="I593" s="49"/>
      <c r="J593" s="49"/>
      <c r="K593" s="50" t="s">
        <v>142</v>
      </c>
      <c r="L593" s="49"/>
      <c r="M593" s="49"/>
      <c r="N593" s="49"/>
      <c r="O593" s="50"/>
      <c r="P593" s="50"/>
      <c r="Q593" s="50"/>
      <c r="R593" s="50"/>
      <c r="S593" s="50"/>
      <c r="T593" s="50"/>
      <c r="U593" s="50"/>
      <c r="V593" s="50"/>
      <c r="W593" s="50"/>
      <c r="X593" s="50"/>
      <c r="Y593" s="51"/>
      <c r="Z593" s="52"/>
      <c r="AA593" s="52"/>
      <c r="AB593" s="52"/>
      <c r="AC593" s="52"/>
      <c r="AD593" s="231"/>
      <c r="AE593" s="49"/>
      <c r="AF593" s="84"/>
      <c r="AG593" s="49"/>
      <c r="AH593" s="49"/>
      <c r="AI593" s="49"/>
      <c r="AJ593" s="226"/>
      <c r="AK593" s="49"/>
      <c r="AL593" s="113">
        <f t="shared" si="261"/>
        <v>0</v>
      </c>
      <c r="AM593" s="113">
        <f t="shared" si="255"/>
        <v>0</v>
      </c>
      <c r="AN593" s="218"/>
      <c r="AO593" s="49"/>
      <c r="AP593" s="49"/>
      <c r="AQ593" s="84" t="str">
        <f>UPPER(RIGHT(Journal_Live[[#This Row],[DURATION ]]))</f>
        <v/>
      </c>
      <c r="AR593" s="49"/>
      <c r="AS593" s="55"/>
      <c r="AT593" s="55"/>
      <c r="AU593" s="54"/>
      <c r="AV593" s="56"/>
      <c r="AW593" s="57"/>
      <c r="AX593" s="153" t="s">
        <v>1954</v>
      </c>
      <c r="AY593" s="153" t="s">
        <v>1955</v>
      </c>
      <c r="AZ593" s="153"/>
      <c r="BA593" s="153"/>
      <c r="BB593" s="153"/>
      <c r="BC593" s="153"/>
      <c r="BD593" s="151"/>
      <c r="BE593" s="152"/>
      <c r="BF593" s="151"/>
      <c r="BG593" s="94">
        <f>SUM($AV$4:AV593)</f>
        <v>3685.2239656881752</v>
      </c>
      <c r="BH593" s="95">
        <f>SUM($AU$4:AU593)</f>
        <v>54427.353506493397</v>
      </c>
      <c r="BI593" s="80">
        <f>SUMIFS($AU$3:AU594,$Q$3:Q594,"F")</f>
        <v>28242.093506493511</v>
      </c>
      <c r="BJ593" s="80">
        <f>SUMIFS($AU$3:AU594,$Q$3:Q594,"S")</f>
        <v>23344</v>
      </c>
      <c r="BK593" s="87">
        <f>SUMIFS($AU$3:AU594,$P$3:P594,"W")</f>
        <v>35787.273506493846</v>
      </c>
      <c r="BL593" s="87">
        <f>SUMIFS($AU$3:AU594,$P$3:P594,"R")</f>
        <v>17886.00000000012</v>
      </c>
      <c r="BM593" s="87">
        <f>SUMIFS($AU$3:AU594,$AQ$3:AQ594,"M")</f>
        <v>8993.3799999992334</v>
      </c>
      <c r="BN593" s="87">
        <f>SUMIFS($AU$3:AU594,$AQ$3:AQ594,"H")</f>
        <v>17447.200000000543</v>
      </c>
      <c r="BO593" s="87">
        <f>SUMIFS($AU$3:AU594,$AQ$3:AQ594,"D")</f>
        <v>13641.507142857021</v>
      </c>
      <c r="BP593" s="87">
        <f>SUMIFS($AS$3:AS1310,$AO$3:AO1310,"W")</f>
        <v>0</v>
      </c>
      <c r="BQ593" s="87">
        <f>SUMIFS($AU$3:AU594,$Q$3:Q594,"O")</f>
        <v>1417.2599999999034</v>
      </c>
      <c r="BR593" s="87">
        <f>SUMIFS($AU$3:AU594,$AA$3:AA594,"*")</f>
        <v>41353.436363636036</v>
      </c>
      <c r="BS593" s="87">
        <f>SUMIFS($AU$3:AU594,$AB$3:AB594,"*")</f>
        <v>10383.860000000041</v>
      </c>
      <c r="BT593" s="87">
        <f>SUMIFS($AU$3:AU594,$AC$3:AC594,"*")</f>
        <v>31682.093506493675</v>
      </c>
      <c r="BU593" s="87">
        <f>SUMIFS($AU$3:AU594,$AA$3:AA594,"*",$AB$3:AB594,"*")</f>
        <v>5423.9999999998217</v>
      </c>
      <c r="BV593" s="87">
        <f>SUMIFS($AU$3:AU594,$AA$3:AA594,"*",$AC$3:AC594,"*")</f>
        <v>19728.036363636533</v>
      </c>
      <c r="BW593" s="87">
        <f>SUMIFS($AU$3:AU594,$AB$3:AB594,"*",$AC$3:AC594,"*")</f>
        <v>7119.9999999999982</v>
      </c>
      <c r="BX593" s="87">
        <f>SUMIFS($AV$3:AV594,$Q$3:Q594,"F")</f>
        <v>418.22475235412151</v>
      </c>
      <c r="BY593" s="87">
        <f>SUMIFS($AV$3:AV594,$Q$3:Q594,"S")</f>
        <v>706.03991333429894</v>
      </c>
      <c r="BZ593" s="87">
        <f>SUMIFS($AV$3:AV594,$Q$3:Q594,"O")</f>
        <v>612.95929999974919</v>
      </c>
    </row>
    <row r="594" spans="1:78" ht="15.75" customHeight="1">
      <c r="A594" s="45" t="s">
        <v>1819</v>
      </c>
      <c r="B594" s="59"/>
      <c r="C594" s="46"/>
      <c r="D594" s="46"/>
      <c r="E594" s="66" t="s">
        <v>1956</v>
      </c>
      <c r="F594" s="47" t="s">
        <v>1953</v>
      </c>
      <c r="G594" s="48"/>
      <c r="H594" s="49">
        <v>1</v>
      </c>
      <c r="I594" s="49"/>
      <c r="J594" s="49"/>
      <c r="K594" s="50" t="s">
        <v>142</v>
      </c>
      <c r="L594" s="49"/>
      <c r="M594" s="49"/>
      <c r="N594" s="49"/>
      <c r="O594" s="50"/>
      <c r="P594" s="50"/>
      <c r="Q594" s="50"/>
      <c r="R594" s="50"/>
      <c r="S594" s="50"/>
      <c r="T594" s="50"/>
      <c r="U594" s="50"/>
      <c r="V594" s="50"/>
      <c r="W594" s="50"/>
      <c r="X594" s="50"/>
      <c r="Y594" s="51"/>
      <c r="Z594" s="52"/>
      <c r="AA594" s="52"/>
      <c r="AB594" s="52"/>
      <c r="AC594" s="52"/>
      <c r="AD594" s="231"/>
      <c r="AE594" s="49"/>
      <c r="AF594" s="84"/>
      <c r="AG594" s="49"/>
      <c r="AH594" s="49"/>
      <c r="AI594" s="49"/>
      <c r="AJ594" s="226"/>
      <c r="AK594" s="49"/>
      <c r="AL594" s="113">
        <f t="shared" si="261"/>
        <v>0</v>
      </c>
      <c r="AM594" s="113">
        <f t="shared" si="255"/>
        <v>0</v>
      </c>
      <c r="AN594" s="218"/>
      <c r="AO594" s="49"/>
      <c r="AP594" s="49"/>
      <c r="AQ594" s="84" t="str">
        <f>UPPER(RIGHT(Journal_Live[[#This Row],[DURATION ]]))</f>
        <v/>
      </c>
      <c r="AR594" s="49"/>
      <c r="AS594" s="55"/>
      <c r="AT594" s="55"/>
      <c r="AU594" s="54"/>
      <c r="AV594" s="56"/>
      <c r="AW594" s="57"/>
      <c r="AX594" s="153"/>
      <c r="AY594" s="153"/>
      <c r="AZ594" s="153"/>
      <c r="BA594" s="153"/>
      <c r="BB594" s="153"/>
      <c r="BC594" s="153"/>
      <c r="BD594" s="151"/>
      <c r="BE594" s="152"/>
      <c r="BF594" s="151"/>
      <c r="BG594" s="94">
        <f>SUM($AV$4:AV594)</f>
        <v>3685.2239656881752</v>
      </c>
      <c r="BH594" s="95">
        <f>SUM($AU$4:AU594)</f>
        <v>54427.353506493397</v>
      </c>
      <c r="BI594" s="80">
        <f>SUMIFS($AU$3:AU603,$Q$3:Q603,"F")</f>
        <v>28242.093506493511</v>
      </c>
      <c r="BJ594" s="80">
        <f>SUMIFS($AU$3:AU603,$Q$3:Q603,"S")</f>
        <v>26080</v>
      </c>
      <c r="BK594" s="87">
        <f>SUMIFS($AU$3:AU603,$P$3:P603,"W")</f>
        <v>38523.273506493846</v>
      </c>
      <c r="BL594" s="87">
        <f>SUMIFS($AU$3:AU603,$P$3:P603,"R")</f>
        <v>17886.00000000012</v>
      </c>
      <c r="BM594" s="87">
        <f>SUMIFS($AU$3:AU603,$AQ$3:AQ603,"M")</f>
        <v>9793.3799999992334</v>
      </c>
      <c r="BN594" s="87">
        <f>SUMIFS($AU$3:AU603,$AQ$3:AQ603,"H")</f>
        <v>19383.200000000543</v>
      </c>
      <c r="BO594" s="87">
        <f>SUMIFS($AU$3:AU603,$AQ$3:AQ603,"D")</f>
        <v>13641.507142857021</v>
      </c>
      <c r="BP594" s="87">
        <f>SUMIFS($AS$3:AS1311,$AO$3:AO1311,"W")</f>
        <v>0</v>
      </c>
      <c r="BQ594" s="87">
        <f>SUMIFS($AU$3:AU603,$Q$3:Q603,"O")</f>
        <v>1417.2599999999034</v>
      </c>
      <c r="BR594" s="87">
        <f>SUMIFS($AU$3:AU603,$AA$3:AA603,"*")</f>
        <v>44089.436363636036</v>
      </c>
      <c r="BS594" s="87">
        <f>SUMIFS($AU$3:AU603,$AB$3:AB603,"*")</f>
        <v>10383.860000000041</v>
      </c>
      <c r="BT594" s="87">
        <f>SUMIFS($AU$3:AU603,$AC$3:AC603,"*")</f>
        <v>31682.093506493675</v>
      </c>
      <c r="BU594" s="87">
        <f>SUMIFS($AU$3:AU603,$AA$3:AA603,"*",$AB$3:AB603,"*")</f>
        <v>5423.9999999998217</v>
      </c>
      <c r="BV594" s="87">
        <f>SUMIFS($AU$3:AU603,$AA$3:AA603,"*",$AC$3:AC603,"*")</f>
        <v>19728.036363636533</v>
      </c>
      <c r="BW594" s="87">
        <f>SUMIFS($AU$3:AU603,$AB$3:AB603,"*",$AC$3:AC603,"*")</f>
        <v>7119.9999999999982</v>
      </c>
      <c r="BX594" s="87">
        <f>SUMIFS($AV$3:AV603,$Q$3:Q603,"F")</f>
        <v>418.22475235412151</v>
      </c>
      <c r="BY594" s="87">
        <f>SUMIFS($AV$3:AV603,$Q$3:Q603,"S")</f>
        <v>802.03991333429894</v>
      </c>
      <c r="BZ594" s="87">
        <f>SUMIFS($AV$3:AV603,$Q$3:Q603,"O")</f>
        <v>612.95929999974919</v>
      </c>
    </row>
    <row r="595" spans="1:78" ht="15.75" customHeight="1">
      <c r="A595" s="45" t="s">
        <v>1819</v>
      </c>
      <c r="B595" s="59">
        <v>45426</v>
      </c>
      <c r="C595" s="46" t="s">
        <v>620</v>
      </c>
      <c r="D595" s="46" t="s">
        <v>98</v>
      </c>
      <c r="E595" s="66"/>
      <c r="F595" s="47"/>
      <c r="G595" s="48" t="s">
        <v>227</v>
      </c>
      <c r="H595" s="49"/>
      <c r="I595" s="49"/>
      <c r="J595" s="49"/>
      <c r="K595" s="50"/>
      <c r="L595" s="49"/>
      <c r="M595" s="49"/>
      <c r="N595" s="49"/>
      <c r="O595" s="50"/>
      <c r="P595" s="50"/>
      <c r="Q595" s="50"/>
      <c r="R595" s="50"/>
      <c r="S595" s="50"/>
      <c r="T595" s="50"/>
      <c r="U595" s="50"/>
      <c r="V595" s="50"/>
      <c r="W595" s="50"/>
      <c r="X595" s="50"/>
      <c r="Y595" s="51"/>
      <c r="Z595" s="52"/>
      <c r="AA595" s="52"/>
      <c r="AB595" s="52"/>
      <c r="AC595" s="52"/>
      <c r="AD595" s="231"/>
      <c r="AE595" s="49"/>
      <c r="AF595" s="84"/>
      <c r="AG595" s="49"/>
      <c r="AH595" s="49"/>
      <c r="AI595" s="49"/>
      <c r="AJ595" s="226"/>
      <c r="AK595" s="49"/>
      <c r="AL595" s="113">
        <f t="shared" ref="AL595:AL602" si="270">-0.02*Z595</f>
        <v>0</v>
      </c>
      <c r="AM595" s="113">
        <f t="shared" si="255"/>
        <v>0</v>
      </c>
      <c r="AN595" s="218"/>
      <c r="AO595" s="49"/>
      <c r="AP595" s="49"/>
      <c r="AQ595" s="84" t="str">
        <f>UPPER(RIGHT(Journal_Live[[#This Row],[DURATION ]]))</f>
        <v/>
      </c>
      <c r="AR595" s="49"/>
      <c r="AS595" s="55"/>
      <c r="AT595" s="55"/>
      <c r="AU595" s="54"/>
      <c r="AV595" s="56"/>
      <c r="AW595" s="57"/>
      <c r="AX595" s="153"/>
      <c r="AY595" s="153"/>
      <c r="AZ595" s="153"/>
      <c r="BA595" s="153"/>
      <c r="BB595" s="153"/>
      <c r="BC595" s="153"/>
      <c r="BD595" s="151"/>
      <c r="BE595" s="152"/>
      <c r="BF595" s="151"/>
      <c r="BG595" s="94">
        <f>SUM($AV$4:AV595)</f>
        <v>3685.2239656881752</v>
      </c>
      <c r="BH595" s="95">
        <f>SUM($AU$4:AU595)</f>
        <v>54427.353506493397</v>
      </c>
      <c r="BI595" s="80">
        <f>SUMIFS($AU$3:AU596,$Q$3:Q596,"F")</f>
        <v>28242.093506493511</v>
      </c>
      <c r="BJ595" s="80">
        <f>SUMIFS($AU$3:AU596,$Q$3:Q596,"S")</f>
        <v>23584</v>
      </c>
      <c r="BK595" s="87">
        <f>SUMIFS($AU$3:AU596,$P$3:P596,"W")</f>
        <v>36027.273506493846</v>
      </c>
      <c r="BL595" s="87">
        <f>SUMIFS($AU$3:AU596,$P$3:P596,"R")</f>
        <v>17886.00000000012</v>
      </c>
      <c r="BM595" s="87">
        <f>SUMIFS($AU$3:AU596,$AQ$3:AQ596,"M")</f>
        <v>8993.3799999992334</v>
      </c>
      <c r="BN595" s="87">
        <f>SUMIFS($AU$3:AU596,$AQ$3:AQ596,"H")</f>
        <v>17687.200000000543</v>
      </c>
      <c r="BO595" s="87">
        <f>SUMIFS($AU$3:AU596,$AQ$3:AQ596,"D")</f>
        <v>13641.507142857021</v>
      </c>
      <c r="BP595" s="87">
        <f>SUMIFS($AS$3:AS1304,$AO$3:AO1304,"W")</f>
        <v>0</v>
      </c>
      <c r="BQ595" s="87">
        <f>SUMIFS($AU$3:AU596,$Q$3:Q596,"O")</f>
        <v>1417.2599999999034</v>
      </c>
      <c r="BR595" s="87">
        <f>SUMIFS($AU$3:AU596,$AA$3:AA596,"*")</f>
        <v>41593.436363636036</v>
      </c>
      <c r="BS595" s="87">
        <f>SUMIFS($AU$3:AU596,$AB$3:AB596,"*")</f>
        <v>10383.860000000041</v>
      </c>
      <c r="BT595" s="87">
        <f>SUMIFS($AU$3:AU596,$AC$3:AC596,"*")</f>
        <v>31682.093506493675</v>
      </c>
      <c r="BU595" s="87">
        <f>SUMIFS($AU$3:AU596,$AA$3:AA596,"*",$AB$3:AB596,"*")</f>
        <v>5423.9999999998217</v>
      </c>
      <c r="BV595" s="87">
        <f>SUMIFS($AU$3:AU596,$AA$3:AA596,"*",$AC$3:AC596,"*")</f>
        <v>19728.036363636533</v>
      </c>
      <c r="BW595" s="87">
        <f>SUMIFS($AU$3:AU596,$AB$3:AB596,"*",$AC$3:AC596,"*")</f>
        <v>7119.9999999999982</v>
      </c>
      <c r="BX595" s="87">
        <f>SUMIFS($AV$3:AV596,$Q$3:Q596,"F")</f>
        <v>418.22475235412151</v>
      </c>
      <c r="BY595" s="87">
        <f>SUMIFS($AV$3:AV596,$Q$3:Q596,"S")</f>
        <v>722.03991333429894</v>
      </c>
      <c r="BZ595" s="87">
        <f>SUMIFS($AV$3:AV596,$Q$3:Q596,"O")</f>
        <v>612.95929999974919</v>
      </c>
    </row>
    <row r="596" spans="1:78" ht="15.75" customHeight="1">
      <c r="A596" s="45" t="s">
        <v>1819</v>
      </c>
      <c r="B596" s="59">
        <v>45426</v>
      </c>
      <c r="C596" s="46" t="s">
        <v>147</v>
      </c>
      <c r="D596" s="46" t="s">
        <v>98</v>
      </c>
      <c r="E596" s="66"/>
      <c r="F596" s="47"/>
      <c r="G596" s="104" t="s">
        <v>688</v>
      </c>
      <c r="H596" s="49"/>
      <c r="I596" s="49"/>
      <c r="J596" s="49"/>
      <c r="K596" s="50"/>
      <c r="L596" s="49">
        <v>1</v>
      </c>
      <c r="M596" s="49">
        <v>1</v>
      </c>
      <c r="N596" s="49"/>
      <c r="O596" s="50" t="s">
        <v>100</v>
      </c>
      <c r="P596" s="50" t="s">
        <v>101</v>
      </c>
      <c r="Q596" s="50" t="s">
        <v>102</v>
      </c>
      <c r="R596" s="50">
        <v>15</v>
      </c>
      <c r="S596" s="50">
        <v>0</v>
      </c>
      <c r="T596" s="50">
        <v>15</v>
      </c>
      <c r="U596" s="50" t="s">
        <v>102</v>
      </c>
      <c r="V596" s="50"/>
      <c r="W596" s="50"/>
      <c r="X596" s="50"/>
      <c r="Y596" s="51">
        <f>IF(ISBLANK(O596),"",(IF(O596=UPPER("IB"),0.005,0.01)))</f>
        <v>0.01</v>
      </c>
      <c r="Z596" s="52">
        <f>IF(ISBLANK(O596),"",IF(O596="IB",8.63*200,IF(O596="IR",16*100,IF(O596="YT",20*100,IF(O596="YT-XT",24*200,IF(O596="TED",80*100,IF(O596="XT",29*200)))))))</f>
        <v>1600</v>
      </c>
      <c r="AA596" s="52" t="s">
        <v>1957</v>
      </c>
      <c r="AB596" s="52"/>
      <c r="AC596" s="52"/>
      <c r="AD596" s="231">
        <v>-0.19</v>
      </c>
      <c r="AE596" s="49"/>
      <c r="AF596" s="84"/>
      <c r="AG596" s="49"/>
      <c r="AH596" s="49"/>
      <c r="AI596" s="49"/>
      <c r="AJ596" s="226"/>
      <c r="AK596" s="49"/>
      <c r="AL596" s="113">
        <f t="shared" si="270"/>
        <v>-32</v>
      </c>
      <c r="AM596" s="113">
        <f t="shared" si="255"/>
        <v>-480</v>
      </c>
      <c r="AN596" s="218"/>
      <c r="AO596" s="49"/>
      <c r="AP596" s="49" t="s">
        <v>1958</v>
      </c>
      <c r="AQ596" s="84" t="s">
        <v>142</v>
      </c>
      <c r="AR596" s="49"/>
      <c r="AS596" s="55">
        <v>-0.2</v>
      </c>
      <c r="AT596" s="55">
        <f>IF(ISBLANK(AS596),,IF(U596="S",AD596-AS596,AS596-AD596))</f>
        <v>1.0000000000000009E-2</v>
      </c>
      <c r="AU596" s="54">
        <f>AV596*R596</f>
        <v>240.00000000000023</v>
      </c>
      <c r="AV596" s="56">
        <f t="shared" ref="AV596:AV598" si="271">IF(ISBLANK(AS596),,(AT596*Z596))</f>
        <v>16.000000000000014</v>
      </c>
      <c r="AW596" s="57" t="s">
        <v>101</v>
      </c>
      <c r="AX596" s="153"/>
      <c r="AY596" s="153"/>
      <c r="AZ596" s="153"/>
      <c r="BA596" s="153"/>
      <c r="BB596" s="153"/>
      <c r="BC596" s="153"/>
      <c r="BD596" s="151"/>
      <c r="BE596" s="152"/>
      <c r="BF596" s="151"/>
      <c r="BG596" s="94">
        <f>SUM($AV$4:AV596)</f>
        <v>3701.2239656881752</v>
      </c>
      <c r="BH596" s="95">
        <f>SUM($AU$4:AU596)</f>
        <v>54667.353506493397</v>
      </c>
      <c r="BI596" s="80">
        <f>SUMIFS($AU$3:AU597,$Q$3:Q597,"F")</f>
        <v>28242.093506493511</v>
      </c>
      <c r="BJ596" s="80">
        <f>SUMIFS($AU$3:AU597,$Q$3:Q597,"S")</f>
        <v>23584</v>
      </c>
      <c r="BK596" s="87">
        <f>SUMIFS($AU$3:AU597,$P$3:P597,"W")</f>
        <v>36027.273506493846</v>
      </c>
      <c r="BL596" s="87">
        <f>SUMIFS($AU$3:AU597,$P$3:P597,"R")</f>
        <v>17886.00000000012</v>
      </c>
      <c r="BM596" s="87">
        <f>SUMIFS($AU$3:AU597,$AQ$3:AQ597,"M")</f>
        <v>8993.3799999992334</v>
      </c>
      <c r="BN596" s="87">
        <f>SUMIFS($AU$3:AU597,$AQ$3:AQ597,"H")</f>
        <v>17687.200000000543</v>
      </c>
      <c r="BO596" s="87">
        <f>SUMIFS($AU$3:AU597,$AQ$3:AQ597,"D")</f>
        <v>13641.507142857021</v>
      </c>
      <c r="BP596" s="87">
        <f>SUMIFS($AS$3:AS1305,$AO$3:AO1305,"W")</f>
        <v>0</v>
      </c>
      <c r="BQ596" s="87">
        <f>SUMIFS($AU$3:AU597,$Q$3:Q597,"O")</f>
        <v>1417.2599999999034</v>
      </c>
      <c r="BR596" s="87">
        <f>SUMIFS($AU$3:AU597,$AA$3:AA597,"*")</f>
        <v>41593.436363636036</v>
      </c>
      <c r="BS596" s="87">
        <f>SUMIFS($AU$3:AU597,$AB$3:AB597,"*")</f>
        <v>10383.860000000041</v>
      </c>
      <c r="BT596" s="87">
        <f>SUMIFS($AU$3:AU597,$AC$3:AC597,"*")</f>
        <v>31682.093506493675</v>
      </c>
      <c r="BU596" s="87">
        <f>SUMIFS($AU$3:AU597,$AA$3:AA597,"*",$AB$3:AB597,"*")</f>
        <v>5423.9999999998217</v>
      </c>
      <c r="BV596" s="87">
        <f>SUMIFS($AU$3:AU597,$AA$3:AA597,"*",$AC$3:AC597,"*")</f>
        <v>19728.036363636533</v>
      </c>
      <c r="BW596" s="87">
        <f>SUMIFS($AU$3:AU597,$AB$3:AB597,"*",$AC$3:AC597,"*")</f>
        <v>7119.9999999999982</v>
      </c>
      <c r="BX596" s="87">
        <f>SUMIFS($AV$3:AV597,$Q$3:Q597,"F")</f>
        <v>418.22475235412151</v>
      </c>
      <c r="BY596" s="87">
        <f>SUMIFS($AV$3:AV597,$Q$3:Q597,"S")</f>
        <v>722.03991333429894</v>
      </c>
      <c r="BZ596" s="87">
        <f>SUMIFS($AV$3:AV597,$Q$3:Q597,"O")</f>
        <v>612.95929999974919</v>
      </c>
    </row>
    <row r="597" spans="1:78" ht="15.75" customHeight="1">
      <c r="A597" s="45" t="s">
        <v>1819</v>
      </c>
      <c r="B597" s="59">
        <v>45426</v>
      </c>
      <c r="C597" s="46" t="s">
        <v>147</v>
      </c>
      <c r="D597" s="46" t="s">
        <v>98</v>
      </c>
      <c r="E597" s="66"/>
      <c r="F597" s="47"/>
      <c r="G597" s="48" t="s">
        <v>295</v>
      </c>
      <c r="H597" s="49"/>
      <c r="I597" s="49"/>
      <c r="J597" s="49"/>
      <c r="K597" s="50"/>
      <c r="L597" s="49"/>
      <c r="M597" s="49"/>
      <c r="N597" s="49"/>
      <c r="O597" s="50"/>
      <c r="P597" s="50"/>
      <c r="Q597" s="50"/>
      <c r="R597" s="50"/>
      <c r="S597" s="50"/>
      <c r="T597" s="50"/>
      <c r="U597" s="50"/>
      <c r="V597" s="50"/>
      <c r="W597" s="50"/>
      <c r="X597" s="50"/>
      <c r="Y597" s="51"/>
      <c r="Z597" s="52"/>
      <c r="AA597" s="52"/>
      <c r="AB597" s="52"/>
      <c r="AC597" s="52"/>
      <c r="AD597" s="231"/>
      <c r="AE597" s="49"/>
      <c r="AF597" s="84"/>
      <c r="AG597" s="49"/>
      <c r="AH597" s="49"/>
      <c r="AI597" s="49"/>
      <c r="AJ597" s="226"/>
      <c r="AK597" s="49"/>
      <c r="AL597" s="113">
        <f t="shared" si="270"/>
        <v>0</v>
      </c>
      <c r="AM597" s="113">
        <f t="shared" si="255"/>
        <v>0</v>
      </c>
      <c r="AN597" s="218"/>
      <c r="AO597" s="49"/>
      <c r="AP597" s="49"/>
      <c r="AQ597" s="84" t="str">
        <f>UPPER(RIGHT(Journal_Live[[#This Row],[DURATION ]]))</f>
        <v/>
      </c>
      <c r="AR597" s="49"/>
      <c r="AS597" s="55"/>
      <c r="AT597" s="55"/>
      <c r="AU597" s="54"/>
      <c r="AV597" s="56"/>
      <c r="AW597" s="57"/>
      <c r="AX597" s="153"/>
      <c r="AY597" s="153"/>
      <c r="AZ597" s="153"/>
      <c r="BA597" s="153"/>
      <c r="BB597" s="153"/>
      <c r="BC597" s="153"/>
      <c r="BD597" s="151"/>
      <c r="BE597" s="152"/>
      <c r="BF597" s="151"/>
      <c r="BG597" s="94">
        <f>SUM($AV$4:AV597)</f>
        <v>3701.2239656881752</v>
      </c>
      <c r="BH597" s="95">
        <f>SUM($AU$4:AU597)</f>
        <v>54667.353506493397</v>
      </c>
      <c r="BI597" s="80">
        <f>SUMIFS($AU$3:AU598,$Q$3:Q598,"F")</f>
        <v>28242.093506493511</v>
      </c>
      <c r="BJ597" s="80">
        <f>SUMIFS($AU$3:AU598,$Q$3:Q598,"S")</f>
        <v>24384</v>
      </c>
      <c r="BK597" s="87">
        <f>SUMIFS($AU$3:AU598,$P$3:P598,"W")</f>
        <v>36827.273506493846</v>
      </c>
      <c r="BL597" s="87">
        <f>SUMIFS($AU$3:AU598,$P$3:P598,"R")</f>
        <v>17886.00000000012</v>
      </c>
      <c r="BM597" s="87">
        <f>SUMIFS($AU$3:AU598,$AQ$3:AQ598,"M")</f>
        <v>9793.3799999992334</v>
      </c>
      <c r="BN597" s="87">
        <f>SUMIFS($AU$3:AU598,$AQ$3:AQ598,"H")</f>
        <v>17687.200000000543</v>
      </c>
      <c r="BO597" s="87">
        <f>SUMIFS($AU$3:AU598,$AQ$3:AQ598,"D")</f>
        <v>13641.507142857021</v>
      </c>
      <c r="BP597" s="87">
        <f>SUMIFS($AS$3:AS1306,$AO$3:AO1306,"W")</f>
        <v>0</v>
      </c>
      <c r="BQ597" s="87">
        <f>SUMIFS($AU$3:AU598,$Q$3:Q598,"O")</f>
        <v>1417.2599999999034</v>
      </c>
      <c r="BR597" s="87">
        <f>SUMIFS($AU$3:AU598,$AA$3:AA598,"*")</f>
        <v>42393.436363636036</v>
      </c>
      <c r="BS597" s="87">
        <f>SUMIFS($AU$3:AU598,$AB$3:AB598,"*")</f>
        <v>10383.860000000041</v>
      </c>
      <c r="BT597" s="87">
        <f>SUMIFS($AU$3:AU598,$AC$3:AC598,"*")</f>
        <v>31682.093506493675</v>
      </c>
      <c r="BU597" s="87">
        <f>SUMIFS($AU$3:AU598,$AA$3:AA598,"*",$AB$3:AB598,"*")</f>
        <v>5423.9999999998217</v>
      </c>
      <c r="BV597" s="87">
        <f>SUMIFS($AU$3:AU598,$AA$3:AA598,"*",$AC$3:AC598,"*")</f>
        <v>19728.036363636533</v>
      </c>
      <c r="BW597" s="87">
        <f>SUMIFS($AU$3:AU598,$AB$3:AB598,"*",$AC$3:AC598,"*")</f>
        <v>7119.9999999999982</v>
      </c>
      <c r="BX597" s="87">
        <f>SUMIFS($AV$3:AV598,$Q$3:Q598,"F")</f>
        <v>418.22475235412151</v>
      </c>
      <c r="BY597" s="87">
        <f>SUMIFS($AV$3:AV598,$Q$3:Q598,"S")</f>
        <v>738.03991333429894</v>
      </c>
      <c r="BZ597" s="87">
        <f>SUMIFS($AV$3:AV598,$Q$3:Q598,"O")</f>
        <v>612.95929999974919</v>
      </c>
    </row>
    <row r="598" spans="1:78" ht="15.75" customHeight="1">
      <c r="A598" s="45" t="s">
        <v>1819</v>
      </c>
      <c r="B598" s="59">
        <v>45426</v>
      </c>
      <c r="C598" s="46" t="s">
        <v>147</v>
      </c>
      <c r="D598" s="46" t="s">
        <v>98</v>
      </c>
      <c r="E598" s="66"/>
      <c r="F598" s="47"/>
      <c r="G598" s="104" t="s">
        <v>1501</v>
      </c>
      <c r="H598" s="49"/>
      <c r="I598" s="49"/>
      <c r="J598" s="49"/>
      <c r="K598" s="50"/>
      <c r="L598" s="49">
        <v>1</v>
      </c>
      <c r="M598" s="49">
        <v>1</v>
      </c>
      <c r="N598" s="49"/>
      <c r="O598" s="50" t="s">
        <v>100</v>
      </c>
      <c r="P598" s="50" t="s">
        <v>101</v>
      </c>
      <c r="Q598" s="50" t="s">
        <v>102</v>
      </c>
      <c r="R598" s="50">
        <v>50</v>
      </c>
      <c r="S598" s="50">
        <v>0</v>
      </c>
      <c r="T598" s="50">
        <v>50</v>
      </c>
      <c r="U598" s="50" t="s">
        <v>102</v>
      </c>
      <c r="V598" s="50"/>
      <c r="W598" s="50"/>
      <c r="X598" s="50"/>
      <c r="Y598" s="51">
        <f>IF(ISBLANK(O598),"",(IF(O598=UPPER("IB"),0.005,0.01)))</f>
        <v>0.01</v>
      </c>
      <c r="Z598" s="52">
        <f>IF(ISBLANK(O598),"",IF(O598="IB",8.63*200,IF(O598="IR",16*100,IF(O598="YT",20*100,IF(O598="YT-XT",24*200,IF(O598="TED",80*100,IF(O598="XT",29*200)))))))</f>
        <v>1600</v>
      </c>
      <c r="AA598" s="52" t="s">
        <v>1957</v>
      </c>
      <c r="AB598" s="52"/>
      <c r="AC598" s="52"/>
      <c r="AD598" s="231">
        <v>-0.19</v>
      </c>
      <c r="AE598" s="49"/>
      <c r="AF598" s="84"/>
      <c r="AG598" s="49"/>
      <c r="AH598" s="49"/>
      <c r="AI598" s="49"/>
      <c r="AJ598" s="226"/>
      <c r="AK598" s="49"/>
      <c r="AL598" s="113">
        <f t="shared" si="270"/>
        <v>-32</v>
      </c>
      <c r="AM598" s="113">
        <f t="shared" si="255"/>
        <v>-1600</v>
      </c>
      <c r="AN598" s="218"/>
      <c r="AO598" s="49"/>
      <c r="AP598" s="49" t="s">
        <v>1959</v>
      </c>
      <c r="AQ598" s="84" t="s">
        <v>350</v>
      </c>
      <c r="AR598" s="49" t="s">
        <v>1960</v>
      </c>
      <c r="AS598" s="55">
        <v>-0.2</v>
      </c>
      <c r="AT598" s="55">
        <f>IF(ISBLANK(AS598),,IF(U598="S",AD598-AS598,AS598-AD598))</f>
        <v>1.0000000000000009E-2</v>
      </c>
      <c r="AU598" s="54">
        <f>AV598*R598</f>
        <v>800.00000000000068</v>
      </c>
      <c r="AV598" s="56">
        <f t="shared" si="271"/>
        <v>16.000000000000014</v>
      </c>
      <c r="AW598" s="57" t="s">
        <v>101</v>
      </c>
      <c r="AX598" s="153"/>
      <c r="AY598" s="153"/>
      <c r="AZ598" s="153"/>
      <c r="BA598" s="153"/>
      <c r="BB598" s="153"/>
      <c r="BC598" s="153"/>
      <c r="BD598" s="151"/>
      <c r="BE598" s="152"/>
      <c r="BF598" s="151"/>
      <c r="BG598" s="94">
        <f>SUM($AV$4:AV598)</f>
        <v>3717.2239656881752</v>
      </c>
      <c r="BH598" s="95">
        <f>SUM($AU$4:AU598)</f>
        <v>55467.353506493397</v>
      </c>
      <c r="BI598" s="80">
        <f>SUMIFS($AU$3:AU599,$Q$3:Q599,"F")</f>
        <v>28242.093506493511</v>
      </c>
      <c r="BJ598" s="80">
        <f>SUMIFS($AU$3:AU599,$Q$3:Q599,"S")</f>
        <v>24384</v>
      </c>
      <c r="BK598" s="87">
        <f>SUMIFS($AU$3:AU599,$P$3:P599,"W")</f>
        <v>36827.273506493846</v>
      </c>
      <c r="BL598" s="87">
        <f>SUMIFS($AU$3:AU599,$P$3:P599,"R")</f>
        <v>17886.00000000012</v>
      </c>
      <c r="BM598" s="87">
        <f>SUMIFS($AU$3:AU599,$AQ$3:AQ599,"M")</f>
        <v>9793.3799999992334</v>
      </c>
      <c r="BN598" s="87">
        <f>SUMIFS($AU$3:AU599,$AQ$3:AQ599,"H")</f>
        <v>17687.200000000543</v>
      </c>
      <c r="BO598" s="87">
        <f>SUMIFS($AU$3:AU599,$AQ$3:AQ599,"D")</f>
        <v>13641.507142857021</v>
      </c>
      <c r="BP598" s="87">
        <f>SUMIFS($AS$3:AS1307,$AO$3:AO1307,"W")</f>
        <v>0</v>
      </c>
      <c r="BQ598" s="87">
        <f>SUMIFS($AU$3:AU599,$Q$3:Q599,"O")</f>
        <v>1417.2599999999034</v>
      </c>
      <c r="BR598" s="87">
        <f>SUMIFS($AU$3:AU599,$AA$3:AA599,"*")</f>
        <v>42393.436363636036</v>
      </c>
      <c r="BS598" s="87">
        <f>SUMIFS($AU$3:AU599,$AB$3:AB599,"*")</f>
        <v>10383.860000000041</v>
      </c>
      <c r="BT598" s="87">
        <f>SUMIFS($AU$3:AU599,$AC$3:AC599,"*")</f>
        <v>31682.093506493675</v>
      </c>
      <c r="BU598" s="87">
        <f>SUMIFS($AU$3:AU599,$AA$3:AA599,"*",$AB$3:AB599,"*")</f>
        <v>5423.9999999998217</v>
      </c>
      <c r="BV598" s="87">
        <f>SUMIFS($AU$3:AU599,$AA$3:AA599,"*",$AC$3:AC599,"*")</f>
        <v>19728.036363636533</v>
      </c>
      <c r="BW598" s="87">
        <f>SUMIFS($AU$3:AU599,$AB$3:AB599,"*",$AC$3:AC599,"*")</f>
        <v>7119.9999999999982</v>
      </c>
      <c r="BX598" s="87">
        <f>SUMIFS($AV$3:AV599,$Q$3:Q599,"F")</f>
        <v>418.22475235412151</v>
      </c>
      <c r="BY598" s="87">
        <f>SUMIFS($AV$3:AV599,$Q$3:Q599,"S")</f>
        <v>738.03991333429894</v>
      </c>
      <c r="BZ598" s="87">
        <f>SUMIFS($AV$3:AV599,$Q$3:Q599,"O")</f>
        <v>612.95929999974919</v>
      </c>
    </row>
    <row r="599" spans="1:78" ht="15.75" customHeight="1">
      <c r="A599" s="45" t="s">
        <v>1819</v>
      </c>
      <c r="B599" s="59">
        <v>45426</v>
      </c>
      <c r="C599" s="46" t="s">
        <v>147</v>
      </c>
      <c r="D599" s="46" t="s">
        <v>98</v>
      </c>
      <c r="E599" s="66"/>
      <c r="F599" s="47"/>
      <c r="G599" s="48" t="s">
        <v>181</v>
      </c>
      <c r="H599" s="49"/>
      <c r="I599" s="49"/>
      <c r="J599" s="49"/>
      <c r="K599" s="50"/>
      <c r="L599" s="49"/>
      <c r="M599" s="49"/>
      <c r="N599" s="49"/>
      <c r="O599" s="50"/>
      <c r="P599" s="50"/>
      <c r="Q599" s="50"/>
      <c r="R599" s="50"/>
      <c r="S599" s="50"/>
      <c r="T599" s="50"/>
      <c r="U599" s="50"/>
      <c r="V599" s="50"/>
      <c r="W599" s="50"/>
      <c r="X599" s="50"/>
      <c r="Y599" s="51"/>
      <c r="Z599" s="52"/>
      <c r="AA599" s="52"/>
      <c r="AB599" s="52"/>
      <c r="AC599" s="52"/>
      <c r="AD599" s="231"/>
      <c r="AE599" s="49"/>
      <c r="AF599" s="84"/>
      <c r="AG599" s="49"/>
      <c r="AH599" s="49"/>
      <c r="AI599" s="49"/>
      <c r="AJ599" s="226"/>
      <c r="AK599" s="49"/>
      <c r="AL599" s="113">
        <f t="shared" ref="AL599" si="272">-0.02*Z599</f>
        <v>0</v>
      </c>
      <c r="AM599" s="113">
        <f t="shared" si="255"/>
        <v>0</v>
      </c>
      <c r="AN599" s="218"/>
      <c r="AO599" s="49"/>
      <c r="AP599" s="49"/>
      <c r="AQ599" s="84"/>
      <c r="AR599" s="49"/>
      <c r="AS599" s="55"/>
      <c r="AT599" s="55"/>
      <c r="AU599" s="54"/>
      <c r="AV599" s="56"/>
      <c r="AW599" s="57"/>
      <c r="AX599" s="153"/>
      <c r="AY599" s="153"/>
      <c r="AZ599" s="153"/>
      <c r="BA599" s="153"/>
      <c r="BB599" s="153"/>
      <c r="BC599" s="153"/>
      <c r="BD599" s="151"/>
      <c r="BE599" s="152"/>
      <c r="BF599" s="151"/>
      <c r="BG599" s="94">
        <f>SUM($AV$4:AV599)</f>
        <v>3717.2239656881752</v>
      </c>
      <c r="BH599" s="95">
        <f>SUM($AU$4:AU599)</f>
        <v>55467.353506493397</v>
      </c>
      <c r="BI599" s="80">
        <f>SUMIFS($AU$3:AU600,$Q$3:Q600,"F")</f>
        <v>28242.093506493511</v>
      </c>
      <c r="BJ599" s="80">
        <f>SUMIFS($AU$3:AU600,$Q$3:Q600,"S")</f>
        <v>25184</v>
      </c>
      <c r="BK599" s="87">
        <f>SUMIFS($AU$3:AU600,$P$3:P600,"W")</f>
        <v>37627.273506493846</v>
      </c>
      <c r="BL599" s="87">
        <f>SUMIFS($AU$3:AU600,$P$3:P600,"R")</f>
        <v>17886.00000000012</v>
      </c>
      <c r="BM599" s="87">
        <f>SUMIFS($AU$3:AU600,$AQ$3:AQ600,"M")</f>
        <v>9793.3799999992334</v>
      </c>
      <c r="BN599" s="87">
        <f>SUMIFS($AU$3:AU600,$AQ$3:AQ600,"H")</f>
        <v>18487.200000000543</v>
      </c>
      <c r="BO599" s="87">
        <f>SUMIFS($AU$3:AU600,$AQ$3:AQ600,"D")</f>
        <v>13641.507142857021</v>
      </c>
      <c r="BP599" s="87">
        <f>SUMIFS($AS$3:AS1308,$AO$3:AO1308,"W")</f>
        <v>0</v>
      </c>
      <c r="BQ599" s="87">
        <f>SUMIFS($AU$3:AU600,$Q$3:Q600,"O")</f>
        <v>1417.2599999999034</v>
      </c>
      <c r="BR599" s="87">
        <f>SUMIFS($AU$3:AU600,$AA$3:AA600,"*")</f>
        <v>43193.436363636036</v>
      </c>
      <c r="BS599" s="87">
        <f>SUMIFS($AU$3:AU600,$AB$3:AB600,"*")</f>
        <v>10383.860000000041</v>
      </c>
      <c r="BT599" s="87">
        <f>SUMIFS($AU$3:AU600,$AC$3:AC600,"*")</f>
        <v>31682.093506493675</v>
      </c>
      <c r="BU599" s="87">
        <f>SUMIFS($AU$3:AU600,$AA$3:AA600,"*",$AB$3:AB600,"*")</f>
        <v>5423.9999999998217</v>
      </c>
      <c r="BV599" s="87">
        <f>SUMIFS($AU$3:AU600,$AA$3:AA600,"*",$AC$3:AC600,"*")</f>
        <v>19728.036363636533</v>
      </c>
      <c r="BW599" s="87">
        <f>SUMIFS($AU$3:AU600,$AB$3:AB600,"*",$AC$3:AC600,"*")</f>
        <v>7119.9999999999982</v>
      </c>
      <c r="BX599" s="87">
        <f>SUMIFS($AV$3:AV600,$Q$3:Q600,"F")</f>
        <v>418.22475235412151</v>
      </c>
      <c r="BY599" s="87">
        <f>SUMIFS($AV$3:AV600,$Q$3:Q600,"S")</f>
        <v>754.03991333429894</v>
      </c>
      <c r="BZ599" s="87">
        <f>SUMIFS($AV$3:AV600,$Q$3:Q600,"O")</f>
        <v>612.95929999974919</v>
      </c>
    </row>
    <row r="600" spans="1:78" ht="15.75" customHeight="1">
      <c r="A600" s="45" t="s">
        <v>1819</v>
      </c>
      <c r="B600" s="59">
        <v>45426</v>
      </c>
      <c r="C600" s="46" t="s">
        <v>112</v>
      </c>
      <c r="D600" s="46" t="s">
        <v>98</v>
      </c>
      <c r="E600" s="66"/>
      <c r="F600" s="47"/>
      <c r="G600" s="104" t="s">
        <v>688</v>
      </c>
      <c r="H600" s="49"/>
      <c r="I600" s="49"/>
      <c r="J600" s="49"/>
      <c r="K600" s="50"/>
      <c r="L600" s="49">
        <v>1</v>
      </c>
      <c r="M600" s="49"/>
      <c r="N600" s="49"/>
      <c r="O600" s="50" t="s">
        <v>100</v>
      </c>
      <c r="P600" s="50" t="s">
        <v>101</v>
      </c>
      <c r="Q600" s="50" t="s">
        <v>102</v>
      </c>
      <c r="R600" s="50">
        <v>50</v>
      </c>
      <c r="S600" s="50">
        <v>0</v>
      </c>
      <c r="T600" s="50">
        <v>35</v>
      </c>
      <c r="U600" s="50" t="s">
        <v>102</v>
      </c>
      <c r="V600" s="50"/>
      <c r="W600" s="50"/>
      <c r="X600" s="50"/>
      <c r="Y600" s="51">
        <f>IF(ISBLANK(O600),"",(IF(O600=UPPER("IB"),0.005,0.01)))</f>
        <v>0.01</v>
      </c>
      <c r="Z600" s="52">
        <f>IF(ISBLANK(O600),"",IF(O600="IB",8.63*200,IF(O600="IR",16*100,IF(O600="YT",20*100,IF(O600="YT-XT",24*200,IF(O600="TED",80*100,IF(O600="XT",29*200)))))))</f>
        <v>1600</v>
      </c>
      <c r="AA600" s="52" t="s">
        <v>1957</v>
      </c>
      <c r="AB600" s="52"/>
      <c r="AC600" s="52"/>
      <c r="AD600" s="231">
        <v>-0.19</v>
      </c>
      <c r="AE600" s="49"/>
      <c r="AF600" s="84"/>
      <c r="AG600" s="49"/>
      <c r="AH600" s="49"/>
      <c r="AI600" s="49"/>
      <c r="AJ600" s="226"/>
      <c r="AK600" s="49"/>
      <c r="AL600" s="113">
        <f t="shared" si="270"/>
        <v>-32</v>
      </c>
      <c r="AM600" s="113">
        <f t="shared" ref="AM600:AM631" si="273">AL600*(R600-S600)</f>
        <v>-1600</v>
      </c>
      <c r="AN600" s="218"/>
      <c r="AO600" s="49"/>
      <c r="AP600" s="49" t="s">
        <v>1087</v>
      </c>
      <c r="AQ600" s="84" t="s">
        <v>142</v>
      </c>
      <c r="AR600" s="49" t="s">
        <v>1961</v>
      </c>
      <c r="AS600" s="55">
        <v>-0.2</v>
      </c>
      <c r="AT600" s="55">
        <f>IF(ISBLANK(AS600),,IF(U600="S",AD600-AS600,AS600-AD600))</f>
        <v>1.0000000000000009E-2</v>
      </c>
      <c r="AU600" s="54">
        <f>AV600*R600</f>
        <v>800.00000000000068</v>
      </c>
      <c r="AV600" s="56">
        <f t="shared" ref="AV600:AV606" si="274">IF(ISBLANK(AS600),,(AT600*Z600))</f>
        <v>16.000000000000014</v>
      </c>
      <c r="AW600" s="57" t="s">
        <v>101</v>
      </c>
      <c r="AX600" s="153"/>
      <c r="AY600" s="153"/>
      <c r="AZ600" s="153"/>
      <c r="BA600" s="153"/>
      <c r="BB600" s="153"/>
      <c r="BC600" s="153"/>
      <c r="BD600" s="151"/>
      <c r="BE600" s="152"/>
      <c r="BF600" s="151"/>
      <c r="BG600" s="94">
        <f>SUM($AV$4:AV600)</f>
        <v>3733.2239656881752</v>
      </c>
      <c r="BH600" s="95">
        <f>SUM($AU$4:AU600)</f>
        <v>56267.353506493397</v>
      </c>
      <c r="BI600" s="80">
        <f>SUMIFS($AU$3:AU601,$Q$3:Q601,"F")</f>
        <v>28242.093506493511</v>
      </c>
      <c r="BJ600" s="80">
        <f>SUMIFS($AU$3:AU601,$Q$3:Q601,"S")</f>
        <v>25824</v>
      </c>
      <c r="BK600" s="87">
        <f>SUMIFS($AU$3:AU601,$P$3:P601,"W")</f>
        <v>38267.273506493846</v>
      </c>
      <c r="BL600" s="87">
        <f>SUMIFS($AU$3:AU601,$P$3:P601,"R")</f>
        <v>17886.00000000012</v>
      </c>
      <c r="BM600" s="87">
        <f>SUMIFS($AU$3:AU601,$AQ$3:AQ601,"M")</f>
        <v>9793.3799999992334</v>
      </c>
      <c r="BN600" s="87">
        <f>SUMIFS($AU$3:AU601,$AQ$3:AQ601,"H")</f>
        <v>19127.200000000543</v>
      </c>
      <c r="BO600" s="87">
        <f>SUMIFS($AU$3:AU601,$AQ$3:AQ601,"D")</f>
        <v>13641.507142857021</v>
      </c>
      <c r="BP600" s="87">
        <f>SUMIFS($AS$3:AS1309,$AO$3:AO1309,"W")</f>
        <v>0</v>
      </c>
      <c r="BQ600" s="87">
        <f>SUMIFS($AU$3:AU601,$Q$3:Q601,"O")</f>
        <v>1417.2599999999034</v>
      </c>
      <c r="BR600" s="87">
        <f>SUMIFS($AU$3:AU601,$AA$3:AA601,"*")</f>
        <v>43833.436363636036</v>
      </c>
      <c r="BS600" s="87">
        <f>SUMIFS($AU$3:AU601,$AB$3:AB601,"*")</f>
        <v>10383.860000000041</v>
      </c>
      <c r="BT600" s="87">
        <f>SUMIFS($AU$3:AU601,$AC$3:AC601,"*")</f>
        <v>31682.093506493675</v>
      </c>
      <c r="BU600" s="87">
        <f>SUMIFS($AU$3:AU601,$AA$3:AA601,"*",$AB$3:AB601,"*")</f>
        <v>5423.9999999998217</v>
      </c>
      <c r="BV600" s="87">
        <f>SUMIFS($AU$3:AU601,$AA$3:AA601,"*",$AC$3:AC601,"*")</f>
        <v>19728.036363636533</v>
      </c>
      <c r="BW600" s="87">
        <f>SUMIFS($AU$3:AU601,$AB$3:AB601,"*",$AC$3:AC601,"*")</f>
        <v>7119.9999999999982</v>
      </c>
      <c r="BX600" s="87">
        <f>SUMIFS($AV$3:AV601,$Q$3:Q601,"F")</f>
        <v>418.22475235412151</v>
      </c>
      <c r="BY600" s="87">
        <f>SUMIFS($AV$3:AV601,$Q$3:Q601,"S")</f>
        <v>770.03991333429894</v>
      </c>
      <c r="BZ600" s="87">
        <f>SUMIFS($AV$3:AV601,$Q$3:Q601,"O")</f>
        <v>612.95929999974919</v>
      </c>
    </row>
    <row r="601" spans="1:78" ht="15.75" customHeight="1">
      <c r="A601" s="45" t="s">
        <v>1819</v>
      </c>
      <c r="B601" s="59">
        <v>45427</v>
      </c>
      <c r="C601" s="46" t="s">
        <v>179</v>
      </c>
      <c r="D601" s="46" t="s">
        <v>186</v>
      </c>
      <c r="E601" s="66"/>
      <c r="F601" s="47"/>
      <c r="G601" s="104" t="s">
        <v>459</v>
      </c>
      <c r="H601" s="49"/>
      <c r="I601" s="49"/>
      <c r="J601" s="49"/>
      <c r="K601" s="50"/>
      <c r="L601" s="49">
        <v>1</v>
      </c>
      <c r="M601" s="49">
        <v>1</v>
      </c>
      <c r="N601" s="49"/>
      <c r="O601" s="50" t="s">
        <v>100</v>
      </c>
      <c r="P601" s="50" t="s">
        <v>101</v>
      </c>
      <c r="Q601" s="50" t="s">
        <v>102</v>
      </c>
      <c r="R601" s="50">
        <v>40</v>
      </c>
      <c r="S601" s="50">
        <v>0</v>
      </c>
      <c r="T601" s="50">
        <v>40</v>
      </c>
      <c r="U601" s="50" t="s">
        <v>22</v>
      </c>
      <c r="V601" s="50"/>
      <c r="W601" s="50"/>
      <c r="X601" s="50"/>
      <c r="Y601" s="51">
        <f>IF(ISBLANK(O601),"",(IF(O601=UPPER("IB"),0.005,0.01)))</f>
        <v>0.01</v>
      </c>
      <c r="Z601" s="52">
        <f>IF(ISBLANK(O601),"",IF(O601="IB",8.63*200,IF(O601="IR",16*100,IF(O601="YT",20*100,IF(O601="YT-XT",24*200,IF(O601="TED",80*100,IF(O601="XT",29*200)))))))</f>
        <v>1600</v>
      </c>
      <c r="AA601" s="52" t="s">
        <v>1962</v>
      </c>
      <c r="AB601" s="52"/>
      <c r="AC601" s="52"/>
      <c r="AD601" s="231">
        <v>0</v>
      </c>
      <c r="AE601" s="49"/>
      <c r="AF601" s="84"/>
      <c r="AG601" s="49"/>
      <c r="AH601" s="49"/>
      <c r="AI601" s="49"/>
      <c r="AJ601" s="226"/>
      <c r="AK601" s="49"/>
      <c r="AL601" s="113">
        <f t="shared" si="270"/>
        <v>-32</v>
      </c>
      <c r="AM601" s="113">
        <f t="shared" si="273"/>
        <v>-1280</v>
      </c>
      <c r="AN601" s="218"/>
      <c r="AO601" s="49"/>
      <c r="AP601" s="49" t="s">
        <v>1963</v>
      </c>
      <c r="AQ601" s="84" t="s">
        <v>142</v>
      </c>
      <c r="AR601" s="49"/>
      <c r="AS601" s="55">
        <v>0.01</v>
      </c>
      <c r="AT601" s="55">
        <f>IF(ISBLANK(AS601),,IF(U601="S",AD601-AS601,AS601-AD601))</f>
        <v>0.01</v>
      </c>
      <c r="AU601" s="54">
        <f>AV601*R601</f>
        <v>640</v>
      </c>
      <c r="AV601" s="56">
        <f t="shared" si="274"/>
        <v>16</v>
      </c>
      <c r="AW601" s="57" t="s">
        <v>101</v>
      </c>
      <c r="AX601" s="153"/>
      <c r="AY601" s="153"/>
      <c r="AZ601" s="153"/>
      <c r="BA601" s="153"/>
      <c r="BB601" s="153"/>
      <c r="BC601" s="153"/>
      <c r="BD601" s="151"/>
      <c r="BE601" s="152"/>
      <c r="BF601" s="151"/>
      <c r="BG601" s="94">
        <f>SUM($AV$4:AV601)</f>
        <v>3749.2239656881752</v>
      </c>
      <c r="BH601" s="95">
        <f>SUM($AU$4:AU601)</f>
        <v>56907.353506493397</v>
      </c>
      <c r="BI601" s="80">
        <f>SUMIFS($AU$3:AU602,$Q$3:Q602,"F")</f>
        <v>28242.093506493511</v>
      </c>
      <c r="BJ601" s="80">
        <f>SUMIFS($AU$3:AU602,$Q$3:Q602,"S")</f>
        <v>26080</v>
      </c>
      <c r="BK601" s="87">
        <f>SUMIFS($AU$3:AU602,$P$3:P602,"W")</f>
        <v>38523.273506493846</v>
      </c>
      <c r="BL601" s="87">
        <f>SUMIFS($AU$3:AU602,$P$3:P602,"R")</f>
        <v>17886.00000000012</v>
      </c>
      <c r="BM601" s="87">
        <f>SUMIFS($AU$3:AU602,$AQ$3:AQ602,"M")</f>
        <v>9793.3799999992334</v>
      </c>
      <c r="BN601" s="87">
        <f>SUMIFS($AU$3:AU602,$AQ$3:AQ602,"H")</f>
        <v>19383.200000000543</v>
      </c>
      <c r="BO601" s="87">
        <f>SUMIFS($AU$3:AU602,$AQ$3:AQ602,"D")</f>
        <v>13641.507142857021</v>
      </c>
      <c r="BP601" s="87">
        <f>SUMIFS($AS$3:AS1310,$AO$3:AO1310,"W")</f>
        <v>0</v>
      </c>
      <c r="BQ601" s="87">
        <f>SUMIFS($AU$3:AU602,$Q$3:Q602,"O")</f>
        <v>1417.2599999999034</v>
      </c>
      <c r="BR601" s="87">
        <f>SUMIFS($AU$3:AU602,$AA$3:AA602,"*")</f>
        <v>44089.436363636036</v>
      </c>
      <c r="BS601" s="87">
        <f>SUMIFS($AU$3:AU602,$AB$3:AB602,"*")</f>
        <v>10383.860000000041</v>
      </c>
      <c r="BT601" s="87">
        <f>SUMIFS($AU$3:AU602,$AC$3:AC602,"*")</f>
        <v>31682.093506493675</v>
      </c>
      <c r="BU601" s="87">
        <f>SUMIFS($AU$3:AU602,$AA$3:AA602,"*",$AB$3:AB602,"*")</f>
        <v>5423.9999999998217</v>
      </c>
      <c r="BV601" s="87">
        <f>SUMIFS($AU$3:AU602,$AA$3:AA602,"*",$AC$3:AC602,"*")</f>
        <v>19728.036363636533</v>
      </c>
      <c r="BW601" s="87">
        <f>SUMIFS($AU$3:AU602,$AB$3:AB602,"*",$AC$3:AC602,"*")</f>
        <v>7119.9999999999982</v>
      </c>
      <c r="BX601" s="87">
        <f>SUMIFS($AV$3:AV602,$Q$3:Q602,"F")</f>
        <v>418.22475235412151</v>
      </c>
      <c r="BY601" s="87">
        <f>SUMIFS($AV$3:AV602,$Q$3:Q602,"S")</f>
        <v>802.03991333429894</v>
      </c>
      <c r="BZ601" s="87">
        <f>SUMIFS($AV$3:AV602,$Q$3:Q602,"O")</f>
        <v>612.95929999974919</v>
      </c>
    </row>
    <row r="602" spans="1:78" ht="15.75" customHeight="1">
      <c r="A602" s="45" t="s">
        <v>1819</v>
      </c>
      <c r="B602" s="59">
        <v>45427</v>
      </c>
      <c r="C602" s="46" t="s">
        <v>147</v>
      </c>
      <c r="D602" s="46" t="s">
        <v>186</v>
      </c>
      <c r="E602" s="66"/>
      <c r="F602" s="47"/>
      <c r="G602" s="104" t="s">
        <v>459</v>
      </c>
      <c r="H602" s="49"/>
      <c r="I602" s="49"/>
      <c r="J602" s="49"/>
      <c r="K602" s="50"/>
      <c r="L602" s="49">
        <v>1</v>
      </c>
      <c r="M602" s="49">
        <v>1</v>
      </c>
      <c r="N602" s="49"/>
      <c r="O602" s="50" t="s">
        <v>100</v>
      </c>
      <c r="P602" s="50" t="s">
        <v>101</v>
      </c>
      <c r="Q602" s="50" t="s">
        <v>102</v>
      </c>
      <c r="R602" s="50">
        <v>8</v>
      </c>
      <c r="S602" s="50">
        <v>0</v>
      </c>
      <c r="T602" s="50">
        <v>8</v>
      </c>
      <c r="U602" s="50" t="s">
        <v>22</v>
      </c>
      <c r="V602" s="50"/>
      <c r="W602" s="50"/>
      <c r="X602" s="50"/>
      <c r="Y602" s="51">
        <f>IF(ISBLANK(O602),"",(IF(O602=UPPER("IB"),0.005,0.01)))</f>
        <v>0.01</v>
      </c>
      <c r="Z602" s="52">
        <f>IF(ISBLANK(O602),"",IF(O602="IB",8.63*200,IF(O602="IR",16*100,IF(O602="YT",20*100,IF(O602="YT-XT",24*200,IF(O602="TED",80*100,IF(O602="XT",29*200)))))))</f>
        <v>1600</v>
      </c>
      <c r="AA602" s="52" t="s">
        <v>1962</v>
      </c>
      <c r="AB602" s="52"/>
      <c r="AC602" s="52"/>
      <c r="AD602" s="231">
        <v>-0.02</v>
      </c>
      <c r="AE602" s="49"/>
      <c r="AF602" s="84"/>
      <c r="AG602" s="49"/>
      <c r="AH602" s="49"/>
      <c r="AI602" s="49"/>
      <c r="AJ602" s="226"/>
      <c r="AK602" s="49"/>
      <c r="AL602" s="113">
        <f t="shared" si="270"/>
        <v>-32</v>
      </c>
      <c r="AM602" s="113">
        <f t="shared" si="273"/>
        <v>-256</v>
      </c>
      <c r="AN602" s="218"/>
      <c r="AO602" s="49"/>
      <c r="AP602" s="49" t="s">
        <v>1964</v>
      </c>
      <c r="AQ602" s="84" t="s">
        <v>142</v>
      </c>
      <c r="AR602" s="49"/>
      <c r="AS602" s="55">
        <v>0</v>
      </c>
      <c r="AT602" s="55">
        <f>IF(ISBLANK(AS602),,IF(U602="S",AD602-AS602,AS602-AD602))</f>
        <v>0.02</v>
      </c>
      <c r="AU602" s="54">
        <f>AV602*R602</f>
        <v>256</v>
      </c>
      <c r="AV602" s="56">
        <f t="shared" si="274"/>
        <v>32</v>
      </c>
      <c r="AW602" s="57" t="s">
        <v>101</v>
      </c>
      <c r="AX602" s="153"/>
      <c r="AY602" s="153"/>
      <c r="AZ602" s="153"/>
      <c r="BA602" s="153"/>
      <c r="BB602" s="153"/>
      <c r="BC602" s="153"/>
      <c r="BD602" s="151"/>
      <c r="BE602" s="152"/>
      <c r="BF602" s="151"/>
      <c r="BG602" s="94">
        <f>SUM($AV$4:AV602)</f>
        <v>3781.2239656881752</v>
      </c>
      <c r="BH602" s="95">
        <f>SUM($AU$4:AU602)</f>
        <v>57163.353506493397</v>
      </c>
      <c r="BI602" s="80">
        <f>SUMIFS($AU$3:AU603,$Q$3:Q603,"F")</f>
        <v>28242.093506493511</v>
      </c>
      <c r="BJ602" s="80">
        <f>SUMIFS($AU$3:AU603,$Q$3:Q603,"S")</f>
        <v>26080</v>
      </c>
      <c r="BK602" s="87">
        <f>SUMIFS($AU$3:AU603,$P$3:P603,"W")</f>
        <v>38523.273506493846</v>
      </c>
      <c r="BL602" s="87">
        <f>SUMIFS($AU$3:AU603,$P$3:P603,"R")</f>
        <v>17886.00000000012</v>
      </c>
      <c r="BM602" s="87">
        <f>SUMIFS($AU$3:AU603,$AQ$3:AQ603,"M")</f>
        <v>9793.3799999992334</v>
      </c>
      <c r="BN602" s="87">
        <f>SUMIFS($AU$3:AU603,$AQ$3:AQ603,"H")</f>
        <v>19383.200000000543</v>
      </c>
      <c r="BO602" s="87">
        <f>SUMIFS($AU$3:AU603,$AQ$3:AQ603,"D")</f>
        <v>13641.507142857021</v>
      </c>
      <c r="BP602" s="87">
        <f>SUMIFS($AS$3:AS1311,$AO$3:AO1311,"W")</f>
        <v>0</v>
      </c>
      <c r="BQ602" s="87">
        <f>SUMIFS($AU$3:AU603,$Q$3:Q603,"O")</f>
        <v>1417.2599999999034</v>
      </c>
      <c r="BR602" s="87">
        <f>SUMIFS($AU$3:AU603,$AA$3:AA603,"*")</f>
        <v>44089.436363636036</v>
      </c>
      <c r="BS602" s="87">
        <f>SUMIFS($AU$3:AU603,$AB$3:AB603,"*")</f>
        <v>10383.860000000041</v>
      </c>
      <c r="BT602" s="87">
        <f>SUMIFS($AU$3:AU603,$AC$3:AC603,"*")</f>
        <v>31682.093506493675</v>
      </c>
      <c r="BU602" s="87">
        <f>SUMIFS($AU$3:AU603,$AA$3:AA603,"*",$AB$3:AB603,"*")</f>
        <v>5423.9999999998217</v>
      </c>
      <c r="BV602" s="87">
        <f>SUMIFS($AU$3:AU603,$AA$3:AA603,"*",$AC$3:AC603,"*")</f>
        <v>19728.036363636533</v>
      </c>
      <c r="BW602" s="87">
        <f>SUMIFS($AU$3:AU603,$AB$3:AB603,"*",$AC$3:AC603,"*")</f>
        <v>7119.9999999999982</v>
      </c>
      <c r="BX602" s="87">
        <f>SUMIFS($AV$3:AV603,$Q$3:Q603,"F")</f>
        <v>418.22475235412151</v>
      </c>
      <c r="BY602" s="87">
        <f>SUMIFS($AV$3:AV603,$Q$3:Q603,"S")</f>
        <v>802.03991333429894</v>
      </c>
      <c r="BZ602" s="87">
        <f>SUMIFS($AV$3:AV603,$Q$3:Q603,"O")</f>
        <v>612.95929999974919</v>
      </c>
    </row>
    <row r="603" spans="1:78" ht="15.75" customHeight="1">
      <c r="A603" s="45" t="s">
        <v>1819</v>
      </c>
      <c r="B603" s="59">
        <v>45427</v>
      </c>
      <c r="C603" s="46" t="s">
        <v>194</v>
      </c>
      <c r="D603" s="46" t="s">
        <v>186</v>
      </c>
      <c r="E603" s="66" t="s">
        <v>1965</v>
      </c>
      <c r="F603" s="47"/>
      <c r="G603" s="48"/>
      <c r="H603" s="49"/>
      <c r="I603" s="49"/>
      <c r="J603" s="49">
        <v>1</v>
      </c>
      <c r="K603" s="50" t="s">
        <v>155</v>
      </c>
      <c r="L603" s="49"/>
      <c r="M603" s="49"/>
      <c r="N603" s="49"/>
      <c r="O603" s="50"/>
      <c r="P603" s="50"/>
      <c r="Q603" s="50"/>
      <c r="R603" s="50"/>
      <c r="S603" s="50"/>
      <c r="T603" s="50"/>
      <c r="U603" s="50"/>
      <c r="V603" s="50"/>
      <c r="W603" s="50"/>
      <c r="X603" s="50"/>
      <c r="Y603" s="51"/>
      <c r="Z603" s="52"/>
      <c r="AA603" s="52"/>
      <c r="AB603" s="52"/>
      <c r="AC603" s="52"/>
      <c r="AD603" s="231"/>
      <c r="AE603" s="49"/>
      <c r="AF603" s="84"/>
      <c r="AG603" s="49"/>
      <c r="AH603" s="49"/>
      <c r="AI603" s="49"/>
      <c r="AJ603" s="226"/>
      <c r="AK603" s="49"/>
      <c r="AL603" s="113">
        <f t="shared" si="261"/>
        <v>0</v>
      </c>
      <c r="AM603" s="113">
        <f t="shared" si="273"/>
        <v>0</v>
      </c>
      <c r="AN603" s="218"/>
      <c r="AO603" s="49"/>
      <c r="AP603" s="49"/>
      <c r="AQ603" s="84" t="str">
        <f>UPPER(RIGHT(Journal_Live[[#This Row],[DURATION ]]))</f>
        <v/>
      </c>
      <c r="AR603" s="49"/>
      <c r="AS603" s="55"/>
      <c r="AT603" s="55"/>
      <c r="AU603" s="54"/>
      <c r="AV603" s="56"/>
      <c r="AW603" s="57"/>
      <c r="AX603" s="153"/>
      <c r="AY603" s="153"/>
      <c r="AZ603" s="153"/>
      <c r="BA603" s="153"/>
      <c r="BB603" s="153"/>
      <c r="BC603" s="153"/>
      <c r="BD603" s="151"/>
      <c r="BE603" s="152"/>
      <c r="BF603" s="151"/>
      <c r="BG603" s="94">
        <f>SUM($AV$4:AV603)</f>
        <v>3781.2239656881752</v>
      </c>
      <c r="BH603" s="95">
        <f>SUM($AU$4:AU603)</f>
        <v>57163.353506493397</v>
      </c>
      <c r="BI603" s="80">
        <f>SUMIFS($AU$3:AU604,$Q$3:Q604,"F")</f>
        <v>28242.093506493511</v>
      </c>
      <c r="BJ603" s="80">
        <f>SUMIFS($AU$3:AU604,$Q$3:Q604,"S")</f>
        <v>26080</v>
      </c>
      <c r="BK603" s="87">
        <f>SUMIFS($AU$3:AU604,$P$3:P604,"W")</f>
        <v>38523.273506493846</v>
      </c>
      <c r="BL603" s="87">
        <f>SUMIFS($AU$3:AU604,$P$3:P604,"R")</f>
        <v>17886.00000000012</v>
      </c>
      <c r="BM603" s="87">
        <f>SUMIFS($AU$3:AU604,$AQ$3:AQ604,"M")</f>
        <v>9793.3799999992334</v>
      </c>
      <c r="BN603" s="87">
        <f>SUMIFS($AU$3:AU604,$AQ$3:AQ604,"H")</f>
        <v>19383.200000000543</v>
      </c>
      <c r="BO603" s="87">
        <f>SUMIFS($AU$3:AU604,$AQ$3:AQ604,"D")</f>
        <v>13641.507142857021</v>
      </c>
      <c r="BP603" s="87">
        <f>SUMIFS($AS$3:AS1312,$AO$3:AO1312,"W")</f>
        <v>0</v>
      </c>
      <c r="BQ603" s="87">
        <f>SUMIFS($AU$3:AU604,$Q$3:Q604,"O")</f>
        <v>1417.2599999999034</v>
      </c>
      <c r="BR603" s="87">
        <f>SUMIFS($AU$3:AU604,$AA$3:AA604,"*")</f>
        <v>44089.436363636036</v>
      </c>
      <c r="BS603" s="87">
        <f>SUMIFS($AU$3:AU604,$AB$3:AB604,"*")</f>
        <v>10383.860000000041</v>
      </c>
      <c r="BT603" s="87">
        <f>SUMIFS($AU$3:AU604,$AC$3:AC604,"*")</f>
        <v>31682.093506493675</v>
      </c>
      <c r="BU603" s="87">
        <f>SUMIFS($AU$3:AU604,$AA$3:AA604,"*",$AB$3:AB604,"*")</f>
        <v>5423.9999999998217</v>
      </c>
      <c r="BV603" s="87">
        <f>SUMIFS($AU$3:AU604,$AA$3:AA604,"*",$AC$3:AC604,"*")</f>
        <v>19728.036363636533</v>
      </c>
      <c r="BW603" s="87">
        <f>SUMIFS($AU$3:AU604,$AB$3:AB604,"*",$AC$3:AC604,"*")</f>
        <v>7119.9999999999982</v>
      </c>
      <c r="BX603" s="87">
        <f>SUMIFS($AV$3:AV604,$Q$3:Q604,"F")</f>
        <v>418.22475235412151</v>
      </c>
      <c r="BY603" s="87">
        <f>SUMIFS($AV$3:AV604,$Q$3:Q604,"S")</f>
        <v>802.03991333429894</v>
      </c>
      <c r="BZ603" s="87">
        <f>SUMIFS($AV$3:AV604,$Q$3:Q604,"O")</f>
        <v>612.95929999974919</v>
      </c>
    </row>
    <row r="604" spans="1:78" ht="15.75" customHeight="1">
      <c r="A604" s="45" t="s">
        <v>1819</v>
      </c>
      <c r="B604" s="59"/>
      <c r="C604" s="46"/>
      <c r="D604" s="46"/>
      <c r="E604" s="66" t="s">
        <v>1966</v>
      </c>
      <c r="F604" s="47"/>
      <c r="G604" s="48"/>
      <c r="H604" s="49"/>
      <c r="I604" s="49"/>
      <c r="J604" s="49">
        <v>1</v>
      </c>
      <c r="K604" s="50" t="s">
        <v>155</v>
      </c>
      <c r="L604" s="49"/>
      <c r="M604" s="49"/>
      <c r="N604" s="49"/>
      <c r="O604" s="50"/>
      <c r="P604" s="50"/>
      <c r="Q604" s="50"/>
      <c r="R604" s="50"/>
      <c r="S604" s="50"/>
      <c r="T604" s="50"/>
      <c r="U604" s="50"/>
      <c r="V604" s="50"/>
      <c r="W604" s="50"/>
      <c r="X604" s="50"/>
      <c r="Y604" s="51"/>
      <c r="Z604" s="52"/>
      <c r="AA604" s="52"/>
      <c r="AB604" s="52"/>
      <c r="AC604" s="52"/>
      <c r="AD604" s="231"/>
      <c r="AE604" s="49"/>
      <c r="AF604" s="84"/>
      <c r="AG604" s="49"/>
      <c r="AH604" s="49"/>
      <c r="AI604" s="49"/>
      <c r="AJ604" s="226"/>
      <c r="AK604" s="49"/>
      <c r="AL604" s="113">
        <f t="shared" si="261"/>
        <v>0</v>
      </c>
      <c r="AM604" s="113">
        <f t="shared" si="273"/>
        <v>0</v>
      </c>
      <c r="AN604" s="218"/>
      <c r="AO604" s="49"/>
      <c r="AP604" s="49"/>
      <c r="AQ604" s="84" t="str">
        <f>UPPER(RIGHT(Journal_Live[[#This Row],[DURATION ]]))</f>
        <v/>
      </c>
      <c r="AR604" s="49"/>
      <c r="AS604" s="55"/>
      <c r="AT604" s="55"/>
      <c r="AU604" s="54"/>
      <c r="AV604" s="56"/>
      <c r="AW604" s="57"/>
      <c r="AX604" s="153"/>
      <c r="AY604" s="153"/>
      <c r="AZ604" s="153"/>
      <c r="BA604" s="153"/>
      <c r="BB604" s="153"/>
      <c r="BC604" s="153"/>
      <c r="BD604" s="151"/>
      <c r="BE604" s="152"/>
      <c r="BF604" s="151"/>
      <c r="BG604" s="94">
        <f>SUM($AV$4:AV604)</f>
        <v>3781.2239656881752</v>
      </c>
      <c r="BH604" s="95">
        <f>SUM($AU$4:AU604)</f>
        <v>57163.353506493397</v>
      </c>
      <c r="BI604" s="80">
        <f>SUMIFS($AU$3:AU605,$Q$3:Q605,"F")</f>
        <v>28242.093506493511</v>
      </c>
      <c r="BJ604" s="80">
        <f>SUMIFS($AU$3:AU605,$Q$3:Q605,"S")</f>
        <v>27040</v>
      </c>
      <c r="BK604" s="87">
        <f>SUMIFS($AU$3:AU605,$P$3:P605,"W")</f>
        <v>39483.273506493846</v>
      </c>
      <c r="BL604" s="87">
        <f>SUMIFS($AU$3:AU605,$P$3:P605,"R")</f>
        <v>17886.00000000012</v>
      </c>
      <c r="BM604" s="87">
        <f>SUMIFS($AU$3:AU605,$AQ$3:AQ605,"M")</f>
        <v>9793.3799999992334</v>
      </c>
      <c r="BN604" s="87">
        <f>SUMIFS($AU$3:AU605,$AQ$3:AQ605,"H")</f>
        <v>20343.200000000543</v>
      </c>
      <c r="BO604" s="87">
        <f>SUMIFS($AU$3:AU605,$AQ$3:AQ605,"D")</f>
        <v>13641.507142857021</v>
      </c>
      <c r="BP604" s="87">
        <f>SUMIFS($AS$3:AS1313,$AO$3:AO1313,"W")</f>
        <v>0</v>
      </c>
      <c r="BQ604" s="87">
        <f>SUMIFS($AU$3:AU605,$Q$3:Q605,"O")</f>
        <v>1417.2599999999034</v>
      </c>
      <c r="BR604" s="87">
        <f>SUMIFS($AU$3:AU605,$AA$3:AA605,"*")</f>
        <v>45049.436363636036</v>
      </c>
      <c r="BS604" s="87">
        <f>SUMIFS($AU$3:AU605,$AB$3:AB605,"*")</f>
        <v>10383.860000000041</v>
      </c>
      <c r="BT604" s="87">
        <f>SUMIFS($AU$3:AU605,$AC$3:AC605,"*")</f>
        <v>31682.093506493675</v>
      </c>
      <c r="BU604" s="87">
        <f>SUMIFS($AU$3:AU605,$AA$3:AA605,"*",$AB$3:AB605,"*")</f>
        <v>5423.9999999998217</v>
      </c>
      <c r="BV604" s="87">
        <f>SUMIFS($AU$3:AU605,$AA$3:AA605,"*",$AC$3:AC605,"*")</f>
        <v>19728.036363636533</v>
      </c>
      <c r="BW604" s="87">
        <f>SUMIFS($AU$3:AU605,$AB$3:AB605,"*",$AC$3:AC605,"*")</f>
        <v>7119.9999999999982</v>
      </c>
      <c r="BX604" s="87">
        <f>SUMIFS($AV$3:AV605,$Q$3:Q605,"F")</f>
        <v>418.22475235412151</v>
      </c>
      <c r="BY604" s="87">
        <f>SUMIFS($AV$3:AV605,$Q$3:Q605,"S")</f>
        <v>818.03991333429894</v>
      </c>
      <c r="BZ604" s="87">
        <f>SUMIFS($AV$3:AV605,$Q$3:Q605,"O")</f>
        <v>612.95929999974919</v>
      </c>
    </row>
    <row r="605" spans="1:78" ht="15.75" customHeight="1">
      <c r="A605" s="45" t="s">
        <v>1819</v>
      </c>
      <c r="B605" s="59">
        <v>45427</v>
      </c>
      <c r="C605" s="46" t="s">
        <v>147</v>
      </c>
      <c r="D605" s="46" t="s">
        <v>186</v>
      </c>
      <c r="E605" s="66"/>
      <c r="F605" s="47"/>
      <c r="G605" s="104" t="s">
        <v>227</v>
      </c>
      <c r="H605" s="49"/>
      <c r="I605" s="49"/>
      <c r="J605" s="49"/>
      <c r="K605" s="50"/>
      <c r="L605" s="49">
        <v>1</v>
      </c>
      <c r="M605" s="49">
        <v>2</v>
      </c>
      <c r="N605" s="49"/>
      <c r="O605" s="50" t="s">
        <v>100</v>
      </c>
      <c r="P605" s="50" t="s">
        <v>101</v>
      </c>
      <c r="Q605" s="50" t="s">
        <v>102</v>
      </c>
      <c r="R605" s="50">
        <v>60</v>
      </c>
      <c r="S605" s="50">
        <v>30</v>
      </c>
      <c r="T605" s="50">
        <v>60</v>
      </c>
      <c r="U605" s="50" t="s">
        <v>22</v>
      </c>
      <c r="V605" s="50"/>
      <c r="W605" s="50"/>
      <c r="X605" s="50"/>
      <c r="Y605" s="51">
        <f>IF(ISBLANK(O605),"",(IF(O605=UPPER("IB"),0.005,0.01)))</f>
        <v>0.01</v>
      </c>
      <c r="Z605" s="52">
        <f>IF(ISBLANK(O605),"",IF(O605="IB",8.63*200,IF(O605="IR",16*100,IF(O605="YT",20*100,IF(O605="YT-XT",24*200,IF(O605="TED",80*100,IF(O605="XT",29*200)))))))</f>
        <v>1600</v>
      </c>
      <c r="AA605" s="52" t="s">
        <v>1967</v>
      </c>
      <c r="AB605" s="52"/>
      <c r="AC605" s="52"/>
      <c r="AD605" s="231">
        <v>-0.04</v>
      </c>
      <c r="AE605" s="49"/>
      <c r="AF605" s="84"/>
      <c r="AG605" s="49"/>
      <c r="AH605" s="49"/>
      <c r="AI605" s="49"/>
      <c r="AJ605" s="226"/>
      <c r="AK605" s="49"/>
      <c r="AL605" s="113">
        <f t="shared" si="261"/>
        <v>-32</v>
      </c>
      <c r="AM605" s="113">
        <f t="shared" si="273"/>
        <v>-960</v>
      </c>
      <c r="AN605" s="218"/>
      <c r="AO605" s="49"/>
      <c r="AP605" s="49"/>
      <c r="AQ605" s="84" t="s">
        <v>142</v>
      </c>
      <c r="AR605" s="49" t="s">
        <v>1968</v>
      </c>
      <c r="AS605" s="55">
        <f>((-0.03*30)+(-0.03*30))/60</f>
        <v>-2.9999999999999995E-2</v>
      </c>
      <c r="AT605" s="55">
        <f>IF(ISBLANK(AS605),,IF(U605="S",AD605-AS605,AS605-AD605))</f>
        <v>1.0000000000000005E-2</v>
      </c>
      <c r="AU605" s="54">
        <f>AV605*R605</f>
        <v>960.00000000000045</v>
      </c>
      <c r="AV605" s="56">
        <f t="shared" si="274"/>
        <v>16.000000000000007</v>
      </c>
      <c r="AW605" s="57" t="s">
        <v>101</v>
      </c>
      <c r="AX605" s="153" t="s">
        <v>1969</v>
      </c>
      <c r="AY605" s="153"/>
      <c r="AZ605" s="153"/>
      <c r="BA605" s="153"/>
      <c r="BB605" s="153"/>
      <c r="BC605" s="153"/>
      <c r="BD605" s="151"/>
      <c r="BE605" s="152"/>
      <c r="BF605" s="151"/>
      <c r="BG605" s="94">
        <f>SUM($AV$4:AV605)</f>
        <v>3797.2239656881752</v>
      </c>
      <c r="BH605" s="95">
        <f>SUM($AU$4:AU605)</f>
        <v>58123.353506493397</v>
      </c>
      <c r="BI605" s="80">
        <f>SUMIFS($AU$3:AU606,$Q$3:Q606,"F")</f>
        <v>28242.093506493511</v>
      </c>
      <c r="BJ605" s="80">
        <f>SUMIFS($AU$3:AU606,$Q$3:Q606,"S")</f>
        <v>27040</v>
      </c>
      <c r="BK605" s="87">
        <f>SUMIFS($AU$3:AU606,$P$3:P606,"W")</f>
        <v>39483.273506493846</v>
      </c>
      <c r="BL605" s="87">
        <f>SUMIFS($AU$3:AU606,$P$3:P606,"R")</f>
        <v>17886.00000000012</v>
      </c>
      <c r="BM605" s="87">
        <f>SUMIFS($AU$3:AU606,$AQ$3:AQ606,"M")</f>
        <v>9793.3799999992334</v>
      </c>
      <c r="BN605" s="87">
        <f>SUMIFS($AU$3:AU606,$AQ$3:AQ606,"H")</f>
        <v>20343.200000000543</v>
      </c>
      <c r="BO605" s="87">
        <f>SUMIFS($AU$3:AU606,$AQ$3:AQ606,"D")</f>
        <v>13641.507142857021</v>
      </c>
      <c r="BP605" s="87">
        <f>SUMIFS($AS$3:AS1314,$AO$3:AO1314,"W")</f>
        <v>0</v>
      </c>
      <c r="BQ605" s="87">
        <f>SUMIFS($AU$3:AU606,$Q$3:Q606,"O")</f>
        <v>1417.2599999999034</v>
      </c>
      <c r="BR605" s="87">
        <f>SUMIFS($AU$3:AU606,$AA$3:AA606,"*")</f>
        <v>45049.436363636036</v>
      </c>
      <c r="BS605" s="87">
        <f>SUMIFS($AU$3:AU606,$AB$3:AB606,"*")</f>
        <v>10383.860000000041</v>
      </c>
      <c r="BT605" s="87">
        <f>SUMIFS($AU$3:AU606,$AC$3:AC606,"*")</f>
        <v>31682.093506493675</v>
      </c>
      <c r="BU605" s="87">
        <f>SUMIFS($AU$3:AU606,$AA$3:AA606,"*",$AB$3:AB606,"*")</f>
        <v>5423.9999999998217</v>
      </c>
      <c r="BV605" s="87">
        <f>SUMIFS($AU$3:AU606,$AA$3:AA606,"*",$AC$3:AC606,"*")</f>
        <v>19728.036363636533</v>
      </c>
      <c r="BW605" s="87">
        <f>SUMIFS($AU$3:AU606,$AB$3:AB606,"*",$AC$3:AC606,"*")</f>
        <v>7119.9999999999982</v>
      </c>
      <c r="BX605" s="87">
        <f>SUMIFS($AV$3:AV606,$Q$3:Q606,"F")</f>
        <v>418.22475235412151</v>
      </c>
      <c r="BY605" s="87">
        <f>SUMIFS($AV$3:AV606,$Q$3:Q606,"S")</f>
        <v>818.03991333429894</v>
      </c>
      <c r="BZ605" s="87">
        <f>SUMIFS($AV$3:AV606,$Q$3:Q606,"O")</f>
        <v>612.95929999974919</v>
      </c>
    </row>
    <row r="606" spans="1:78" ht="15.75" customHeight="1">
      <c r="A606" s="45" t="s">
        <v>1819</v>
      </c>
      <c r="B606" s="59">
        <v>45427</v>
      </c>
      <c r="C606" s="46" t="s">
        <v>147</v>
      </c>
      <c r="D606" s="46" t="s">
        <v>186</v>
      </c>
      <c r="E606" s="66"/>
      <c r="F606" s="47"/>
      <c r="G606" s="48" t="s">
        <v>348</v>
      </c>
      <c r="H606" s="49"/>
      <c r="I606" s="49"/>
      <c r="J606" s="49"/>
      <c r="K606" s="50"/>
      <c r="L606" s="49">
        <v>1</v>
      </c>
      <c r="M606" s="49"/>
      <c r="N606" s="49"/>
      <c r="O606" s="50" t="s">
        <v>100</v>
      </c>
      <c r="P606" s="50" t="s">
        <v>126</v>
      </c>
      <c r="Q606" s="50" t="s">
        <v>198</v>
      </c>
      <c r="R606" s="50">
        <v>10</v>
      </c>
      <c r="S606" s="50">
        <v>0</v>
      </c>
      <c r="T606" s="50">
        <v>10</v>
      </c>
      <c r="U606" s="50" t="s">
        <v>102</v>
      </c>
      <c r="V606" s="50"/>
      <c r="W606" s="50"/>
      <c r="X606" s="50"/>
      <c r="Y606" s="51">
        <f>IF(ISBLANK(O606),"",(IF(O606=UPPER("IB"),0.005,0.01)))</f>
        <v>0.01</v>
      </c>
      <c r="Z606" s="52">
        <f>IF(ISBLANK(O606),"",IF(O606="IB",8.63*200,IF(O606="IR",16*100,IF(O606="YT",20*100,IF(O606="YT-XT",24*200,IF(O606="TED",80*100,IF(O606="XT",29*200)))))))</f>
        <v>1600</v>
      </c>
      <c r="AA606" s="52" t="s">
        <v>1970</v>
      </c>
      <c r="AB606" s="52"/>
      <c r="AC606" s="52"/>
      <c r="AD606" s="231">
        <v>95.84</v>
      </c>
      <c r="AE606" s="49"/>
      <c r="AF606" s="84"/>
      <c r="AG606" s="49"/>
      <c r="AH606" s="49"/>
      <c r="AI606" s="49"/>
      <c r="AJ606" s="226"/>
      <c r="AK606" s="49"/>
      <c r="AL606" s="113">
        <f t="shared" ref="AL606:AL627" si="275">-0.02*Z606</f>
        <v>-32</v>
      </c>
      <c r="AM606" s="113">
        <f t="shared" si="273"/>
        <v>-320</v>
      </c>
      <c r="AN606" s="218"/>
      <c r="AO606" s="49"/>
      <c r="AP606" s="49"/>
      <c r="AQ606" s="84" t="s">
        <v>350</v>
      </c>
      <c r="AR606" s="49"/>
      <c r="AS606" s="55">
        <v>95.84</v>
      </c>
      <c r="AT606" s="55">
        <f>IF(ISBLANK(AS606),,IF(U606="S",AD606-AS606,AS606-AD606))</f>
        <v>0</v>
      </c>
      <c r="AU606" s="54">
        <f>AV606*R606</f>
        <v>0</v>
      </c>
      <c r="AV606" s="56">
        <f t="shared" si="274"/>
        <v>0</v>
      </c>
      <c r="AW606" s="57" t="s">
        <v>155</v>
      </c>
      <c r="AX606" s="153"/>
      <c r="AY606" s="153"/>
      <c r="AZ606" s="153"/>
      <c r="BA606" s="153"/>
      <c r="BB606" s="153"/>
      <c r="BC606" s="153"/>
      <c r="BD606" s="151"/>
      <c r="BE606" s="152"/>
      <c r="BF606" s="151"/>
      <c r="BG606" s="94">
        <f>SUM($AV$4:AV606)</f>
        <v>3797.2239656881752</v>
      </c>
      <c r="BH606" s="95">
        <f>SUM($AU$4:AU606)</f>
        <v>58123.353506493397</v>
      </c>
      <c r="BI606" s="80">
        <f>SUMIFS($AU$3:AU607,$Q$3:Q607,"F")</f>
        <v>28242.093506493511</v>
      </c>
      <c r="BJ606" s="80">
        <f>SUMIFS($AU$3:AU607,$Q$3:Q607,"S")</f>
        <v>27040</v>
      </c>
      <c r="BK606" s="87">
        <f>SUMIFS($AU$3:AU607,$P$3:P607,"W")</f>
        <v>39483.273506493846</v>
      </c>
      <c r="BL606" s="87">
        <f>SUMIFS($AU$3:AU607,$P$3:P607,"R")</f>
        <v>17886.00000000012</v>
      </c>
      <c r="BM606" s="87">
        <f>SUMIFS($AU$3:AU607,$AQ$3:AQ607,"M")</f>
        <v>9793.3799999992334</v>
      </c>
      <c r="BN606" s="87">
        <f>SUMIFS($AU$3:AU607,$AQ$3:AQ607,"H")</f>
        <v>20343.200000000543</v>
      </c>
      <c r="BO606" s="87">
        <f>SUMIFS($AU$3:AU607,$AQ$3:AQ607,"D")</f>
        <v>13641.507142857021</v>
      </c>
      <c r="BP606" s="87">
        <f>SUMIFS($AS$3:AS1315,$AO$3:AO1315,"W")</f>
        <v>0</v>
      </c>
      <c r="BQ606" s="87">
        <f>SUMIFS($AU$3:AU607,$Q$3:Q607,"O")</f>
        <v>1417.2599999999034</v>
      </c>
      <c r="BR606" s="87">
        <f>SUMIFS($AU$3:AU607,$AA$3:AA607,"*")</f>
        <v>45049.436363636036</v>
      </c>
      <c r="BS606" s="87">
        <f>SUMIFS($AU$3:AU607,$AB$3:AB607,"*")</f>
        <v>10383.860000000041</v>
      </c>
      <c r="BT606" s="87">
        <f>SUMIFS($AU$3:AU607,$AC$3:AC607,"*")</f>
        <v>31682.093506493675</v>
      </c>
      <c r="BU606" s="87">
        <f>SUMIFS($AU$3:AU607,$AA$3:AA607,"*",$AB$3:AB607,"*")</f>
        <v>5423.9999999998217</v>
      </c>
      <c r="BV606" s="87">
        <f>SUMIFS($AU$3:AU607,$AA$3:AA607,"*",$AC$3:AC607,"*")</f>
        <v>19728.036363636533</v>
      </c>
      <c r="BW606" s="87">
        <f>SUMIFS($AU$3:AU607,$AB$3:AB607,"*",$AC$3:AC607,"*")</f>
        <v>7119.9999999999982</v>
      </c>
      <c r="BX606" s="87">
        <f>SUMIFS($AV$3:AV607,$Q$3:Q607,"F")</f>
        <v>418.22475235412151</v>
      </c>
      <c r="BY606" s="87">
        <f>SUMIFS($AV$3:AV607,$Q$3:Q607,"S")</f>
        <v>818.03991333429894</v>
      </c>
      <c r="BZ606" s="87">
        <f>SUMIFS($AV$3:AV607,$Q$3:Q607,"O")</f>
        <v>612.95929999974919</v>
      </c>
    </row>
    <row r="607" spans="1:78" ht="15.75" customHeight="1">
      <c r="A607" s="45" t="s">
        <v>1819</v>
      </c>
      <c r="B607" s="59"/>
      <c r="C607" s="46"/>
      <c r="D607" s="46"/>
      <c r="E607" s="66"/>
      <c r="F607" s="47"/>
      <c r="G607" s="48"/>
      <c r="H607" s="49"/>
      <c r="I607" s="49"/>
      <c r="J607" s="49"/>
      <c r="K607" s="50"/>
      <c r="L607" s="49"/>
      <c r="M607" s="49"/>
      <c r="N607" s="49"/>
      <c r="O607" s="50"/>
      <c r="P607" s="50"/>
      <c r="Q607" s="50"/>
      <c r="R607" s="50"/>
      <c r="S607" s="50"/>
      <c r="T607" s="50"/>
      <c r="U607" s="50"/>
      <c r="V607" s="50"/>
      <c r="W607" s="50"/>
      <c r="X607" s="50"/>
      <c r="Y607" s="50"/>
      <c r="Z607" s="50"/>
      <c r="AA607" s="52"/>
      <c r="AB607" s="52"/>
      <c r="AC607" s="52"/>
      <c r="AD607" s="231"/>
      <c r="AE607" s="49"/>
      <c r="AF607" s="84"/>
      <c r="AG607" s="49"/>
      <c r="AH607" s="49"/>
      <c r="AI607" s="49"/>
      <c r="AJ607" s="226"/>
      <c r="AK607" s="49"/>
      <c r="AL607" s="113">
        <f t="shared" si="275"/>
        <v>0</v>
      </c>
      <c r="AM607" s="113">
        <f t="shared" si="273"/>
        <v>0</v>
      </c>
      <c r="AN607" s="218"/>
      <c r="AO607" s="49"/>
      <c r="AP607" s="49"/>
      <c r="AQ607" s="84" t="str">
        <f>UPPER(RIGHT(Journal_Live[[#This Row],[DURATION ]]))</f>
        <v/>
      </c>
      <c r="AR607" s="49"/>
      <c r="AS607" s="55"/>
      <c r="AT607" s="55"/>
      <c r="AU607" s="54"/>
      <c r="AV607" s="56"/>
      <c r="AW607" s="57"/>
      <c r="AX607" s="151" t="s">
        <v>1971</v>
      </c>
      <c r="AY607" s="153" t="s">
        <v>1972</v>
      </c>
      <c r="AZ607" s="151" t="s">
        <v>1973</v>
      </c>
      <c r="BA607" s="153"/>
      <c r="BB607" s="153"/>
      <c r="BC607" s="153"/>
      <c r="BD607" s="151"/>
      <c r="BE607" s="152"/>
      <c r="BF607" s="151"/>
      <c r="BG607" s="94">
        <f>SUM($AV$4:AV607)</f>
        <v>3797.2239656881752</v>
      </c>
      <c r="BH607" s="95">
        <f>SUM($AU$4:AU607)</f>
        <v>58123.353506493397</v>
      </c>
      <c r="BI607" s="80">
        <f>SUMIFS($AU$3:AU623,$Q$3:Q623,"F")</f>
        <v>28242.093506493511</v>
      </c>
      <c r="BJ607" s="80">
        <f>SUMIFS($AU$3:AU623,$Q$3:Q623,"S")</f>
        <v>24912</v>
      </c>
      <c r="BK607" s="87">
        <f>SUMIFS($AU$3:AU623,$P$3:P623,"W")</f>
        <v>37355.273506493846</v>
      </c>
      <c r="BL607" s="87">
        <f>SUMIFS($AU$3:AU623,$P$3:P623,"R")</f>
        <v>18186.00000000012</v>
      </c>
      <c r="BM607" s="87">
        <f>SUMIFS($AU$3:AU623,$AQ$3:AQ623,"M")</f>
        <v>9793.3799999992334</v>
      </c>
      <c r="BN607" s="87">
        <f>SUMIFS($AU$3:AU623,$AQ$3:AQ623,"H")</f>
        <v>18515.200000000543</v>
      </c>
      <c r="BO607" s="87">
        <f>SUMIFS($AU$3:AU623,$AQ$3:AQ623,"D")</f>
        <v>13641.507142857021</v>
      </c>
      <c r="BP607" s="87">
        <f>SUMIFS($AS$3:AS1316,$AO$3:AO1316,"W")</f>
        <v>0</v>
      </c>
      <c r="BQ607" s="87">
        <f>SUMIFS($AU$3:AU623,$Q$3:Q623,"O")</f>
        <v>1417.2599999999034</v>
      </c>
      <c r="BR607" s="87">
        <f>SUMIFS($AU$3:AU623,$AA$3:AA623,"*")</f>
        <v>43221.436363636036</v>
      </c>
      <c r="BS607" s="87">
        <f>SUMIFS($AU$3:AU623,$AB$3:AB623,"*")</f>
        <v>10383.860000000041</v>
      </c>
      <c r="BT607" s="87">
        <f>SUMIFS($AU$3:AU623,$AC$3:AC623,"*")</f>
        <v>31682.093506493675</v>
      </c>
      <c r="BU607" s="87">
        <f>SUMIFS($AU$3:AU623,$AA$3:AA623,"*",$AB$3:AB623,"*")</f>
        <v>5423.9999999998217</v>
      </c>
      <c r="BV607" s="87">
        <f>SUMIFS($AU$3:AU623,$AA$3:AA623,"*",$AC$3:AC623,"*")</f>
        <v>19728.036363636533</v>
      </c>
      <c r="BW607" s="87">
        <f>SUMIFS($AU$3:AU623,$AB$3:AB623,"*",$AC$3:AC623,"*")</f>
        <v>7119.9999999999982</v>
      </c>
      <c r="BX607" s="87">
        <f>SUMIFS($AV$3:AV623,$Q$3:Q623,"F")</f>
        <v>418.22475235412151</v>
      </c>
      <c r="BY607" s="87">
        <f>SUMIFS($AV$3:AV623,$Q$3:Q623,"S")</f>
        <v>784.03991333429894</v>
      </c>
      <c r="BZ607" s="87">
        <f>SUMIFS($AV$3:AV623,$Q$3:Q623,"O")</f>
        <v>612.95929999974919</v>
      </c>
    </row>
    <row r="608" spans="1:78" ht="15.75" customHeight="1">
      <c r="A608" s="45" t="s">
        <v>1819</v>
      </c>
      <c r="B608" s="59">
        <v>45427</v>
      </c>
      <c r="C608" s="46" t="s">
        <v>871</v>
      </c>
      <c r="D608" s="46" t="s">
        <v>186</v>
      </c>
      <c r="E608" s="66" t="s">
        <v>1974</v>
      </c>
      <c r="F608" s="47"/>
      <c r="G608" s="48"/>
      <c r="H608" s="49"/>
      <c r="I608" s="49">
        <v>1</v>
      </c>
      <c r="J608" s="49"/>
      <c r="K608" s="50"/>
      <c r="L608" s="49"/>
      <c r="M608" s="49"/>
      <c r="N608" s="49"/>
      <c r="O608" s="50"/>
      <c r="P608" s="50"/>
      <c r="Q608" s="50"/>
      <c r="R608" s="50"/>
      <c r="S608" s="50"/>
      <c r="T608" s="50"/>
      <c r="U608" s="50"/>
      <c r="V608" s="50"/>
      <c r="W608" s="50"/>
      <c r="X608" s="50"/>
      <c r="Y608" s="50"/>
      <c r="Z608" s="50"/>
      <c r="AA608" s="52"/>
      <c r="AB608" s="52"/>
      <c r="AC608" s="52"/>
      <c r="AD608" s="231"/>
      <c r="AE608" s="49"/>
      <c r="AF608" s="84"/>
      <c r="AG608" s="49"/>
      <c r="AH608" s="49"/>
      <c r="AI608" s="49"/>
      <c r="AJ608" s="226"/>
      <c r="AK608" s="49"/>
      <c r="AL608" s="113">
        <f t="shared" si="275"/>
        <v>0</v>
      </c>
      <c r="AM608" s="113">
        <f t="shared" si="273"/>
        <v>0</v>
      </c>
      <c r="AN608" s="218"/>
      <c r="AO608" s="49"/>
      <c r="AP608" s="49"/>
      <c r="AQ608" s="84" t="str">
        <f>UPPER(RIGHT(Journal_Live[[#This Row],[DURATION ]]))</f>
        <v/>
      </c>
      <c r="AR608" s="49"/>
      <c r="AS608" s="55"/>
      <c r="AT608" s="55"/>
      <c r="AU608" s="54"/>
      <c r="AV608" s="56"/>
      <c r="AW608" s="57"/>
      <c r="AX608" s="153"/>
      <c r="AY608" s="153"/>
      <c r="AZ608" s="153"/>
      <c r="BA608" s="153"/>
      <c r="BB608" s="153"/>
      <c r="BC608" s="153"/>
      <c r="BD608" s="151"/>
      <c r="BE608" s="152"/>
      <c r="BF608" s="151"/>
      <c r="BG608" s="94">
        <f>SUM($AV$4:AV608)</f>
        <v>3797.2239656881752</v>
      </c>
      <c r="BH608" s="95">
        <f>SUM($AU$4:AU608)</f>
        <v>58123.353506493397</v>
      </c>
      <c r="BI608" s="80">
        <f>SUMIFS($AU$3:AU609,$Q$3:Q609,"F")</f>
        <v>28242.093506493511</v>
      </c>
      <c r="BJ608" s="80">
        <f>SUMIFS($AU$3:AU609,$Q$3:Q609,"S")</f>
        <v>27040</v>
      </c>
      <c r="BK608" s="87">
        <f>SUMIFS($AU$3:AU609,$P$3:P609,"W")</f>
        <v>39483.273506493846</v>
      </c>
      <c r="BL608" s="87">
        <f>SUMIFS($AU$3:AU609,$P$3:P609,"R")</f>
        <v>17886.00000000012</v>
      </c>
      <c r="BM608" s="87">
        <f>SUMIFS($AU$3:AU609,$AQ$3:AQ609,"M")</f>
        <v>9793.3799999992334</v>
      </c>
      <c r="BN608" s="87">
        <f>SUMIFS($AU$3:AU609,$AQ$3:AQ609,"H")</f>
        <v>20343.200000000543</v>
      </c>
      <c r="BO608" s="87">
        <f>SUMIFS($AU$3:AU609,$AQ$3:AQ609,"D")</f>
        <v>13641.507142857021</v>
      </c>
      <c r="BP608" s="87">
        <f>SUMIFS($AS$3:AS1302,$AO$3:AO1302,"W")</f>
        <v>0</v>
      </c>
      <c r="BQ608" s="87">
        <f>SUMIFS($AU$3:AU609,$Q$3:Q609,"O")</f>
        <v>1417.2599999999034</v>
      </c>
      <c r="BR608" s="87">
        <f>SUMIFS($AU$3:AU609,$AA$3:AA609,"*")</f>
        <v>45049.436363636036</v>
      </c>
      <c r="BS608" s="87">
        <f>SUMIFS($AU$3:AU609,$AB$3:AB609,"*")</f>
        <v>10383.860000000041</v>
      </c>
      <c r="BT608" s="87">
        <f>SUMIFS($AU$3:AU609,$AC$3:AC609,"*")</f>
        <v>31682.093506493675</v>
      </c>
      <c r="BU608" s="87">
        <f>SUMIFS($AU$3:AU609,$AA$3:AA609,"*",$AB$3:AB609,"*")</f>
        <v>5423.9999999998217</v>
      </c>
      <c r="BV608" s="87">
        <f>SUMIFS($AU$3:AU609,$AA$3:AA609,"*",$AC$3:AC609,"*")</f>
        <v>19728.036363636533</v>
      </c>
      <c r="BW608" s="87">
        <f>SUMIFS($AU$3:AU609,$AB$3:AB609,"*",$AC$3:AC609,"*")</f>
        <v>7119.9999999999982</v>
      </c>
      <c r="BX608" s="87">
        <f>SUMIFS($AV$3:AV609,$Q$3:Q609,"F")</f>
        <v>418.22475235412151</v>
      </c>
      <c r="BY608" s="87">
        <f>SUMIFS($AV$3:AV609,$Q$3:Q609,"S")</f>
        <v>818.03991333429894</v>
      </c>
      <c r="BZ608" s="87">
        <f>SUMIFS($AV$3:AV609,$Q$3:Q609,"O")</f>
        <v>612.95929999974919</v>
      </c>
    </row>
    <row r="609" spans="1:78" ht="15.75" customHeight="1">
      <c r="A609" s="45" t="s">
        <v>1819</v>
      </c>
      <c r="B609" s="59"/>
      <c r="C609" s="46"/>
      <c r="D609" s="46"/>
      <c r="E609" s="66" t="s">
        <v>1975</v>
      </c>
      <c r="F609" s="47"/>
      <c r="G609" s="48"/>
      <c r="H609" s="49"/>
      <c r="I609" s="49">
        <v>1</v>
      </c>
      <c r="J609" s="49"/>
      <c r="K609" s="50"/>
      <c r="L609" s="49"/>
      <c r="M609" s="49"/>
      <c r="N609" s="49"/>
      <c r="O609" s="50"/>
      <c r="P609" s="50"/>
      <c r="Q609" s="50"/>
      <c r="R609" s="50"/>
      <c r="S609" s="50"/>
      <c r="T609" s="50"/>
      <c r="U609" s="50"/>
      <c r="V609" s="50"/>
      <c r="W609" s="50"/>
      <c r="X609" s="50"/>
      <c r="Y609" s="50"/>
      <c r="Z609" s="50"/>
      <c r="AA609" s="52"/>
      <c r="AB609" s="52"/>
      <c r="AC609" s="52"/>
      <c r="AD609" s="231"/>
      <c r="AE609" s="49"/>
      <c r="AF609" s="84"/>
      <c r="AG609" s="49"/>
      <c r="AH609" s="49"/>
      <c r="AI609" s="49"/>
      <c r="AJ609" s="226"/>
      <c r="AK609" s="49"/>
      <c r="AL609" s="113">
        <f t="shared" si="275"/>
        <v>0</v>
      </c>
      <c r="AM609" s="113">
        <f t="shared" si="273"/>
        <v>0</v>
      </c>
      <c r="AN609" s="218"/>
      <c r="AO609" s="49"/>
      <c r="AP609" s="49"/>
      <c r="AQ609" s="84" t="str">
        <f>UPPER(RIGHT(Journal_Live[[#This Row],[DURATION ]]))</f>
        <v/>
      </c>
      <c r="AR609" s="49"/>
      <c r="AS609" s="55"/>
      <c r="AT609" s="55"/>
      <c r="AU609" s="54"/>
      <c r="AV609" s="56"/>
      <c r="AW609" s="57"/>
      <c r="AX609" s="153"/>
      <c r="AY609" s="153"/>
      <c r="AZ609" s="153"/>
      <c r="BA609" s="153"/>
      <c r="BB609" s="153"/>
      <c r="BC609" s="153"/>
      <c r="BD609" s="151"/>
      <c r="BE609" s="152"/>
      <c r="BF609" s="151"/>
      <c r="BG609" s="94">
        <f>SUM($AV$4:AV609)</f>
        <v>3797.2239656881752</v>
      </c>
      <c r="BH609" s="95">
        <f>SUM($AU$4:AU609)</f>
        <v>58123.353506493397</v>
      </c>
      <c r="BI609" s="80">
        <f>SUMIFS($AU$3:AU610,$Q$3:Q610,"F")</f>
        <v>28242.093506493511</v>
      </c>
      <c r="BJ609" s="80">
        <f>SUMIFS($AU$3:AU610,$Q$3:Q610,"S")</f>
        <v>27040</v>
      </c>
      <c r="BK609" s="87">
        <f>SUMIFS($AU$3:AU610,$P$3:P610,"W")</f>
        <v>39483.273506493846</v>
      </c>
      <c r="BL609" s="87">
        <f>SUMIFS($AU$3:AU610,$P$3:P610,"R")</f>
        <v>17886.00000000012</v>
      </c>
      <c r="BM609" s="87">
        <f>SUMIFS($AU$3:AU610,$AQ$3:AQ610,"M")</f>
        <v>9793.3799999992334</v>
      </c>
      <c r="BN609" s="87">
        <f>SUMIFS($AU$3:AU610,$AQ$3:AQ610,"H")</f>
        <v>20343.200000000543</v>
      </c>
      <c r="BO609" s="87">
        <f>SUMIFS($AU$3:AU610,$AQ$3:AQ610,"D")</f>
        <v>13641.507142857021</v>
      </c>
      <c r="BP609" s="87">
        <f>SUMIFS($AS$3:AS1303,$AO$3:AO1303,"W")</f>
        <v>0</v>
      </c>
      <c r="BQ609" s="87">
        <f>SUMIFS($AU$3:AU610,$Q$3:Q610,"O")</f>
        <v>1417.2599999999034</v>
      </c>
      <c r="BR609" s="87">
        <f>SUMIFS($AU$3:AU610,$AA$3:AA610,"*")</f>
        <v>45049.436363636036</v>
      </c>
      <c r="BS609" s="87">
        <f>SUMIFS($AU$3:AU610,$AB$3:AB610,"*")</f>
        <v>10383.860000000041</v>
      </c>
      <c r="BT609" s="87">
        <f>SUMIFS($AU$3:AU610,$AC$3:AC610,"*")</f>
        <v>31682.093506493675</v>
      </c>
      <c r="BU609" s="87">
        <f>SUMIFS($AU$3:AU610,$AA$3:AA610,"*",$AB$3:AB610,"*")</f>
        <v>5423.9999999998217</v>
      </c>
      <c r="BV609" s="87">
        <f>SUMIFS($AU$3:AU610,$AA$3:AA610,"*",$AC$3:AC610,"*")</f>
        <v>19728.036363636533</v>
      </c>
      <c r="BW609" s="87">
        <f>SUMIFS($AU$3:AU610,$AB$3:AB610,"*",$AC$3:AC610,"*")</f>
        <v>7119.9999999999982</v>
      </c>
      <c r="BX609" s="87">
        <f>SUMIFS($AV$3:AV610,$Q$3:Q610,"F")</f>
        <v>418.22475235412151</v>
      </c>
      <c r="BY609" s="87">
        <f>SUMIFS($AV$3:AV610,$Q$3:Q610,"S")</f>
        <v>818.03991333429894</v>
      </c>
      <c r="BZ609" s="87">
        <f>SUMIFS($AV$3:AV610,$Q$3:Q610,"O")</f>
        <v>612.95929999974919</v>
      </c>
    </row>
    <row r="610" spans="1:78" ht="15.75" customHeight="1">
      <c r="A610" s="45" t="s">
        <v>1819</v>
      </c>
      <c r="B610" s="59"/>
      <c r="C610" s="46"/>
      <c r="D610" s="46"/>
      <c r="E610" s="66" t="s">
        <v>1976</v>
      </c>
      <c r="F610" s="47"/>
      <c r="G610" s="48"/>
      <c r="H610" s="49"/>
      <c r="I610" s="49">
        <v>1</v>
      </c>
      <c r="J610" s="49"/>
      <c r="K610" s="50"/>
      <c r="L610" s="49"/>
      <c r="M610" s="49"/>
      <c r="N610" s="49"/>
      <c r="O610" s="50"/>
      <c r="P610" s="50"/>
      <c r="Q610" s="50"/>
      <c r="R610" s="50"/>
      <c r="S610" s="50"/>
      <c r="T610" s="50"/>
      <c r="U610" s="50"/>
      <c r="V610" s="50"/>
      <c r="W610" s="50"/>
      <c r="X610" s="50"/>
      <c r="Y610" s="50"/>
      <c r="Z610" s="50"/>
      <c r="AA610" s="52"/>
      <c r="AB610" s="52"/>
      <c r="AC610" s="52"/>
      <c r="AD610" s="231"/>
      <c r="AE610" s="49"/>
      <c r="AF610" s="84"/>
      <c r="AG610" s="49"/>
      <c r="AH610" s="49"/>
      <c r="AI610" s="49"/>
      <c r="AJ610" s="226"/>
      <c r="AK610" s="49"/>
      <c r="AL610" s="113">
        <f t="shared" si="275"/>
        <v>0</v>
      </c>
      <c r="AM610" s="113">
        <f t="shared" si="273"/>
        <v>0</v>
      </c>
      <c r="AN610" s="218"/>
      <c r="AO610" s="49"/>
      <c r="AP610" s="49"/>
      <c r="AQ610" s="84" t="str">
        <f>UPPER(RIGHT(Journal_Live[[#This Row],[DURATION ]]))</f>
        <v/>
      </c>
      <c r="AR610" s="49"/>
      <c r="AS610" s="55"/>
      <c r="AT610" s="55"/>
      <c r="AU610" s="54"/>
      <c r="AV610" s="56"/>
      <c r="AW610" s="57"/>
      <c r="AX610" s="153"/>
      <c r="AY610" s="153"/>
      <c r="AZ610" s="153"/>
      <c r="BA610" s="153"/>
      <c r="BB610" s="153"/>
      <c r="BC610" s="153"/>
      <c r="BD610" s="151"/>
      <c r="BE610" s="152"/>
      <c r="BF610" s="151"/>
      <c r="BG610" s="94">
        <f>SUM($AV$4:AV610)</f>
        <v>3797.2239656881752</v>
      </c>
      <c r="BH610" s="95">
        <f>SUM($AU$4:AU610)</f>
        <v>58123.353506493397</v>
      </c>
      <c r="BI610" s="80">
        <f>SUMIFS($AU$3:AU611,$Q$3:Q611,"F")</f>
        <v>28242.093506493511</v>
      </c>
      <c r="BJ610" s="80">
        <f>SUMIFS($AU$3:AU611,$Q$3:Q611,"S")</f>
        <v>27040</v>
      </c>
      <c r="BK610" s="87">
        <f>SUMIFS($AU$3:AU611,$P$3:P611,"W")</f>
        <v>39483.273506493846</v>
      </c>
      <c r="BL610" s="87">
        <f>SUMIFS($AU$3:AU611,$P$3:P611,"R")</f>
        <v>17886.00000000012</v>
      </c>
      <c r="BM610" s="87">
        <f>SUMIFS($AU$3:AU611,$AQ$3:AQ611,"M")</f>
        <v>9793.3799999992334</v>
      </c>
      <c r="BN610" s="87">
        <f>SUMIFS($AU$3:AU611,$AQ$3:AQ611,"H")</f>
        <v>20343.200000000543</v>
      </c>
      <c r="BO610" s="87">
        <f>SUMIFS($AU$3:AU611,$AQ$3:AQ611,"D")</f>
        <v>13641.507142857021</v>
      </c>
      <c r="BP610" s="87">
        <f>SUMIFS($AS$3:AS1304,$AO$3:AO1304,"W")</f>
        <v>0</v>
      </c>
      <c r="BQ610" s="87">
        <f>SUMIFS($AU$3:AU611,$Q$3:Q611,"O")</f>
        <v>1417.2599999999034</v>
      </c>
      <c r="BR610" s="87">
        <f>SUMIFS($AU$3:AU611,$AA$3:AA611,"*")</f>
        <v>45049.436363636036</v>
      </c>
      <c r="BS610" s="87">
        <f>SUMIFS($AU$3:AU611,$AB$3:AB611,"*")</f>
        <v>10383.860000000041</v>
      </c>
      <c r="BT610" s="87">
        <f>SUMIFS($AU$3:AU611,$AC$3:AC611,"*")</f>
        <v>31682.093506493675</v>
      </c>
      <c r="BU610" s="87">
        <f>SUMIFS($AU$3:AU611,$AA$3:AA611,"*",$AB$3:AB611,"*")</f>
        <v>5423.9999999998217</v>
      </c>
      <c r="BV610" s="87">
        <f>SUMIFS($AU$3:AU611,$AA$3:AA611,"*",$AC$3:AC611,"*")</f>
        <v>19728.036363636533</v>
      </c>
      <c r="BW610" s="87">
        <f>SUMIFS($AU$3:AU611,$AB$3:AB611,"*",$AC$3:AC611,"*")</f>
        <v>7119.9999999999982</v>
      </c>
      <c r="BX610" s="87">
        <f>SUMIFS($AV$3:AV611,$Q$3:Q611,"F")</f>
        <v>418.22475235412151</v>
      </c>
      <c r="BY610" s="87">
        <f>SUMIFS($AV$3:AV611,$Q$3:Q611,"S")</f>
        <v>818.03991333429894</v>
      </c>
      <c r="BZ610" s="87">
        <f>SUMIFS($AV$3:AV611,$Q$3:Q611,"O")</f>
        <v>612.95929999974919</v>
      </c>
    </row>
    <row r="611" spans="1:78" ht="15.75" customHeight="1">
      <c r="A611" s="45" t="s">
        <v>1819</v>
      </c>
      <c r="B611" s="59"/>
      <c r="C611" s="46"/>
      <c r="D611" s="46"/>
      <c r="E611" s="66" t="s">
        <v>1977</v>
      </c>
      <c r="F611" s="47"/>
      <c r="G611" s="48"/>
      <c r="H611" s="49"/>
      <c r="I611" s="49"/>
      <c r="J611" s="49">
        <v>1</v>
      </c>
      <c r="K611" s="50" t="s">
        <v>155</v>
      </c>
      <c r="L611" s="49"/>
      <c r="M611" s="49"/>
      <c r="N611" s="49"/>
      <c r="O611" s="50"/>
      <c r="P611" s="50"/>
      <c r="Q611" s="50"/>
      <c r="R611" s="50"/>
      <c r="S611" s="50"/>
      <c r="T611" s="50"/>
      <c r="U611" s="50"/>
      <c r="V611" s="50"/>
      <c r="W611" s="50"/>
      <c r="X611" s="50"/>
      <c r="Y611" s="50"/>
      <c r="Z611" s="50"/>
      <c r="AA611" s="52"/>
      <c r="AB611" s="52"/>
      <c r="AC611" s="52"/>
      <c r="AD611" s="231"/>
      <c r="AE611" s="49"/>
      <c r="AF611" s="84"/>
      <c r="AG611" s="49"/>
      <c r="AH611" s="49"/>
      <c r="AI611" s="49"/>
      <c r="AJ611" s="226"/>
      <c r="AK611" s="49"/>
      <c r="AL611" s="113">
        <f t="shared" si="275"/>
        <v>0</v>
      </c>
      <c r="AM611" s="113">
        <f t="shared" si="273"/>
        <v>0</v>
      </c>
      <c r="AN611" s="218"/>
      <c r="AO611" s="49"/>
      <c r="AP611" s="49"/>
      <c r="AQ611" s="84" t="str">
        <f>UPPER(RIGHT(Journal_Live[[#This Row],[DURATION ]]))</f>
        <v/>
      </c>
      <c r="AR611" s="49"/>
      <c r="AS611" s="55"/>
      <c r="AT611" s="55"/>
      <c r="AU611" s="54"/>
      <c r="AV611" s="56"/>
      <c r="AW611" s="57"/>
      <c r="AX611" s="153"/>
      <c r="AY611" s="153"/>
      <c r="AZ611" s="153"/>
      <c r="BA611" s="153"/>
      <c r="BB611" s="153"/>
      <c r="BC611" s="153"/>
      <c r="BD611" s="151"/>
      <c r="BE611" s="152"/>
      <c r="BF611" s="151"/>
      <c r="BG611" s="94">
        <f>SUM($AV$4:AV611)</f>
        <v>3797.2239656881752</v>
      </c>
      <c r="BH611" s="95">
        <f>SUM($AU$4:AU611)</f>
        <v>58123.353506493397</v>
      </c>
      <c r="BI611" s="80">
        <f>SUMIFS($AU$3:AU612,$Q$3:Q612,"F")</f>
        <v>28242.093506493511</v>
      </c>
      <c r="BJ611" s="80">
        <f>SUMIFS($AU$3:AU612,$Q$3:Q612,"S")</f>
        <v>27040</v>
      </c>
      <c r="BK611" s="87">
        <f>SUMIFS($AU$3:AU612,$P$3:P612,"W")</f>
        <v>39483.273506493846</v>
      </c>
      <c r="BL611" s="87">
        <f>SUMIFS($AU$3:AU612,$P$3:P612,"R")</f>
        <v>17886.00000000012</v>
      </c>
      <c r="BM611" s="87">
        <f>SUMIFS($AU$3:AU612,$AQ$3:AQ612,"M")</f>
        <v>9793.3799999992334</v>
      </c>
      <c r="BN611" s="87">
        <f>SUMIFS($AU$3:AU612,$AQ$3:AQ612,"H")</f>
        <v>20343.200000000543</v>
      </c>
      <c r="BO611" s="87">
        <f>SUMIFS($AU$3:AU612,$AQ$3:AQ612,"D")</f>
        <v>13641.507142857021</v>
      </c>
      <c r="BP611" s="87">
        <f>SUMIFS($AS$3:AS1305,$AO$3:AO1305,"W")</f>
        <v>0</v>
      </c>
      <c r="BQ611" s="87">
        <f>SUMIFS($AU$3:AU612,$Q$3:Q612,"O")</f>
        <v>1417.2599999999034</v>
      </c>
      <c r="BR611" s="87">
        <f>SUMIFS($AU$3:AU612,$AA$3:AA612,"*")</f>
        <v>45049.436363636036</v>
      </c>
      <c r="BS611" s="87">
        <f>SUMIFS($AU$3:AU612,$AB$3:AB612,"*")</f>
        <v>10383.860000000041</v>
      </c>
      <c r="BT611" s="87">
        <f>SUMIFS($AU$3:AU612,$AC$3:AC612,"*")</f>
        <v>31682.093506493675</v>
      </c>
      <c r="BU611" s="87">
        <f>SUMIFS($AU$3:AU612,$AA$3:AA612,"*",$AB$3:AB612,"*")</f>
        <v>5423.9999999998217</v>
      </c>
      <c r="BV611" s="87">
        <f>SUMIFS($AU$3:AU612,$AA$3:AA612,"*",$AC$3:AC612,"*")</f>
        <v>19728.036363636533</v>
      </c>
      <c r="BW611" s="87">
        <f>SUMIFS($AU$3:AU612,$AB$3:AB612,"*",$AC$3:AC612,"*")</f>
        <v>7119.9999999999982</v>
      </c>
      <c r="BX611" s="87">
        <f>SUMIFS($AV$3:AV612,$Q$3:Q612,"F")</f>
        <v>418.22475235412151</v>
      </c>
      <c r="BY611" s="87">
        <f>SUMIFS($AV$3:AV612,$Q$3:Q612,"S")</f>
        <v>818.03991333429894</v>
      </c>
      <c r="BZ611" s="87">
        <f>SUMIFS($AV$3:AV612,$Q$3:Q612,"O")</f>
        <v>612.95929999974919</v>
      </c>
    </row>
    <row r="612" spans="1:78" ht="15.75" customHeight="1">
      <c r="A612" s="45" t="s">
        <v>1819</v>
      </c>
      <c r="B612" s="59"/>
      <c r="C612" s="46"/>
      <c r="D612" s="46"/>
      <c r="E612" s="66" t="s">
        <v>1978</v>
      </c>
      <c r="F612" s="47"/>
      <c r="G612" s="48"/>
      <c r="H612" s="49"/>
      <c r="I612" s="49">
        <v>1</v>
      </c>
      <c r="J612" s="49"/>
      <c r="K612" s="50"/>
      <c r="L612" s="49"/>
      <c r="M612" s="49"/>
      <c r="N612" s="49"/>
      <c r="O612" s="50"/>
      <c r="P612" s="50"/>
      <c r="Q612" s="50"/>
      <c r="R612" s="50"/>
      <c r="S612" s="50"/>
      <c r="T612" s="50"/>
      <c r="U612" s="50"/>
      <c r="V612" s="50"/>
      <c r="W612" s="50"/>
      <c r="X612" s="50"/>
      <c r="Y612" s="50"/>
      <c r="Z612" s="50"/>
      <c r="AA612" s="52"/>
      <c r="AB612" s="52"/>
      <c r="AC612" s="52"/>
      <c r="AD612" s="231"/>
      <c r="AE612" s="49"/>
      <c r="AF612" s="84"/>
      <c r="AG612" s="49"/>
      <c r="AH612" s="49"/>
      <c r="AI612" s="49"/>
      <c r="AJ612" s="226"/>
      <c r="AK612" s="49"/>
      <c r="AL612" s="113">
        <f t="shared" si="275"/>
        <v>0</v>
      </c>
      <c r="AM612" s="113">
        <f t="shared" si="273"/>
        <v>0</v>
      </c>
      <c r="AN612" s="218"/>
      <c r="AO612" s="49"/>
      <c r="AP612" s="49"/>
      <c r="AQ612" s="84" t="str">
        <f>UPPER(RIGHT(Journal_Live[[#This Row],[DURATION ]]))</f>
        <v/>
      </c>
      <c r="AR612" s="49"/>
      <c r="AS612" s="55"/>
      <c r="AT612" s="55"/>
      <c r="AU612" s="54"/>
      <c r="AV612" s="56"/>
      <c r="AW612" s="57"/>
      <c r="AX612" s="153"/>
      <c r="AY612" s="153"/>
      <c r="AZ612" s="153"/>
      <c r="BA612" s="153"/>
      <c r="BB612" s="153"/>
      <c r="BC612" s="153"/>
      <c r="BD612" s="151"/>
      <c r="BE612" s="152"/>
      <c r="BF612" s="151"/>
      <c r="BG612" s="94">
        <f>SUM($AV$4:AV612)</f>
        <v>3797.2239656881752</v>
      </c>
      <c r="BH612" s="95">
        <f>SUM($AU$4:AU612)</f>
        <v>58123.353506493397</v>
      </c>
      <c r="BI612" s="80">
        <f>SUMIFS($AU$3:AU613,$Q$3:Q613,"F")</f>
        <v>28242.093506493511</v>
      </c>
      <c r="BJ612" s="80">
        <f>SUMIFS($AU$3:AU613,$Q$3:Q613,"S")</f>
        <v>27040</v>
      </c>
      <c r="BK612" s="87">
        <f>SUMIFS($AU$3:AU613,$P$3:P613,"W")</f>
        <v>39483.273506493846</v>
      </c>
      <c r="BL612" s="87">
        <f>SUMIFS($AU$3:AU613,$P$3:P613,"R")</f>
        <v>17886.00000000012</v>
      </c>
      <c r="BM612" s="87">
        <f>SUMIFS($AU$3:AU613,$AQ$3:AQ613,"M")</f>
        <v>9793.3799999992334</v>
      </c>
      <c r="BN612" s="87">
        <f>SUMIFS($AU$3:AU613,$AQ$3:AQ613,"H")</f>
        <v>20343.200000000543</v>
      </c>
      <c r="BO612" s="87">
        <f>SUMIFS($AU$3:AU613,$AQ$3:AQ613,"D")</f>
        <v>13641.507142857021</v>
      </c>
      <c r="BP612" s="87">
        <f>SUMIFS($AS$3:AS1306,$AO$3:AO1306,"W")</f>
        <v>0</v>
      </c>
      <c r="BQ612" s="87">
        <f>SUMIFS($AU$3:AU613,$Q$3:Q613,"O")</f>
        <v>1417.2599999999034</v>
      </c>
      <c r="BR612" s="87">
        <f>SUMIFS($AU$3:AU613,$AA$3:AA613,"*")</f>
        <v>45049.436363636036</v>
      </c>
      <c r="BS612" s="87">
        <f>SUMIFS($AU$3:AU613,$AB$3:AB613,"*")</f>
        <v>10383.860000000041</v>
      </c>
      <c r="BT612" s="87">
        <f>SUMIFS($AU$3:AU613,$AC$3:AC613,"*")</f>
        <v>31682.093506493675</v>
      </c>
      <c r="BU612" s="87">
        <f>SUMIFS($AU$3:AU613,$AA$3:AA613,"*",$AB$3:AB613,"*")</f>
        <v>5423.9999999998217</v>
      </c>
      <c r="BV612" s="87">
        <f>SUMIFS($AU$3:AU613,$AA$3:AA613,"*",$AC$3:AC613,"*")</f>
        <v>19728.036363636533</v>
      </c>
      <c r="BW612" s="87">
        <f>SUMIFS($AU$3:AU613,$AB$3:AB613,"*",$AC$3:AC613,"*")</f>
        <v>7119.9999999999982</v>
      </c>
      <c r="BX612" s="87">
        <f>SUMIFS($AV$3:AV613,$Q$3:Q613,"F")</f>
        <v>418.22475235412151</v>
      </c>
      <c r="BY612" s="87">
        <f>SUMIFS($AV$3:AV613,$Q$3:Q613,"S")</f>
        <v>818.03991333429894</v>
      </c>
      <c r="BZ612" s="87">
        <f>SUMIFS($AV$3:AV613,$Q$3:Q613,"O")</f>
        <v>612.95929999974919</v>
      </c>
    </row>
    <row r="613" spans="1:78" ht="15.75" customHeight="1">
      <c r="A613" s="45" t="s">
        <v>1819</v>
      </c>
      <c r="B613" s="59"/>
      <c r="C613" s="46"/>
      <c r="D613" s="46"/>
      <c r="E613" s="66" t="s">
        <v>1979</v>
      </c>
      <c r="F613" s="47" t="s">
        <v>1954</v>
      </c>
      <c r="G613" s="48"/>
      <c r="H613" s="49"/>
      <c r="I613" s="49"/>
      <c r="J613" s="49">
        <v>1</v>
      </c>
      <c r="K613" s="50" t="s">
        <v>155</v>
      </c>
      <c r="L613" s="49"/>
      <c r="M613" s="49"/>
      <c r="N613" s="49"/>
      <c r="O613" s="50"/>
      <c r="P613" s="50"/>
      <c r="Q613" s="50"/>
      <c r="R613" s="50"/>
      <c r="S613" s="50"/>
      <c r="T613" s="50"/>
      <c r="U613" s="50"/>
      <c r="V613" s="50"/>
      <c r="W613" s="50"/>
      <c r="X613" s="50"/>
      <c r="Y613" s="50"/>
      <c r="Z613" s="50"/>
      <c r="AA613" s="52"/>
      <c r="AB613" s="52"/>
      <c r="AC613" s="52"/>
      <c r="AD613" s="231"/>
      <c r="AE613" s="49"/>
      <c r="AF613" s="84"/>
      <c r="AG613" s="49"/>
      <c r="AH613" s="49"/>
      <c r="AI613" s="49"/>
      <c r="AJ613" s="226"/>
      <c r="AK613" s="49"/>
      <c r="AL613" s="113">
        <f t="shared" si="275"/>
        <v>0</v>
      </c>
      <c r="AM613" s="113">
        <f t="shared" si="273"/>
        <v>0</v>
      </c>
      <c r="AN613" s="218"/>
      <c r="AO613" s="49"/>
      <c r="AP613" s="49"/>
      <c r="AQ613" s="84" t="str">
        <f>UPPER(RIGHT(Journal_Live[[#This Row],[DURATION ]]))</f>
        <v/>
      </c>
      <c r="AR613" s="49"/>
      <c r="AS613" s="55"/>
      <c r="AT613" s="55"/>
      <c r="AU613" s="54"/>
      <c r="AV613" s="56"/>
      <c r="AW613" s="57"/>
      <c r="AX613" s="153"/>
      <c r="AY613" s="153"/>
      <c r="AZ613" s="153"/>
      <c r="BA613" s="153"/>
      <c r="BB613" s="153"/>
      <c r="BC613" s="153"/>
      <c r="BD613" s="151"/>
      <c r="BE613" s="152"/>
      <c r="BF613" s="151"/>
      <c r="BG613" s="94">
        <f>SUM($AV$4:AV613)</f>
        <v>3797.2239656881752</v>
      </c>
      <c r="BH613" s="95">
        <f>SUM($AU$4:AU613)</f>
        <v>58123.353506493397</v>
      </c>
      <c r="BI613" s="80">
        <f>SUMIFS($AU$3:AU614,$Q$3:Q614,"F")</f>
        <v>28242.093506493511</v>
      </c>
      <c r="BJ613" s="80">
        <f>SUMIFS($AU$3:AU614,$Q$3:Q614,"S")</f>
        <v>26320</v>
      </c>
      <c r="BK613" s="87">
        <f>SUMIFS($AU$3:AU614,$P$3:P614,"W")</f>
        <v>38763.273506493846</v>
      </c>
      <c r="BL613" s="87">
        <f>SUMIFS($AU$3:AU614,$P$3:P614,"R")</f>
        <v>17886.00000000012</v>
      </c>
      <c r="BM613" s="87">
        <f>SUMIFS($AU$3:AU614,$AQ$3:AQ614,"M")</f>
        <v>9793.3799999992334</v>
      </c>
      <c r="BN613" s="87">
        <f>SUMIFS($AU$3:AU614,$AQ$3:AQ614,"H")</f>
        <v>19623.200000000543</v>
      </c>
      <c r="BO613" s="87">
        <f>SUMIFS($AU$3:AU614,$AQ$3:AQ614,"D")</f>
        <v>13641.507142857021</v>
      </c>
      <c r="BP613" s="87">
        <f>SUMIFS($AS$3:AS1307,$AO$3:AO1307,"W")</f>
        <v>0</v>
      </c>
      <c r="BQ613" s="87">
        <f>SUMIFS($AU$3:AU614,$Q$3:Q614,"O")</f>
        <v>1417.2599999999034</v>
      </c>
      <c r="BR613" s="87">
        <f>SUMIFS($AU$3:AU614,$AA$3:AA614,"*")</f>
        <v>44329.436363636036</v>
      </c>
      <c r="BS613" s="87">
        <f>SUMIFS($AU$3:AU614,$AB$3:AB614,"*")</f>
        <v>10383.860000000041</v>
      </c>
      <c r="BT613" s="87">
        <f>SUMIFS($AU$3:AU614,$AC$3:AC614,"*")</f>
        <v>31682.093506493675</v>
      </c>
      <c r="BU613" s="87">
        <f>SUMIFS($AU$3:AU614,$AA$3:AA614,"*",$AB$3:AB614,"*")</f>
        <v>5423.9999999998217</v>
      </c>
      <c r="BV613" s="87">
        <f>SUMIFS($AU$3:AU614,$AA$3:AA614,"*",$AC$3:AC614,"*")</f>
        <v>19728.036363636533</v>
      </c>
      <c r="BW613" s="87">
        <f>SUMIFS($AU$3:AU614,$AB$3:AB614,"*",$AC$3:AC614,"*")</f>
        <v>7119.9999999999982</v>
      </c>
      <c r="BX613" s="87">
        <f>SUMIFS($AV$3:AV614,$Q$3:Q614,"F")</f>
        <v>418.22475235412151</v>
      </c>
      <c r="BY613" s="87">
        <f>SUMIFS($AV$3:AV614,$Q$3:Q614,"S")</f>
        <v>800.03991333429894</v>
      </c>
      <c r="BZ613" s="87">
        <f>SUMIFS($AV$3:AV614,$Q$3:Q614,"O")</f>
        <v>612.95929999974919</v>
      </c>
    </row>
    <row r="614" spans="1:78" ht="15.75" customHeight="1">
      <c r="A614" s="45" t="s">
        <v>1819</v>
      </c>
      <c r="B614" s="59">
        <v>45427</v>
      </c>
      <c r="C614" s="46" t="s">
        <v>1980</v>
      </c>
      <c r="D614" s="46" t="s">
        <v>186</v>
      </c>
      <c r="E614" s="66"/>
      <c r="F614" s="47"/>
      <c r="G614" s="104" t="s">
        <v>459</v>
      </c>
      <c r="H614" s="49"/>
      <c r="I614" s="49"/>
      <c r="J614" s="49"/>
      <c r="K614" s="50"/>
      <c r="L614" s="49">
        <v>1</v>
      </c>
      <c r="M614" s="49">
        <v>1</v>
      </c>
      <c r="N614" s="49"/>
      <c r="O614" s="50" t="s">
        <v>100</v>
      </c>
      <c r="P614" s="50" t="s">
        <v>101</v>
      </c>
      <c r="Q614" s="50" t="s">
        <v>102</v>
      </c>
      <c r="R614" s="50">
        <v>40</v>
      </c>
      <c r="S614" s="50">
        <v>25</v>
      </c>
      <c r="T614" s="50">
        <v>20</v>
      </c>
      <c r="U614" s="50" t="s">
        <v>22</v>
      </c>
      <c r="V614" s="50"/>
      <c r="W614" s="50"/>
      <c r="X614" s="50"/>
      <c r="Y614" s="51">
        <f>IF(ISBLANK(O614),"",(IF(O614=UPPER("IB"),0.005,0.01)))</f>
        <v>0.01</v>
      </c>
      <c r="Z614" s="52">
        <f>IF(ISBLANK(O614),"",IF(O614="IB",8.63*200,IF(O614="IR",16*100,IF(O614="YT",20*100,IF(O614="YT-XT",24*200,IF(O614="TED",80*100,IF(O614="XT",29*200)))))))</f>
        <v>1600</v>
      </c>
      <c r="AA614" s="52" t="s">
        <v>1962</v>
      </c>
      <c r="AB614" s="52"/>
      <c r="AC614" s="52"/>
      <c r="AD614" s="231">
        <v>-0.02</v>
      </c>
      <c r="AE614" s="49"/>
      <c r="AF614" s="84"/>
      <c r="AG614" s="49"/>
      <c r="AH614" s="49"/>
      <c r="AI614" s="49"/>
      <c r="AJ614" s="226"/>
      <c r="AK614" s="49"/>
      <c r="AL614" s="113">
        <f t="shared" si="275"/>
        <v>-32</v>
      </c>
      <c r="AM614" s="113">
        <f t="shared" si="273"/>
        <v>-480</v>
      </c>
      <c r="AN614" s="218"/>
      <c r="AO614" s="49"/>
      <c r="AP614" s="49" t="s">
        <v>1981</v>
      </c>
      <c r="AQ614" s="84" t="s">
        <v>142</v>
      </c>
      <c r="AR614" s="49"/>
      <c r="AS614" s="55">
        <f>((-0.02*10)+(-0.01*15)+(-0.06*15))/40</f>
        <v>-3.125E-2</v>
      </c>
      <c r="AT614" s="55">
        <f>IF(ISBLANK(AS614),,IF(U614="S",AD614-AS614,AS614-AD614))</f>
        <v>-1.125E-2</v>
      </c>
      <c r="AU614" s="54">
        <f>AV614*R614</f>
        <v>-720</v>
      </c>
      <c r="AV614" s="56">
        <f t="shared" ref="AV614" si="276">IF(ISBLANK(AS614),,(AT614*Z614))</f>
        <v>-18</v>
      </c>
      <c r="AW614" s="57" t="s">
        <v>121</v>
      </c>
      <c r="AX614" s="153" t="s">
        <v>1892</v>
      </c>
      <c r="AY614" s="153" t="s">
        <v>1982</v>
      </c>
      <c r="AZ614" s="153"/>
      <c r="BA614" s="153"/>
      <c r="BB614" s="153"/>
      <c r="BC614" s="153"/>
      <c r="BD614" s="151"/>
      <c r="BE614" s="152"/>
      <c r="BF614" s="151"/>
      <c r="BG614" s="94">
        <f>SUM($AV$4:AV614)</f>
        <v>3779.2239656881752</v>
      </c>
      <c r="BH614" s="95">
        <f>SUM($AU$4:AU614)</f>
        <v>57403.353506493397</v>
      </c>
      <c r="BI614" s="80">
        <f>SUMIFS($AU$3:AU615,$Q$3:Q615,"F")</f>
        <v>28242.093506493511</v>
      </c>
      <c r="BJ614" s="80">
        <f>SUMIFS($AU$3:AU615,$Q$3:Q615,"S")</f>
        <v>26320</v>
      </c>
      <c r="BK614" s="87">
        <f>SUMIFS($AU$3:AU615,$P$3:P615,"W")</f>
        <v>38763.273506493846</v>
      </c>
      <c r="BL614" s="87">
        <f>SUMIFS($AU$3:AU615,$P$3:P615,"R")</f>
        <v>17886.00000000012</v>
      </c>
      <c r="BM614" s="87">
        <f>SUMIFS($AU$3:AU615,$AQ$3:AQ615,"M")</f>
        <v>9793.3799999992334</v>
      </c>
      <c r="BN614" s="87">
        <f>SUMIFS($AU$3:AU615,$AQ$3:AQ615,"H")</f>
        <v>19623.200000000543</v>
      </c>
      <c r="BO614" s="87">
        <f>SUMIFS($AU$3:AU615,$AQ$3:AQ615,"D")</f>
        <v>13641.507142857021</v>
      </c>
      <c r="BP614" s="87">
        <f>SUMIFS($AS$3:AS1308,$AO$3:AO1308,"W")</f>
        <v>0</v>
      </c>
      <c r="BQ614" s="87">
        <f>SUMIFS($AU$3:AU615,$Q$3:Q615,"O")</f>
        <v>1417.2599999999034</v>
      </c>
      <c r="BR614" s="87">
        <f>SUMIFS($AU$3:AU615,$AA$3:AA615,"*")</f>
        <v>44329.436363636036</v>
      </c>
      <c r="BS614" s="87">
        <f>SUMIFS($AU$3:AU615,$AB$3:AB615,"*")</f>
        <v>10383.860000000041</v>
      </c>
      <c r="BT614" s="87">
        <f>SUMIFS($AU$3:AU615,$AC$3:AC615,"*")</f>
        <v>31682.093506493675</v>
      </c>
      <c r="BU614" s="87">
        <f>SUMIFS($AU$3:AU615,$AA$3:AA615,"*",$AB$3:AB615,"*")</f>
        <v>5423.9999999998217</v>
      </c>
      <c r="BV614" s="87">
        <f>SUMIFS($AU$3:AU615,$AA$3:AA615,"*",$AC$3:AC615,"*")</f>
        <v>19728.036363636533</v>
      </c>
      <c r="BW614" s="87">
        <f>SUMIFS($AU$3:AU615,$AB$3:AB615,"*",$AC$3:AC615,"*")</f>
        <v>7119.9999999999982</v>
      </c>
      <c r="BX614" s="87">
        <f>SUMIFS($AV$3:AV615,$Q$3:Q615,"F")</f>
        <v>418.22475235412151</v>
      </c>
      <c r="BY614" s="87">
        <f>SUMIFS($AV$3:AV615,$Q$3:Q615,"S")</f>
        <v>800.03991333429894</v>
      </c>
      <c r="BZ614" s="87">
        <f>SUMIFS($AV$3:AV615,$Q$3:Q615,"O")</f>
        <v>612.95929999974919</v>
      </c>
    </row>
    <row r="615" spans="1:78" ht="15.75" customHeight="1">
      <c r="A615" s="45" t="s">
        <v>1819</v>
      </c>
      <c r="B615" s="59">
        <v>45428</v>
      </c>
      <c r="C615" s="46" t="s">
        <v>194</v>
      </c>
      <c r="D615" s="46" t="s">
        <v>107</v>
      </c>
      <c r="E615" s="66" t="s">
        <v>1983</v>
      </c>
      <c r="F615" s="47"/>
      <c r="G615" s="48"/>
      <c r="H615" s="49">
        <v>1</v>
      </c>
      <c r="I615" s="49"/>
      <c r="J615" s="49"/>
      <c r="K615" s="50" t="s">
        <v>142</v>
      </c>
      <c r="L615" s="49"/>
      <c r="M615" s="49"/>
      <c r="N615" s="49"/>
      <c r="O615" s="50"/>
      <c r="P615" s="50"/>
      <c r="Q615" s="50"/>
      <c r="R615" s="50"/>
      <c r="S615" s="50"/>
      <c r="T615" s="50"/>
      <c r="U615" s="50"/>
      <c r="V615" s="50"/>
      <c r="W615" s="50"/>
      <c r="X615" s="50"/>
      <c r="Y615" s="50"/>
      <c r="Z615" s="50"/>
      <c r="AA615" s="52"/>
      <c r="AB615" s="52"/>
      <c r="AC615" s="52"/>
      <c r="AD615" s="231"/>
      <c r="AE615" s="49"/>
      <c r="AF615" s="84"/>
      <c r="AG615" s="49"/>
      <c r="AH615" s="49"/>
      <c r="AI615" s="49"/>
      <c r="AJ615" s="226"/>
      <c r="AK615" s="49"/>
      <c r="AL615" s="113">
        <f t="shared" si="275"/>
        <v>0</v>
      </c>
      <c r="AM615" s="113">
        <f t="shared" si="273"/>
        <v>0</v>
      </c>
      <c r="AN615" s="218"/>
      <c r="AO615" s="49"/>
      <c r="AP615" s="49"/>
      <c r="AQ615" s="84" t="str">
        <f>UPPER(RIGHT(Journal_Live[[#This Row],[DURATION ]]))</f>
        <v/>
      </c>
      <c r="AR615" s="49"/>
      <c r="AS615" s="55"/>
      <c r="AT615" s="55"/>
      <c r="AU615" s="54"/>
      <c r="AV615" s="56"/>
      <c r="AW615" s="57"/>
      <c r="AX615" s="153"/>
      <c r="AY615" s="153"/>
      <c r="AZ615" s="153"/>
      <c r="BA615" s="153"/>
      <c r="BB615" s="153"/>
      <c r="BC615" s="153"/>
      <c r="BD615" s="151"/>
      <c r="BE615" s="152"/>
      <c r="BF615" s="151"/>
      <c r="BG615" s="94">
        <f>SUM($AV$4:AV615)</f>
        <v>3779.2239656881752</v>
      </c>
      <c r="BH615" s="95">
        <f>SUM($AU$4:AU615)</f>
        <v>57403.353506493397</v>
      </c>
      <c r="BI615" s="80">
        <f>SUMIFS($AU$3:AU616,$Q$3:Q616,"F")</f>
        <v>28242.093506493511</v>
      </c>
      <c r="BJ615" s="80">
        <f>SUMIFS($AU$3:AU616,$Q$3:Q616,"S")</f>
        <v>26320</v>
      </c>
      <c r="BK615" s="87">
        <f>SUMIFS($AU$3:AU616,$P$3:P616,"W")</f>
        <v>38763.273506493846</v>
      </c>
      <c r="BL615" s="87">
        <f>SUMIFS($AU$3:AU616,$P$3:P616,"R")</f>
        <v>17886.00000000012</v>
      </c>
      <c r="BM615" s="87">
        <f>SUMIFS($AU$3:AU616,$AQ$3:AQ616,"M")</f>
        <v>9793.3799999992334</v>
      </c>
      <c r="BN615" s="87">
        <f>SUMIFS($AU$3:AU616,$AQ$3:AQ616,"H")</f>
        <v>19623.200000000543</v>
      </c>
      <c r="BO615" s="87">
        <f>SUMIFS($AU$3:AU616,$AQ$3:AQ616,"D")</f>
        <v>13641.507142857021</v>
      </c>
      <c r="BP615" s="87">
        <f>SUMIFS($AS$3:AS1309,$AO$3:AO1309,"W")</f>
        <v>0</v>
      </c>
      <c r="BQ615" s="87">
        <f>SUMIFS($AU$3:AU616,$Q$3:Q616,"O")</f>
        <v>1417.2599999999034</v>
      </c>
      <c r="BR615" s="87">
        <f>SUMIFS($AU$3:AU616,$AA$3:AA616,"*")</f>
        <v>44329.436363636036</v>
      </c>
      <c r="BS615" s="87">
        <f>SUMIFS($AU$3:AU616,$AB$3:AB616,"*")</f>
        <v>10383.860000000041</v>
      </c>
      <c r="BT615" s="87">
        <f>SUMIFS($AU$3:AU616,$AC$3:AC616,"*")</f>
        <v>31682.093506493675</v>
      </c>
      <c r="BU615" s="87">
        <f>SUMIFS($AU$3:AU616,$AA$3:AA616,"*",$AB$3:AB616,"*")</f>
        <v>5423.9999999998217</v>
      </c>
      <c r="BV615" s="87">
        <f>SUMIFS($AU$3:AU616,$AA$3:AA616,"*",$AC$3:AC616,"*")</f>
        <v>19728.036363636533</v>
      </c>
      <c r="BW615" s="87">
        <f>SUMIFS($AU$3:AU616,$AB$3:AB616,"*",$AC$3:AC616,"*")</f>
        <v>7119.9999999999982</v>
      </c>
      <c r="BX615" s="87">
        <f>SUMIFS($AV$3:AV616,$Q$3:Q616,"F")</f>
        <v>418.22475235412151</v>
      </c>
      <c r="BY615" s="87">
        <f>SUMIFS($AV$3:AV616,$Q$3:Q616,"S")</f>
        <v>800.03991333429894</v>
      </c>
      <c r="BZ615" s="87">
        <f>SUMIFS($AV$3:AV616,$Q$3:Q616,"O")</f>
        <v>612.95929999974919</v>
      </c>
    </row>
    <row r="616" spans="1:78" ht="15.75" customHeight="1">
      <c r="A616" s="45" t="s">
        <v>1819</v>
      </c>
      <c r="B616" s="59"/>
      <c r="C616" s="46"/>
      <c r="D616" s="46"/>
      <c r="E616" s="66" t="s">
        <v>1984</v>
      </c>
      <c r="F616" s="47"/>
      <c r="G616" s="48"/>
      <c r="H616" s="49">
        <v>1</v>
      </c>
      <c r="I616" s="49"/>
      <c r="J616" s="49"/>
      <c r="K616" s="50" t="s">
        <v>155</v>
      </c>
      <c r="L616" s="49"/>
      <c r="M616" s="49"/>
      <c r="N616" s="49"/>
      <c r="O616" s="50"/>
      <c r="P616" s="50"/>
      <c r="Q616" s="50"/>
      <c r="R616" s="50"/>
      <c r="S616" s="50"/>
      <c r="T616" s="50"/>
      <c r="U616" s="50"/>
      <c r="V616" s="50"/>
      <c r="W616" s="50"/>
      <c r="X616" s="50"/>
      <c r="Y616" s="50"/>
      <c r="Z616" s="50"/>
      <c r="AA616" s="52"/>
      <c r="AB616" s="52"/>
      <c r="AC616" s="52"/>
      <c r="AD616" s="231"/>
      <c r="AE616" s="49"/>
      <c r="AF616" s="84"/>
      <c r="AG616" s="49"/>
      <c r="AH616" s="49"/>
      <c r="AI616" s="49"/>
      <c r="AJ616" s="226"/>
      <c r="AK616" s="49"/>
      <c r="AL616" s="113">
        <f t="shared" si="275"/>
        <v>0</v>
      </c>
      <c r="AM616" s="113">
        <f t="shared" si="273"/>
        <v>0</v>
      </c>
      <c r="AN616" s="218"/>
      <c r="AO616" s="49"/>
      <c r="AP616" s="49"/>
      <c r="AQ616" s="84" t="str">
        <f>UPPER(RIGHT(Journal_Live[[#This Row],[DURATION ]]))</f>
        <v/>
      </c>
      <c r="AR616" s="49"/>
      <c r="AS616" s="55"/>
      <c r="AT616" s="55"/>
      <c r="AU616" s="54"/>
      <c r="AV616" s="56"/>
      <c r="AW616" s="57"/>
      <c r="AX616" s="153"/>
      <c r="AY616" s="153"/>
      <c r="AZ616" s="153"/>
      <c r="BA616" s="153"/>
      <c r="BB616" s="153"/>
      <c r="BC616" s="153"/>
      <c r="BD616" s="151"/>
      <c r="BE616" s="152"/>
      <c r="BF616" s="151"/>
      <c r="BG616" s="94">
        <f>SUM($AV$4:AV616)</f>
        <v>3779.2239656881752</v>
      </c>
      <c r="BH616" s="95">
        <f>SUM($AU$4:AU616)</f>
        <v>57403.353506493397</v>
      </c>
      <c r="BI616" s="80">
        <f>SUMIFS($AU$3:AU617,$Q$3:Q617,"F")</f>
        <v>28242.093506493511</v>
      </c>
      <c r="BJ616" s="80">
        <f>SUMIFS($AU$3:AU617,$Q$3:Q617,"S")</f>
        <v>25040</v>
      </c>
      <c r="BK616" s="87">
        <f>SUMIFS($AU$3:AU617,$P$3:P617,"W")</f>
        <v>37483.273506493846</v>
      </c>
      <c r="BL616" s="87">
        <f>SUMIFS($AU$3:AU617,$P$3:P617,"R")</f>
        <v>17886.00000000012</v>
      </c>
      <c r="BM616" s="87">
        <f>SUMIFS($AU$3:AU617,$AQ$3:AQ617,"M")</f>
        <v>9793.3799999992334</v>
      </c>
      <c r="BN616" s="87">
        <f>SUMIFS($AU$3:AU617,$AQ$3:AQ617,"H")</f>
        <v>18343.200000000543</v>
      </c>
      <c r="BO616" s="87">
        <f>SUMIFS($AU$3:AU617,$AQ$3:AQ617,"D")</f>
        <v>13641.507142857021</v>
      </c>
      <c r="BP616" s="87">
        <f>SUMIFS($AS$3:AS1310,$AO$3:AO1310,"W")</f>
        <v>0</v>
      </c>
      <c r="BQ616" s="87">
        <f>SUMIFS($AU$3:AU617,$Q$3:Q617,"O")</f>
        <v>1417.2599999999034</v>
      </c>
      <c r="BR616" s="87">
        <f>SUMIFS($AU$3:AU617,$AA$3:AA617,"*")</f>
        <v>43049.436363636036</v>
      </c>
      <c r="BS616" s="87">
        <f>SUMIFS($AU$3:AU617,$AB$3:AB617,"*")</f>
        <v>10383.860000000041</v>
      </c>
      <c r="BT616" s="87">
        <f>SUMIFS($AU$3:AU617,$AC$3:AC617,"*")</f>
        <v>31682.093506493675</v>
      </c>
      <c r="BU616" s="87">
        <f>SUMIFS($AU$3:AU617,$AA$3:AA617,"*",$AB$3:AB617,"*")</f>
        <v>5423.9999999998217</v>
      </c>
      <c r="BV616" s="87">
        <f>SUMIFS($AU$3:AU617,$AA$3:AA617,"*",$AC$3:AC617,"*")</f>
        <v>19728.036363636533</v>
      </c>
      <c r="BW616" s="87">
        <f>SUMIFS($AU$3:AU617,$AB$3:AB617,"*",$AC$3:AC617,"*")</f>
        <v>7119.9999999999982</v>
      </c>
      <c r="BX616" s="87">
        <f>SUMIFS($AV$3:AV617,$Q$3:Q617,"F")</f>
        <v>418.22475235412151</v>
      </c>
      <c r="BY616" s="87">
        <f>SUMIFS($AV$3:AV617,$Q$3:Q617,"S")</f>
        <v>768.03991333429894</v>
      </c>
      <c r="BZ616" s="87">
        <f>SUMIFS($AV$3:AV617,$Q$3:Q617,"O")</f>
        <v>612.95929999974919</v>
      </c>
    </row>
    <row r="617" spans="1:78" ht="15.75" customHeight="1">
      <c r="A617" s="45" t="s">
        <v>1819</v>
      </c>
      <c r="B617" s="59">
        <v>45428</v>
      </c>
      <c r="C617" s="46" t="s">
        <v>147</v>
      </c>
      <c r="D617" s="46" t="s">
        <v>107</v>
      </c>
      <c r="E617" s="66"/>
      <c r="F617" s="47"/>
      <c r="G617" s="48" t="s">
        <v>459</v>
      </c>
      <c r="H617" s="49"/>
      <c r="I617" s="49"/>
      <c r="J617" s="49"/>
      <c r="K617" s="50"/>
      <c r="L617" s="49">
        <v>1</v>
      </c>
      <c r="M617" s="49">
        <v>1</v>
      </c>
      <c r="N617" s="49"/>
      <c r="O617" s="50" t="s">
        <v>100</v>
      </c>
      <c r="P617" s="50" t="s">
        <v>101</v>
      </c>
      <c r="Q617" s="50" t="s">
        <v>102</v>
      </c>
      <c r="R617" s="50">
        <v>40</v>
      </c>
      <c r="S617" s="50">
        <v>0</v>
      </c>
      <c r="T617" s="50">
        <v>40</v>
      </c>
      <c r="U617" s="50" t="s">
        <v>22</v>
      </c>
      <c r="V617" s="50"/>
      <c r="W617" s="50"/>
      <c r="X617" s="50"/>
      <c r="Y617" s="51">
        <f>IF(ISBLANK(O617),"",(IF(O617=UPPER("IB"),0.005,0.01)))</f>
        <v>0.01</v>
      </c>
      <c r="Z617" s="52">
        <f>IF(ISBLANK(O617),"",IF(O617="IB",8.63*200,IF(O617="IR",16*100,IF(O617="YT",20*100,IF(O617="YT-XT",24*200,IF(O617="TED",80*100,IF(O617="XT",29*200)))))))</f>
        <v>1600</v>
      </c>
      <c r="AA617" s="52" t="s">
        <v>1985</v>
      </c>
      <c r="AB617" s="52"/>
      <c r="AC617" s="52"/>
      <c r="AD617" s="231">
        <v>-0.06</v>
      </c>
      <c r="AE617" s="49"/>
      <c r="AF617" s="84"/>
      <c r="AG617" s="49"/>
      <c r="AH617" s="49"/>
      <c r="AI617" s="49"/>
      <c r="AJ617" s="226"/>
      <c r="AK617" s="49"/>
      <c r="AL617" s="113">
        <f t="shared" si="275"/>
        <v>-32</v>
      </c>
      <c r="AM617" s="113">
        <f t="shared" si="273"/>
        <v>-1280</v>
      </c>
      <c r="AN617" s="218"/>
      <c r="AO617" s="49"/>
      <c r="AP617" s="49"/>
      <c r="AQ617" s="84" t="s">
        <v>142</v>
      </c>
      <c r="AR617" s="49"/>
      <c r="AS617" s="55">
        <v>-0.08</v>
      </c>
      <c r="AT617" s="55">
        <f>IF(ISBLANK(AS617),,IF(U617="S",AD617-AS617,AS617-AD617))</f>
        <v>-2.0000000000000004E-2</v>
      </c>
      <c r="AU617" s="54">
        <f>AV617*R617</f>
        <v>-1280.0000000000002</v>
      </c>
      <c r="AV617" s="56">
        <f t="shared" ref="AV617" si="277">IF(ISBLANK(AS617),,(AT617*Z617))</f>
        <v>-32.000000000000007</v>
      </c>
      <c r="AW617" s="57" t="s">
        <v>121</v>
      </c>
      <c r="AX617" s="153" t="s">
        <v>1892</v>
      </c>
      <c r="AY617" s="153"/>
      <c r="AZ617" s="153"/>
      <c r="BA617" s="153"/>
      <c r="BB617" s="153"/>
      <c r="BC617" s="153"/>
      <c r="BD617" s="151"/>
      <c r="BE617" s="152"/>
      <c r="BF617" s="151"/>
      <c r="BG617" s="94">
        <f>SUM($AV$4:AV617)</f>
        <v>3747.2239656881752</v>
      </c>
      <c r="BH617" s="95">
        <f>SUM($AU$4:AU617)</f>
        <v>56123.353506493397</v>
      </c>
      <c r="BI617" s="80">
        <f>SUMIFS($AU$3:AU618,$Q$3:Q618,"F")</f>
        <v>28242.093506493511</v>
      </c>
      <c r="BJ617" s="80">
        <f>SUMIFS($AU$3:AU618,$Q$3:Q618,"S")</f>
        <v>24080</v>
      </c>
      <c r="BK617" s="87">
        <f>SUMIFS($AU$3:AU618,$P$3:P618,"W")</f>
        <v>36523.273506493846</v>
      </c>
      <c r="BL617" s="87">
        <f>SUMIFS($AU$3:AU618,$P$3:P618,"R")</f>
        <v>17886.00000000012</v>
      </c>
      <c r="BM617" s="87">
        <f>SUMIFS($AU$3:AU618,$AQ$3:AQ618,"M")</f>
        <v>9793.3799999992334</v>
      </c>
      <c r="BN617" s="87">
        <f>SUMIFS($AU$3:AU618,$AQ$3:AQ618,"H")</f>
        <v>17383.200000000543</v>
      </c>
      <c r="BO617" s="87">
        <f>SUMIFS($AU$3:AU618,$AQ$3:AQ618,"D")</f>
        <v>13641.507142857021</v>
      </c>
      <c r="BP617" s="87">
        <f>SUMIFS($AS$3:AS1311,$AO$3:AO1311,"W")</f>
        <v>0</v>
      </c>
      <c r="BQ617" s="87">
        <f>SUMIFS($AU$3:AU618,$Q$3:Q618,"O")</f>
        <v>1417.2599999999034</v>
      </c>
      <c r="BR617" s="87">
        <f>SUMIFS($AU$3:AU618,$AA$3:AA618,"*")</f>
        <v>42089.436363636036</v>
      </c>
      <c r="BS617" s="87">
        <f>SUMIFS($AU$3:AU618,$AB$3:AB618,"*")</f>
        <v>10383.860000000041</v>
      </c>
      <c r="BT617" s="87">
        <f>SUMIFS($AU$3:AU618,$AC$3:AC618,"*")</f>
        <v>31682.093506493675</v>
      </c>
      <c r="BU617" s="87">
        <f>SUMIFS($AU$3:AU618,$AA$3:AA618,"*",$AB$3:AB618,"*")</f>
        <v>5423.9999999998217</v>
      </c>
      <c r="BV617" s="87">
        <f>SUMIFS($AU$3:AU618,$AA$3:AA618,"*",$AC$3:AC618,"*")</f>
        <v>19728.036363636533</v>
      </c>
      <c r="BW617" s="87">
        <f>SUMIFS($AU$3:AU618,$AB$3:AB618,"*",$AC$3:AC618,"*")</f>
        <v>7119.9999999999982</v>
      </c>
      <c r="BX617" s="87">
        <f>SUMIFS($AV$3:AV618,$Q$3:Q618,"F")</f>
        <v>418.22475235412151</v>
      </c>
      <c r="BY617" s="87">
        <f>SUMIFS($AV$3:AV618,$Q$3:Q618,"S")</f>
        <v>752.03991333429894</v>
      </c>
      <c r="BZ617" s="87">
        <f>SUMIFS($AV$3:AV618,$Q$3:Q618,"O")</f>
        <v>612.95929999974919</v>
      </c>
    </row>
    <row r="618" spans="1:78" ht="15.75" customHeight="1">
      <c r="A618" s="45" t="s">
        <v>1819</v>
      </c>
      <c r="B618" s="59">
        <v>45428</v>
      </c>
      <c r="C618" s="46" t="s">
        <v>147</v>
      </c>
      <c r="D618" s="46" t="s">
        <v>107</v>
      </c>
      <c r="E618" s="66"/>
      <c r="F618" s="47"/>
      <c r="G618" s="48" t="s">
        <v>111</v>
      </c>
      <c r="H618" s="49"/>
      <c r="I618" s="49"/>
      <c r="J618" s="49"/>
      <c r="K618" s="50"/>
      <c r="L618" s="49">
        <v>1</v>
      </c>
      <c r="M618" s="49">
        <v>1</v>
      </c>
      <c r="N618" s="49"/>
      <c r="O618" s="50" t="s">
        <v>100</v>
      </c>
      <c r="P618" s="50" t="s">
        <v>101</v>
      </c>
      <c r="Q618" s="50" t="s">
        <v>102</v>
      </c>
      <c r="R618" s="50">
        <v>60</v>
      </c>
      <c r="S618" s="50">
        <v>0</v>
      </c>
      <c r="T618" s="50">
        <v>60</v>
      </c>
      <c r="U618" s="50" t="s">
        <v>22</v>
      </c>
      <c r="V618" s="50"/>
      <c r="W618" s="50"/>
      <c r="X618" s="50"/>
      <c r="Y618" s="51">
        <f>IF(ISBLANK(O618),"",(IF(O618=UPPER("IB"),0.005,0.01)))</f>
        <v>0.01</v>
      </c>
      <c r="Z618" s="52">
        <f>IF(ISBLANK(O618),"",IF(O618="IB",8.63*200,IF(O618="IR",16*100,IF(O618="YT",20*100,IF(O618="YT-XT",24*200,IF(O618="TED",80*100,IF(O618="XT",29*200)))))))</f>
        <v>1600</v>
      </c>
      <c r="AA618" s="52" t="s">
        <v>1985</v>
      </c>
      <c r="AB618" s="52"/>
      <c r="AC618" s="52"/>
      <c r="AD618" s="231">
        <v>-0.02</v>
      </c>
      <c r="AE618" s="49"/>
      <c r="AF618" s="84"/>
      <c r="AG618" s="49"/>
      <c r="AH618" s="49"/>
      <c r="AI618" s="49"/>
      <c r="AJ618" s="226"/>
      <c r="AK618" s="49"/>
      <c r="AL618" s="113">
        <f t="shared" ref="AL618:AL622" si="278">-0.02*Z618</f>
        <v>-32</v>
      </c>
      <c r="AM618" s="113">
        <f t="shared" si="273"/>
        <v>-1920</v>
      </c>
      <c r="AN618" s="218"/>
      <c r="AO618" s="49"/>
      <c r="AP618" s="49"/>
      <c r="AQ618" s="84" t="s">
        <v>142</v>
      </c>
      <c r="AR618" s="49"/>
      <c r="AS618" s="55">
        <v>-0.03</v>
      </c>
      <c r="AT618" s="55">
        <f>IF(ISBLANK(AS618),,IF(U618="S",AD618-AS618,AS618-AD618))</f>
        <v>-9.9999999999999985E-3</v>
      </c>
      <c r="AU618" s="54">
        <f>AV618*R618</f>
        <v>-959.99999999999989</v>
      </c>
      <c r="AV618" s="56">
        <f t="shared" ref="AV618" si="279">IF(ISBLANK(AS618),,(AT618*Z618))</f>
        <v>-15.999999999999998</v>
      </c>
      <c r="AW618" s="57" t="s">
        <v>121</v>
      </c>
      <c r="AX618" s="153" t="s">
        <v>1986</v>
      </c>
      <c r="AY618" s="153"/>
      <c r="AZ618" s="153"/>
      <c r="BA618" s="153"/>
      <c r="BB618" s="153"/>
      <c r="BC618" s="153"/>
      <c r="BD618" s="151"/>
      <c r="BE618" s="152"/>
      <c r="BF618" s="151"/>
      <c r="BG618" s="94">
        <f>SUM($AV$4:AV618)</f>
        <v>3731.2239656881752</v>
      </c>
      <c r="BH618" s="95">
        <f>SUM($AU$4:AU618)</f>
        <v>55163.353506493397</v>
      </c>
      <c r="BI618" s="80">
        <f>SUMIFS($AU$3:AU619,$Q$3:Q619,"F")</f>
        <v>28242.093506493511</v>
      </c>
      <c r="BJ618" s="80">
        <f>SUMIFS($AU$3:AU619,$Q$3:Q619,"S")</f>
        <v>24880</v>
      </c>
      <c r="BK618" s="87">
        <f>SUMIFS($AU$3:AU619,$P$3:P619,"W")</f>
        <v>37323.273506493846</v>
      </c>
      <c r="BL618" s="87">
        <f>SUMIFS($AU$3:AU619,$P$3:P619,"R")</f>
        <v>17886.00000000012</v>
      </c>
      <c r="BM618" s="87">
        <f>SUMIFS($AU$3:AU619,$AQ$3:AQ619,"M")</f>
        <v>9793.3799999992334</v>
      </c>
      <c r="BN618" s="87">
        <f>SUMIFS($AU$3:AU619,$AQ$3:AQ619,"H")</f>
        <v>18183.200000000543</v>
      </c>
      <c r="BO618" s="87">
        <f>SUMIFS($AU$3:AU619,$AQ$3:AQ619,"D")</f>
        <v>13641.507142857021</v>
      </c>
      <c r="BP618" s="87">
        <f>SUMIFS($AS$3:AS1312,$AO$3:AO1312,"W")</f>
        <v>0</v>
      </c>
      <c r="BQ618" s="87">
        <f>SUMIFS($AU$3:AU619,$Q$3:Q619,"O")</f>
        <v>1417.2599999999034</v>
      </c>
      <c r="BR618" s="87">
        <f>SUMIFS($AU$3:AU619,$AA$3:AA619,"*")</f>
        <v>42889.436363636036</v>
      </c>
      <c r="BS618" s="87">
        <f>SUMIFS($AU$3:AU619,$AB$3:AB619,"*")</f>
        <v>10383.860000000041</v>
      </c>
      <c r="BT618" s="87">
        <f>SUMIFS($AU$3:AU619,$AC$3:AC619,"*")</f>
        <v>31682.093506493675</v>
      </c>
      <c r="BU618" s="87">
        <f>SUMIFS($AU$3:AU619,$AA$3:AA619,"*",$AB$3:AB619,"*")</f>
        <v>5423.9999999998217</v>
      </c>
      <c r="BV618" s="87">
        <f>SUMIFS($AU$3:AU619,$AA$3:AA619,"*",$AC$3:AC619,"*")</f>
        <v>19728.036363636533</v>
      </c>
      <c r="BW618" s="87">
        <f>SUMIFS($AU$3:AU619,$AB$3:AB619,"*",$AC$3:AC619,"*")</f>
        <v>7119.9999999999982</v>
      </c>
      <c r="BX618" s="87">
        <f>SUMIFS($AV$3:AV619,$Q$3:Q619,"F")</f>
        <v>418.22475235412151</v>
      </c>
      <c r="BY618" s="87">
        <f>SUMIFS($AV$3:AV619,$Q$3:Q619,"S")</f>
        <v>768.03991333429894</v>
      </c>
      <c r="BZ618" s="87">
        <f>SUMIFS($AV$3:AV619,$Q$3:Q619,"O")</f>
        <v>612.95929999974919</v>
      </c>
    </row>
    <row r="619" spans="1:78" ht="15.75" customHeight="1">
      <c r="A619" s="45" t="s">
        <v>1819</v>
      </c>
      <c r="B619" s="59">
        <v>45428</v>
      </c>
      <c r="C619" s="46" t="s">
        <v>147</v>
      </c>
      <c r="D619" s="46" t="s">
        <v>107</v>
      </c>
      <c r="E619" s="66"/>
      <c r="F619" s="47"/>
      <c r="G619" s="104" t="s">
        <v>466</v>
      </c>
      <c r="H619" s="49"/>
      <c r="I619" s="49"/>
      <c r="J619" s="49"/>
      <c r="K619" s="50"/>
      <c r="L619" s="49">
        <v>1</v>
      </c>
      <c r="M619" s="49">
        <v>1</v>
      </c>
      <c r="N619" s="49"/>
      <c r="O619" s="50" t="s">
        <v>100</v>
      </c>
      <c r="P619" s="50" t="s">
        <v>101</v>
      </c>
      <c r="Q619" s="50" t="s">
        <v>102</v>
      </c>
      <c r="R619" s="50">
        <v>50</v>
      </c>
      <c r="S619" s="50">
        <v>0</v>
      </c>
      <c r="T619" s="50">
        <v>50</v>
      </c>
      <c r="U619" s="50" t="s">
        <v>22</v>
      </c>
      <c r="V619" s="50"/>
      <c r="W619" s="50"/>
      <c r="X619" s="50"/>
      <c r="Y619" s="51">
        <f>IF(ISBLANK(O619),"",(IF(O619=UPPER("IB"),0.005,0.01)))</f>
        <v>0.01</v>
      </c>
      <c r="Z619" s="52">
        <f>IF(ISBLANK(O619),"",IF(O619="IB",8.63*200,IF(O619="IR",16*100,IF(O619="YT",20*100,IF(O619="YT-XT",24*200,IF(O619="TED",80*100,IF(O619="XT",29*200)))))))</f>
        <v>1600</v>
      </c>
      <c r="AA619" s="52" t="s">
        <v>1985</v>
      </c>
      <c r="AB619" s="52"/>
      <c r="AC619" s="52"/>
      <c r="AD619" s="231">
        <v>-0.16</v>
      </c>
      <c r="AE619" s="49"/>
      <c r="AF619" s="84"/>
      <c r="AG619" s="49"/>
      <c r="AH619" s="49"/>
      <c r="AI619" s="49"/>
      <c r="AJ619" s="226"/>
      <c r="AK619" s="49"/>
      <c r="AL619" s="113">
        <f t="shared" si="278"/>
        <v>-32</v>
      </c>
      <c r="AM619" s="113">
        <f t="shared" si="273"/>
        <v>-1600</v>
      </c>
      <c r="AN619" s="218"/>
      <c r="AO619" s="49"/>
      <c r="AP619" s="49"/>
      <c r="AQ619" s="84" t="s">
        <v>142</v>
      </c>
      <c r="AR619" s="49"/>
      <c r="AS619" s="55">
        <v>-0.15</v>
      </c>
      <c r="AT619" s="55">
        <f>IF(ISBLANK(AS619),,IF(U619="S",AD619-AS619,AS619-AD619))</f>
        <v>1.0000000000000009E-2</v>
      </c>
      <c r="AU619" s="54">
        <f>AV619*R619</f>
        <v>800.00000000000068</v>
      </c>
      <c r="AV619" s="56">
        <f t="shared" ref="AV619:AV624" si="280">IF(ISBLANK(AS619),,(AT619*Z619))</f>
        <v>16.000000000000014</v>
      </c>
      <c r="AW619" s="57" t="s">
        <v>101</v>
      </c>
      <c r="AX619" s="153" t="s">
        <v>1987</v>
      </c>
      <c r="AY619" s="153"/>
      <c r="AZ619" s="153"/>
      <c r="BA619" s="153"/>
      <c r="BB619" s="153"/>
      <c r="BC619" s="153"/>
      <c r="BD619" s="151"/>
      <c r="BE619" s="152"/>
      <c r="BF619" s="151"/>
      <c r="BG619" s="94">
        <f>SUM($AV$4:AV619)</f>
        <v>3747.2239656881752</v>
      </c>
      <c r="BH619" s="95">
        <f>SUM($AU$4:AU619)</f>
        <v>55963.353506493397</v>
      </c>
      <c r="BI619" s="80">
        <f>SUMIFS($AU$3:AU620,$Q$3:Q620,"F")</f>
        <v>28242.093506493511</v>
      </c>
      <c r="BJ619" s="80">
        <f>SUMIFS($AU$3:AU620,$Q$3:Q620,"S")</f>
        <v>24880</v>
      </c>
      <c r="BK619" s="87">
        <f>SUMIFS($AU$3:AU620,$P$3:P620,"W")</f>
        <v>37323.273506493846</v>
      </c>
      <c r="BL619" s="87">
        <f>SUMIFS($AU$3:AU620,$P$3:P620,"R")</f>
        <v>18186.00000000012</v>
      </c>
      <c r="BM619" s="87">
        <f>SUMIFS($AU$3:AU620,$AQ$3:AQ620,"M")</f>
        <v>9793.3799999992334</v>
      </c>
      <c r="BN619" s="87">
        <f>SUMIFS($AU$3:AU620,$AQ$3:AQ620,"H")</f>
        <v>18483.200000000543</v>
      </c>
      <c r="BO619" s="87">
        <f>SUMIFS($AU$3:AU620,$AQ$3:AQ620,"D")</f>
        <v>13641.507142857021</v>
      </c>
      <c r="BP619" s="87">
        <f>SUMIFS($AS$3:AS1313,$AO$3:AO1313,"W")</f>
        <v>0</v>
      </c>
      <c r="BQ619" s="87">
        <f>SUMIFS($AU$3:AU620,$Q$3:Q620,"O")</f>
        <v>1417.2599999999034</v>
      </c>
      <c r="BR619" s="87">
        <f>SUMIFS($AU$3:AU620,$AA$3:AA620,"*")</f>
        <v>43189.436363636036</v>
      </c>
      <c r="BS619" s="87">
        <f>SUMIFS($AU$3:AU620,$AB$3:AB620,"*")</f>
        <v>10383.860000000041</v>
      </c>
      <c r="BT619" s="87">
        <f>SUMIFS($AU$3:AU620,$AC$3:AC620,"*")</f>
        <v>31682.093506493675</v>
      </c>
      <c r="BU619" s="87">
        <f>SUMIFS($AU$3:AU620,$AA$3:AA620,"*",$AB$3:AB620,"*")</f>
        <v>5423.9999999998217</v>
      </c>
      <c r="BV619" s="87">
        <f>SUMIFS($AU$3:AU620,$AA$3:AA620,"*",$AC$3:AC620,"*")</f>
        <v>19728.036363636533</v>
      </c>
      <c r="BW619" s="87">
        <f>SUMIFS($AU$3:AU620,$AB$3:AB620,"*",$AC$3:AC620,"*")</f>
        <v>7119.9999999999982</v>
      </c>
      <c r="BX619" s="87">
        <f>SUMIFS($AV$3:AV620,$Q$3:Q620,"F")</f>
        <v>418.22475235412151</v>
      </c>
      <c r="BY619" s="87">
        <f>SUMIFS($AV$3:AV620,$Q$3:Q620,"S")</f>
        <v>768.03991333429894</v>
      </c>
      <c r="BZ619" s="87">
        <f>SUMIFS($AV$3:AV620,$Q$3:Q620,"O")</f>
        <v>612.95929999974919</v>
      </c>
    </row>
    <row r="620" spans="1:78" ht="15.75" customHeight="1">
      <c r="A620" s="45" t="s">
        <v>1819</v>
      </c>
      <c r="B620" s="59">
        <v>45428</v>
      </c>
      <c r="C620" s="46" t="s">
        <v>147</v>
      </c>
      <c r="D620" s="46" t="s">
        <v>107</v>
      </c>
      <c r="E620" s="66"/>
      <c r="F620" s="47"/>
      <c r="G620" s="170" t="s">
        <v>1751</v>
      </c>
      <c r="H620" s="49"/>
      <c r="I620" s="49"/>
      <c r="J620" s="49"/>
      <c r="K620" s="50"/>
      <c r="L620" s="49">
        <v>1</v>
      </c>
      <c r="M620" s="49">
        <v>1</v>
      </c>
      <c r="N620" s="49"/>
      <c r="O620" s="50" t="s">
        <v>740</v>
      </c>
      <c r="P620" s="50" t="s">
        <v>126</v>
      </c>
      <c r="Q620" s="50"/>
      <c r="R620" s="50">
        <v>1</v>
      </c>
      <c r="S620" s="50">
        <v>0</v>
      </c>
      <c r="T620" s="50">
        <v>1</v>
      </c>
      <c r="U620" s="50" t="s">
        <v>102</v>
      </c>
      <c r="V620" s="50"/>
      <c r="W620" s="50"/>
      <c r="X620" s="50"/>
      <c r="Y620" s="51">
        <f>IF(ISBLANK(O620),"",(IF(O620=UPPER("IB"),0.005,0.01)))</f>
        <v>0.01</v>
      </c>
      <c r="Z620" s="52">
        <f>IF(ISBLANK(O620),"",IF(O620="IB",8.63*200,IF(O620="IR",16*100,IF(O620="YT",20*100,IF(O620="YT-XT",24*200,IF(O620="TED",80*100,IF(O620="IR|YT",300*100)))))))</f>
        <v>30000</v>
      </c>
      <c r="AA620" s="52" t="s">
        <v>1810</v>
      </c>
      <c r="AB620" s="52"/>
      <c r="AC620" s="52"/>
      <c r="AD620" s="231">
        <v>-0.21</v>
      </c>
      <c r="AE620" s="49"/>
      <c r="AF620" s="84"/>
      <c r="AG620" s="49"/>
      <c r="AH620" s="49"/>
      <c r="AI620" s="49"/>
      <c r="AJ620" s="226"/>
      <c r="AK620" s="49"/>
      <c r="AL620" s="113">
        <f t="shared" si="278"/>
        <v>-600</v>
      </c>
      <c r="AM620" s="113">
        <f t="shared" si="273"/>
        <v>-600</v>
      </c>
      <c r="AN620" s="218"/>
      <c r="AO620" s="49"/>
      <c r="AP620" s="49" t="s">
        <v>1175</v>
      </c>
      <c r="AQ620" s="84" t="s">
        <v>142</v>
      </c>
      <c r="AR620" s="49"/>
      <c r="AS620" s="55">
        <v>-0.22</v>
      </c>
      <c r="AT620" s="55">
        <f>IF(ISBLANK(AS620),,IF(U620="S",AD620-AS620,AS620-AD620))</f>
        <v>1.0000000000000009E-2</v>
      </c>
      <c r="AU620" s="54">
        <f>AV620*R620</f>
        <v>300.00000000000028</v>
      </c>
      <c r="AV620" s="56">
        <f t="shared" si="280"/>
        <v>300.00000000000028</v>
      </c>
      <c r="AW620" s="57" t="s">
        <v>101</v>
      </c>
      <c r="AX620" s="153"/>
      <c r="AY620" s="153"/>
      <c r="AZ620" s="153"/>
      <c r="BA620" s="153"/>
      <c r="BB620" s="153"/>
      <c r="BC620" s="153"/>
      <c r="BD620" s="151"/>
      <c r="BE620" s="152"/>
      <c r="BF620" s="151"/>
      <c r="BG620" s="94">
        <f>SUM($AV$4:AV620)</f>
        <v>4047.2239656881757</v>
      </c>
      <c r="BH620" s="95">
        <f>SUM($AU$4:AU620)</f>
        <v>56263.353506493397</v>
      </c>
      <c r="BI620" s="80">
        <f>SUMIFS($AU$3:AU621,$Q$3:Q621,"F")</f>
        <v>28242.093506493511</v>
      </c>
      <c r="BJ620" s="80">
        <f>SUMIFS($AU$3:AU621,$Q$3:Q621,"S")</f>
        <v>24912</v>
      </c>
      <c r="BK620" s="87">
        <f>SUMIFS($AU$3:AU621,$P$3:P621,"W")</f>
        <v>37355.273506493846</v>
      </c>
      <c r="BL620" s="87">
        <f>SUMIFS($AU$3:AU621,$P$3:P621,"R")</f>
        <v>18186.00000000012</v>
      </c>
      <c r="BM620" s="87">
        <f>SUMIFS($AU$3:AU621,$AQ$3:AQ621,"M")</f>
        <v>9793.3799999992334</v>
      </c>
      <c r="BN620" s="87">
        <f>SUMIFS($AU$3:AU621,$AQ$3:AQ621,"H")</f>
        <v>18515.200000000543</v>
      </c>
      <c r="BO620" s="87">
        <f>SUMIFS($AU$3:AU621,$AQ$3:AQ621,"D")</f>
        <v>13641.507142857021</v>
      </c>
      <c r="BP620" s="87">
        <f>SUMIFS($AS$3:AS1314,$AO$3:AO1314,"W")</f>
        <v>0</v>
      </c>
      <c r="BQ620" s="87">
        <f>SUMIFS($AU$3:AU621,$Q$3:Q621,"O")</f>
        <v>1417.2599999999034</v>
      </c>
      <c r="BR620" s="87">
        <f>SUMIFS($AU$3:AU621,$AA$3:AA621,"*")</f>
        <v>43221.436363636036</v>
      </c>
      <c r="BS620" s="87">
        <f>SUMIFS($AU$3:AU621,$AB$3:AB621,"*")</f>
        <v>10383.860000000041</v>
      </c>
      <c r="BT620" s="87">
        <f>SUMIFS($AU$3:AU621,$AC$3:AC621,"*")</f>
        <v>31682.093506493675</v>
      </c>
      <c r="BU620" s="87">
        <f>SUMIFS($AU$3:AU621,$AA$3:AA621,"*",$AB$3:AB621,"*")</f>
        <v>5423.9999999998217</v>
      </c>
      <c r="BV620" s="87">
        <f>SUMIFS($AU$3:AU621,$AA$3:AA621,"*",$AC$3:AC621,"*")</f>
        <v>19728.036363636533</v>
      </c>
      <c r="BW620" s="87">
        <f>SUMIFS($AU$3:AU621,$AB$3:AB621,"*",$AC$3:AC621,"*")</f>
        <v>7119.9999999999982</v>
      </c>
      <c r="BX620" s="87">
        <f>SUMIFS($AV$3:AV621,$Q$3:Q621,"F")</f>
        <v>418.22475235412151</v>
      </c>
      <c r="BY620" s="87">
        <f>SUMIFS($AV$3:AV621,$Q$3:Q621,"S")</f>
        <v>784.03991333429894</v>
      </c>
      <c r="BZ620" s="87">
        <f>SUMIFS($AV$3:AV621,$Q$3:Q621,"O")</f>
        <v>612.95929999974919</v>
      </c>
    </row>
    <row r="621" spans="1:78" ht="15.75" customHeight="1">
      <c r="A621" s="45" t="s">
        <v>1819</v>
      </c>
      <c r="B621" s="59">
        <v>45428</v>
      </c>
      <c r="C621" s="46" t="s">
        <v>147</v>
      </c>
      <c r="D621" s="46" t="s">
        <v>107</v>
      </c>
      <c r="E621" s="66"/>
      <c r="F621" s="47"/>
      <c r="G621" s="104" t="s">
        <v>111</v>
      </c>
      <c r="H621" s="49"/>
      <c r="I621" s="49"/>
      <c r="J621" s="49"/>
      <c r="K621" s="50"/>
      <c r="L621" s="49">
        <v>1</v>
      </c>
      <c r="M621" s="49">
        <v>1</v>
      </c>
      <c r="N621" s="49"/>
      <c r="O621" s="50" t="s">
        <v>100</v>
      </c>
      <c r="P621" s="50" t="s">
        <v>101</v>
      </c>
      <c r="Q621" s="50" t="s">
        <v>102</v>
      </c>
      <c r="R621" s="50">
        <v>2</v>
      </c>
      <c r="S621" s="50">
        <v>0</v>
      </c>
      <c r="T621" s="50">
        <v>2</v>
      </c>
      <c r="U621" s="50" t="s">
        <v>22</v>
      </c>
      <c r="V621" s="50"/>
      <c r="W621" s="50"/>
      <c r="X621" s="50"/>
      <c r="Y621" s="51">
        <f>IF(ISBLANK(O621),"",(IF(O621=UPPER("IB"),0.005,0.01)))</f>
        <v>0.01</v>
      </c>
      <c r="Z621" s="52">
        <f>IF(ISBLANK(O621),"",IF(O621="IB",8.63*200,IF(O621="IR",16*100,IF(O621="YT",20*100,IF(O621="YT-XT",24*200,IF(O621="TED",80*100,IF(O621="XT",29*200)))))))</f>
        <v>1600</v>
      </c>
      <c r="AA621" s="52" t="s">
        <v>1985</v>
      </c>
      <c r="AB621" s="52"/>
      <c r="AC621" s="52"/>
      <c r="AD621" s="231">
        <v>-0.03</v>
      </c>
      <c r="AE621" s="49"/>
      <c r="AF621" s="84"/>
      <c r="AG621" s="49"/>
      <c r="AH621" s="49"/>
      <c r="AI621" s="49"/>
      <c r="AJ621" s="226"/>
      <c r="AK621" s="49"/>
      <c r="AL621" s="113">
        <f t="shared" si="278"/>
        <v>-32</v>
      </c>
      <c r="AM621" s="113">
        <f t="shared" si="273"/>
        <v>-64</v>
      </c>
      <c r="AN621" s="218"/>
      <c r="AO621" s="49"/>
      <c r="AP621" s="49" t="s">
        <v>1175</v>
      </c>
      <c r="AQ621" s="84" t="s">
        <v>142</v>
      </c>
      <c r="AR621" s="49"/>
      <c r="AS621" s="55">
        <v>-0.02</v>
      </c>
      <c r="AT621" s="55">
        <f>IF(ISBLANK(AS621),,IF(U621="S",AD621-AS621,AS621-AD621))</f>
        <v>9.9999999999999985E-3</v>
      </c>
      <c r="AU621" s="54">
        <f>AV621*R621</f>
        <v>31.999999999999996</v>
      </c>
      <c r="AV621" s="56">
        <f t="shared" si="280"/>
        <v>15.999999999999998</v>
      </c>
      <c r="AW621" s="57" t="s">
        <v>101</v>
      </c>
      <c r="AX621" s="153"/>
      <c r="AY621" s="153"/>
      <c r="AZ621" s="153"/>
      <c r="BA621" s="153"/>
      <c r="BB621" s="153"/>
      <c r="BC621" s="153"/>
      <c r="BD621" s="151"/>
      <c r="BE621" s="152"/>
      <c r="BF621" s="151"/>
      <c r="BG621" s="94">
        <f>SUM($AV$4:AV621)</f>
        <v>4063.2239656881757</v>
      </c>
      <c r="BH621" s="95">
        <f>SUM($AU$4:AU621)</f>
        <v>56295.353506493397</v>
      </c>
      <c r="BI621" s="80">
        <f>SUMIFS($AU$3:AU622,$Q$3:Q622,"F")</f>
        <v>28242.093506493511</v>
      </c>
      <c r="BJ621" s="80">
        <f>SUMIFS($AU$3:AU622,$Q$3:Q622,"S")</f>
        <v>24912</v>
      </c>
      <c r="BK621" s="87">
        <f>SUMIFS($AU$3:AU622,$P$3:P622,"W")</f>
        <v>37355.273506493846</v>
      </c>
      <c r="BL621" s="87">
        <f>SUMIFS($AU$3:AU622,$P$3:P622,"R")</f>
        <v>18186.00000000012</v>
      </c>
      <c r="BM621" s="87">
        <f>SUMIFS($AU$3:AU622,$AQ$3:AQ622,"M")</f>
        <v>9793.3799999992334</v>
      </c>
      <c r="BN621" s="87">
        <f>SUMIFS($AU$3:AU622,$AQ$3:AQ622,"H")</f>
        <v>18515.200000000543</v>
      </c>
      <c r="BO621" s="87">
        <f>SUMIFS($AU$3:AU622,$AQ$3:AQ622,"D")</f>
        <v>13641.507142857021</v>
      </c>
      <c r="BP621" s="87">
        <f>SUMIFS($AS$3:AS1315,$AO$3:AO1315,"W")</f>
        <v>0</v>
      </c>
      <c r="BQ621" s="87">
        <f>SUMIFS($AU$3:AU622,$Q$3:Q622,"O")</f>
        <v>1417.2599999999034</v>
      </c>
      <c r="BR621" s="87">
        <f>SUMIFS($AU$3:AU622,$AA$3:AA622,"*")</f>
        <v>43221.436363636036</v>
      </c>
      <c r="BS621" s="87">
        <f>SUMIFS($AU$3:AU622,$AB$3:AB622,"*")</f>
        <v>10383.860000000041</v>
      </c>
      <c r="BT621" s="87">
        <f>SUMIFS($AU$3:AU622,$AC$3:AC622,"*")</f>
        <v>31682.093506493675</v>
      </c>
      <c r="BU621" s="87">
        <f>SUMIFS($AU$3:AU622,$AA$3:AA622,"*",$AB$3:AB622,"*")</f>
        <v>5423.9999999998217</v>
      </c>
      <c r="BV621" s="87">
        <f>SUMIFS($AU$3:AU622,$AA$3:AA622,"*",$AC$3:AC622,"*")</f>
        <v>19728.036363636533</v>
      </c>
      <c r="BW621" s="87">
        <f>SUMIFS($AU$3:AU622,$AB$3:AB622,"*",$AC$3:AC622,"*")</f>
        <v>7119.9999999999982</v>
      </c>
      <c r="BX621" s="87">
        <f>SUMIFS($AV$3:AV622,$Q$3:Q622,"F")</f>
        <v>418.22475235412151</v>
      </c>
      <c r="BY621" s="87">
        <f>SUMIFS($AV$3:AV622,$Q$3:Q622,"S")</f>
        <v>784.03991333429894</v>
      </c>
      <c r="BZ621" s="87">
        <f>SUMIFS($AV$3:AV622,$Q$3:Q622,"O")</f>
        <v>612.95929999974919</v>
      </c>
    </row>
    <row r="622" spans="1:78" ht="15.75" customHeight="1">
      <c r="A622" s="45" t="s">
        <v>1819</v>
      </c>
      <c r="B622" s="59">
        <v>45428</v>
      </c>
      <c r="C622" s="46" t="s">
        <v>1988</v>
      </c>
      <c r="D622" s="46" t="s">
        <v>107</v>
      </c>
      <c r="E622" s="66"/>
      <c r="F622" s="47"/>
      <c r="G622" s="48" t="s">
        <v>276</v>
      </c>
      <c r="H622" s="49"/>
      <c r="I622" s="49"/>
      <c r="J622" s="49"/>
      <c r="K622" s="50"/>
      <c r="L622" s="49"/>
      <c r="M622" s="49"/>
      <c r="N622" s="49"/>
      <c r="O622" s="50"/>
      <c r="P622" s="50"/>
      <c r="Q622" s="50"/>
      <c r="R622" s="50"/>
      <c r="S622" s="50"/>
      <c r="T622" s="50"/>
      <c r="U622" s="50"/>
      <c r="V622" s="50"/>
      <c r="W622" s="50"/>
      <c r="X622" s="50"/>
      <c r="Y622" s="51"/>
      <c r="Z622" s="52"/>
      <c r="AA622" s="52"/>
      <c r="AB622" s="52"/>
      <c r="AC622" s="52"/>
      <c r="AD622" s="231"/>
      <c r="AE622" s="49"/>
      <c r="AF622" s="84"/>
      <c r="AG622" s="49"/>
      <c r="AH622" s="49"/>
      <c r="AI622" s="49"/>
      <c r="AJ622" s="226"/>
      <c r="AK622" s="49"/>
      <c r="AL622" s="113">
        <f t="shared" si="278"/>
        <v>0</v>
      </c>
      <c r="AM622" s="113">
        <f t="shared" si="273"/>
        <v>0</v>
      </c>
      <c r="AN622" s="218"/>
      <c r="AO622" s="49"/>
      <c r="AP622" s="49"/>
      <c r="AQ622" s="84" t="str">
        <f>UPPER(RIGHT(Journal_Live[[#This Row],[DURATION ]]))</f>
        <v/>
      </c>
      <c r="AR622" s="49"/>
      <c r="AS622" s="55"/>
      <c r="AT622" s="55"/>
      <c r="AU622" s="54"/>
      <c r="AV622" s="56"/>
      <c r="AW622" s="57"/>
      <c r="AX622" s="153"/>
      <c r="AY622" s="153"/>
      <c r="AZ622" s="153"/>
      <c r="BA622" s="153"/>
      <c r="BB622" s="153"/>
      <c r="BC622" s="153"/>
      <c r="BD622" s="151"/>
      <c r="BE622" s="152"/>
      <c r="BF622" s="151"/>
      <c r="BG622" s="94">
        <f>SUM($AV$4:AV622)</f>
        <v>4063.2239656881757</v>
      </c>
      <c r="BH622" s="95">
        <f>SUM($AU$4:AU622)</f>
        <v>56295.353506493397</v>
      </c>
      <c r="BI622" s="80">
        <f>SUMIFS($AU$3:AU623,$Q$3:Q623,"F")</f>
        <v>28242.093506493511</v>
      </c>
      <c r="BJ622" s="80">
        <f>SUMIFS($AU$3:AU623,$Q$3:Q623,"S")</f>
        <v>24912</v>
      </c>
      <c r="BK622" s="87">
        <f>SUMIFS($AU$3:AU623,$P$3:P623,"W")</f>
        <v>37355.273506493846</v>
      </c>
      <c r="BL622" s="87">
        <f>SUMIFS($AU$3:AU623,$P$3:P623,"R")</f>
        <v>18186.00000000012</v>
      </c>
      <c r="BM622" s="87">
        <f>SUMIFS($AU$3:AU623,$AQ$3:AQ623,"M")</f>
        <v>9793.3799999992334</v>
      </c>
      <c r="BN622" s="87">
        <f>SUMIFS($AU$3:AU623,$AQ$3:AQ623,"H")</f>
        <v>18515.200000000543</v>
      </c>
      <c r="BO622" s="87">
        <f>SUMIFS($AU$3:AU623,$AQ$3:AQ623,"D")</f>
        <v>13641.507142857021</v>
      </c>
      <c r="BP622" s="87">
        <f>SUMIFS($AS$3:AS1316,$AO$3:AO1316,"W")</f>
        <v>0</v>
      </c>
      <c r="BQ622" s="87">
        <f>SUMIFS($AU$3:AU623,$Q$3:Q623,"O")</f>
        <v>1417.2599999999034</v>
      </c>
      <c r="BR622" s="87">
        <f>SUMIFS($AU$3:AU623,$AA$3:AA623,"*")</f>
        <v>43221.436363636036</v>
      </c>
      <c r="BS622" s="87">
        <f>SUMIFS($AU$3:AU623,$AB$3:AB623,"*")</f>
        <v>10383.860000000041</v>
      </c>
      <c r="BT622" s="87">
        <f>SUMIFS($AU$3:AU623,$AC$3:AC623,"*")</f>
        <v>31682.093506493675</v>
      </c>
      <c r="BU622" s="87">
        <f>SUMIFS($AU$3:AU623,$AA$3:AA623,"*",$AB$3:AB623,"*")</f>
        <v>5423.9999999998217</v>
      </c>
      <c r="BV622" s="87">
        <f>SUMIFS($AU$3:AU623,$AA$3:AA623,"*",$AC$3:AC623,"*")</f>
        <v>19728.036363636533</v>
      </c>
      <c r="BW622" s="87">
        <f>SUMIFS($AU$3:AU623,$AB$3:AB623,"*",$AC$3:AC623,"*")</f>
        <v>7119.9999999999982</v>
      </c>
      <c r="BX622" s="87">
        <f>SUMIFS($AV$3:AV623,$Q$3:Q623,"F")</f>
        <v>418.22475235412151</v>
      </c>
      <c r="BY622" s="87">
        <f>SUMIFS($AV$3:AV623,$Q$3:Q623,"S")</f>
        <v>784.03991333429894</v>
      </c>
      <c r="BZ622" s="87">
        <f>SUMIFS($AV$3:AV623,$Q$3:Q623,"O")</f>
        <v>612.95929999974919</v>
      </c>
    </row>
    <row r="623" spans="1:78" ht="15.75" customHeight="1">
      <c r="A623" s="45" t="s">
        <v>1819</v>
      </c>
      <c r="B623" s="59">
        <v>45428</v>
      </c>
      <c r="C623" s="46" t="s">
        <v>1988</v>
      </c>
      <c r="D623" s="46" t="s">
        <v>107</v>
      </c>
      <c r="E623" s="66"/>
      <c r="F623" s="47"/>
      <c r="G623" s="48" t="s">
        <v>113</v>
      </c>
      <c r="H623" s="49"/>
      <c r="I623" s="49"/>
      <c r="J623" s="49"/>
      <c r="K623" s="50"/>
      <c r="L623" s="49"/>
      <c r="M623" s="49"/>
      <c r="N623" s="49"/>
      <c r="O623" s="50"/>
      <c r="P623" s="50"/>
      <c r="Q623" s="50"/>
      <c r="R623" s="50"/>
      <c r="S623" s="50"/>
      <c r="T623" s="50"/>
      <c r="U623" s="50"/>
      <c r="V623" s="50"/>
      <c r="W623" s="50"/>
      <c r="X623" s="50"/>
      <c r="Y623" s="51"/>
      <c r="Z623" s="52"/>
      <c r="AA623" s="52"/>
      <c r="AB623" s="52"/>
      <c r="AC623" s="52"/>
      <c r="AD623" s="231"/>
      <c r="AE623" s="49"/>
      <c r="AF623" s="84"/>
      <c r="AG623" s="49"/>
      <c r="AH623" s="49"/>
      <c r="AI623" s="49"/>
      <c r="AJ623" s="226"/>
      <c r="AK623" s="49"/>
      <c r="AL623" s="113">
        <f t="shared" si="275"/>
        <v>0</v>
      </c>
      <c r="AM623" s="113">
        <f t="shared" si="273"/>
        <v>0</v>
      </c>
      <c r="AN623" s="218"/>
      <c r="AO623" s="49"/>
      <c r="AP623" s="49"/>
      <c r="AQ623" s="84" t="str">
        <f>UPPER(RIGHT(Journal_Live[[#This Row],[DURATION ]]))</f>
        <v/>
      </c>
      <c r="AR623" s="49"/>
      <c r="AS623" s="55"/>
      <c r="AT623" s="55"/>
      <c r="AU623" s="54"/>
      <c r="AV623" s="56"/>
      <c r="AW623" s="57"/>
      <c r="AX623" s="153"/>
      <c r="AY623" s="153"/>
      <c r="AZ623" s="153"/>
      <c r="BA623" s="153"/>
      <c r="BB623" s="153"/>
      <c r="BC623" s="153"/>
      <c r="BD623" s="151"/>
      <c r="BE623" s="152"/>
      <c r="BF623" s="151"/>
      <c r="BG623" s="94">
        <f>SUM($AV$4:AV623)</f>
        <v>4063.2239656881757</v>
      </c>
      <c r="BH623" s="95">
        <f>SUM($AU$4:AU623)</f>
        <v>56295.353506493397</v>
      </c>
      <c r="BI623" s="80">
        <f>SUMIFS($AU$3:AU628,$Q$3:Q628,"F")</f>
        <v>28242.093506493511</v>
      </c>
      <c r="BJ623" s="80">
        <f>SUMIFS($AU$3:AU628,$Q$3:Q628,"S")</f>
        <v>24912</v>
      </c>
      <c r="BK623" s="87">
        <f>SUMIFS($AU$3:AU628,$P$3:P628,"W")</f>
        <v>37355.273506493846</v>
      </c>
      <c r="BL623" s="87">
        <f>SUMIFS($AU$3:AU628,$P$3:P628,"R")</f>
        <v>18186.00000000012</v>
      </c>
      <c r="BM623" s="87">
        <f>SUMIFS($AU$3:AU628,$AQ$3:AQ628,"M")</f>
        <v>9793.3799999992334</v>
      </c>
      <c r="BN623" s="87">
        <f>SUMIFS($AU$3:AU628,$AQ$3:AQ628,"H")</f>
        <v>18515.200000000543</v>
      </c>
      <c r="BO623" s="87">
        <f>SUMIFS($AU$3:AU628,$AQ$3:AQ628,"D")</f>
        <v>13641.507142857021</v>
      </c>
      <c r="BP623" s="87">
        <f>SUMIFS($AS$3:AS1317,$AO$3:AO1317,"W")</f>
        <v>0</v>
      </c>
      <c r="BQ623" s="87">
        <f>SUMIFS($AU$3:AU628,$Q$3:Q628,"O")</f>
        <v>1417.2599999999034</v>
      </c>
      <c r="BR623" s="87">
        <f>SUMIFS($AU$3:AU628,$AA$3:AA628,"*")</f>
        <v>43221.436363636036</v>
      </c>
      <c r="BS623" s="87">
        <f>SUMIFS($AU$3:AU628,$AB$3:AB628,"*")</f>
        <v>10383.860000000041</v>
      </c>
      <c r="BT623" s="87">
        <f>SUMIFS($AU$3:AU628,$AC$3:AC628,"*")</f>
        <v>31682.093506493675</v>
      </c>
      <c r="BU623" s="87">
        <f>SUMIFS($AU$3:AU628,$AA$3:AA628,"*",$AB$3:AB628,"*")</f>
        <v>5423.9999999998217</v>
      </c>
      <c r="BV623" s="87">
        <f>SUMIFS($AU$3:AU628,$AA$3:AA628,"*",$AC$3:AC628,"*")</f>
        <v>19728.036363636533</v>
      </c>
      <c r="BW623" s="87">
        <f>SUMIFS($AU$3:AU628,$AB$3:AB628,"*",$AC$3:AC628,"*")</f>
        <v>7119.9999999999982</v>
      </c>
      <c r="BX623" s="87">
        <f>SUMIFS($AV$3:AV628,$Q$3:Q628,"F")</f>
        <v>418.22475235412151</v>
      </c>
      <c r="BY623" s="87">
        <f>SUMIFS($AV$3:AV628,$Q$3:Q628,"S")</f>
        <v>784.03991333429894</v>
      </c>
      <c r="BZ623" s="87">
        <f>SUMIFS($AV$3:AV628,$Q$3:Q628,"O")</f>
        <v>612.95929999974919</v>
      </c>
    </row>
    <row r="624" spans="1:78" ht="15.75" customHeight="1">
      <c r="A624" s="45" t="s">
        <v>1819</v>
      </c>
      <c r="B624" s="59">
        <v>45428</v>
      </c>
      <c r="C624" s="46" t="s">
        <v>166</v>
      </c>
      <c r="D624" s="46" t="s">
        <v>107</v>
      </c>
      <c r="E624" s="66"/>
      <c r="F624" s="47"/>
      <c r="G624" s="48" t="s">
        <v>1989</v>
      </c>
      <c r="H624" s="49"/>
      <c r="I624" s="49"/>
      <c r="J624" s="49"/>
      <c r="K624" s="50"/>
      <c r="L624" s="49"/>
      <c r="M624" s="49">
        <v>1</v>
      </c>
      <c r="N624" s="49"/>
      <c r="O624" s="50" t="s">
        <v>100</v>
      </c>
      <c r="P624" s="50" t="s">
        <v>126</v>
      </c>
      <c r="Q624" s="50" t="s">
        <v>198</v>
      </c>
      <c r="R624" s="50">
        <v>30</v>
      </c>
      <c r="S624" s="50">
        <v>0</v>
      </c>
      <c r="T624" s="50">
        <v>30</v>
      </c>
      <c r="U624" s="50" t="s">
        <v>22</v>
      </c>
      <c r="V624" s="50"/>
      <c r="W624" s="50"/>
      <c r="X624" s="50"/>
      <c r="Y624" s="51">
        <f>IF(ISBLANK(O624),"",(IF(O624=UPPER("IB"),0.005,0.01)))</f>
        <v>0.01</v>
      </c>
      <c r="Z624" s="52">
        <f>IF(ISBLANK(O624),"",IF(O624="IB",8.63*200,IF(O624="IR",16*100,IF(O624="YT",20*100,IF(O624="YT-XT",24*200,IF(O624="TED",80*100,IF(O624="XT",29*200)))))))</f>
        <v>1600</v>
      </c>
      <c r="AA624" s="52" t="s">
        <v>1990</v>
      </c>
      <c r="AB624" s="52"/>
      <c r="AC624" s="52"/>
      <c r="AD624" s="231">
        <v>96.13</v>
      </c>
      <c r="AE624" s="49"/>
      <c r="AF624" s="84"/>
      <c r="AG624" s="49"/>
      <c r="AH624" s="49"/>
      <c r="AI624" s="49"/>
      <c r="AJ624" s="226"/>
      <c r="AK624" s="49"/>
      <c r="AL624" s="113">
        <f t="shared" si="275"/>
        <v>-32</v>
      </c>
      <c r="AM624" s="113">
        <f t="shared" si="273"/>
        <v>-960</v>
      </c>
      <c r="AN624" s="218"/>
      <c r="AO624" s="49"/>
      <c r="AP624" s="49" t="s">
        <v>1112</v>
      </c>
      <c r="AQ624" s="84" t="s">
        <v>142</v>
      </c>
      <c r="AR624" s="49"/>
      <c r="AS624" s="55">
        <v>96.13</v>
      </c>
      <c r="AT624" s="55">
        <f>IF(ISBLANK(AS624),,IF(U624="S",AD624-AS624,AS624-AD624))</f>
        <v>0</v>
      </c>
      <c r="AU624" s="54">
        <f>AV624*R624</f>
        <v>0</v>
      </c>
      <c r="AV624" s="56">
        <f t="shared" si="280"/>
        <v>0</v>
      </c>
      <c r="AW624" s="57" t="s">
        <v>155</v>
      </c>
      <c r="AX624" s="153"/>
      <c r="AY624" s="153"/>
      <c r="AZ624" s="153"/>
      <c r="BA624" s="153"/>
      <c r="BB624" s="153"/>
      <c r="BC624" s="153"/>
      <c r="BD624" s="151"/>
      <c r="BE624" s="152"/>
      <c r="BF624" s="151"/>
      <c r="BG624" s="94">
        <f>SUM($AV$4:AV624)</f>
        <v>4063.2239656881757</v>
      </c>
      <c r="BH624" s="95">
        <f>SUM($AU$4:AU624)</f>
        <v>56295.353506493397</v>
      </c>
      <c r="BI624" s="80">
        <f>SUMIFS($AU$3:AU625,$Q$3:Q625,"F")</f>
        <v>28242.093506493511</v>
      </c>
      <c r="BJ624" s="80">
        <f>SUMIFS($AU$3:AU625,$Q$3:Q625,"S")</f>
        <v>24912</v>
      </c>
      <c r="BK624" s="87">
        <f>SUMIFS($AU$3:AU625,$P$3:P625,"W")</f>
        <v>37355.273506493846</v>
      </c>
      <c r="BL624" s="87">
        <f>SUMIFS($AU$3:AU625,$P$3:P625,"R")</f>
        <v>18186.00000000012</v>
      </c>
      <c r="BM624" s="87">
        <f>SUMIFS($AU$3:AU625,$AQ$3:AQ625,"M")</f>
        <v>9793.3799999992334</v>
      </c>
      <c r="BN624" s="87">
        <f>SUMIFS($AU$3:AU625,$AQ$3:AQ625,"H")</f>
        <v>18515.200000000543</v>
      </c>
      <c r="BO624" s="87">
        <f>SUMIFS($AU$3:AU625,$AQ$3:AQ625,"D")</f>
        <v>13641.507142857021</v>
      </c>
      <c r="BP624" s="87">
        <f>SUMIFS($AS$3:AS1314,$AO$3:AO1314,"W")</f>
        <v>0</v>
      </c>
      <c r="BQ624" s="87">
        <f>SUMIFS($AU$3:AU625,$Q$3:Q625,"O")</f>
        <v>1417.2599999999034</v>
      </c>
      <c r="BR624" s="87">
        <f>SUMIFS($AU$3:AU625,$AA$3:AA625,"*")</f>
        <v>43221.436363636036</v>
      </c>
      <c r="BS624" s="87">
        <f>SUMIFS($AU$3:AU625,$AB$3:AB625,"*")</f>
        <v>10383.860000000041</v>
      </c>
      <c r="BT624" s="87">
        <f>SUMIFS($AU$3:AU625,$AC$3:AC625,"*")</f>
        <v>31682.093506493675</v>
      </c>
      <c r="BU624" s="87">
        <f>SUMIFS($AU$3:AU625,$AA$3:AA625,"*",$AB$3:AB625,"*")</f>
        <v>5423.9999999998217</v>
      </c>
      <c r="BV624" s="87">
        <f>SUMIFS($AU$3:AU625,$AA$3:AA625,"*",$AC$3:AC625,"*")</f>
        <v>19728.036363636533</v>
      </c>
      <c r="BW624" s="87">
        <f>SUMIFS($AU$3:AU625,$AB$3:AB625,"*",$AC$3:AC625,"*")</f>
        <v>7119.9999999999982</v>
      </c>
      <c r="BX624" s="87">
        <f>SUMIFS($AV$3:AV625,$Q$3:Q625,"F")</f>
        <v>418.22475235412151</v>
      </c>
      <c r="BY624" s="87">
        <f>SUMIFS($AV$3:AV625,$Q$3:Q625,"S")</f>
        <v>784.03991333429894</v>
      </c>
      <c r="BZ624" s="87">
        <f>SUMIFS($AV$3:AV625,$Q$3:Q625,"O")</f>
        <v>612.95929999974919</v>
      </c>
    </row>
    <row r="625" spans="1:78" ht="15.75" customHeight="1">
      <c r="A625" s="45" t="s">
        <v>1819</v>
      </c>
      <c r="B625" s="59"/>
      <c r="C625" s="46"/>
      <c r="D625" s="46"/>
      <c r="E625" s="66"/>
      <c r="F625" s="47"/>
      <c r="G625" s="48"/>
      <c r="H625" s="49"/>
      <c r="I625" s="49"/>
      <c r="J625" s="49"/>
      <c r="K625" s="50"/>
      <c r="L625" s="49"/>
      <c r="M625" s="49"/>
      <c r="N625" s="49"/>
      <c r="O625" s="50"/>
      <c r="P625" s="50"/>
      <c r="Q625" s="50"/>
      <c r="R625" s="50"/>
      <c r="S625" s="50"/>
      <c r="T625" s="50"/>
      <c r="U625" s="50"/>
      <c r="V625" s="50"/>
      <c r="W625" s="50"/>
      <c r="X625" s="50"/>
      <c r="Y625" s="50"/>
      <c r="Z625" s="50"/>
      <c r="AA625" s="52"/>
      <c r="AB625" s="52"/>
      <c r="AC625" s="52"/>
      <c r="AD625" s="231"/>
      <c r="AE625" s="49"/>
      <c r="AF625" s="84"/>
      <c r="AG625" s="49"/>
      <c r="AH625" s="49"/>
      <c r="AI625" s="49"/>
      <c r="AJ625" s="226"/>
      <c r="AK625" s="49"/>
      <c r="AL625" s="113">
        <f t="shared" si="275"/>
        <v>0</v>
      </c>
      <c r="AM625" s="113">
        <f t="shared" si="273"/>
        <v>0</v>
      </c>
      <c r="AN625" s="218"/>
      <c r="AO625" s="49"/>
      <c r="AP625" s="49"/>
      <c r="AQ625" s="84" t="str">
        <f>UPPER(RIGHT(Journal_Live[[#This Row],[DURATION ]]))</f>
        <v/>
      </c>
      <c r="AR625" s="49"/>
      <c r="AS625" s="55"/>
      <c r="AT625" s="55"/>
      <c r="AU625" s="54"/>
      <c r="AV625" s="56"/>
      <c r="AW625" s="57"/>
      <c r="AX625" s="153" t="s">
        <v>539</v>
      </c>
      <c r="AY625" s="151" t="s">
        <v>1991</v>
      </c>
      <c r="AZ625" s="151" t="s">
        <v>1992</v>
      </c>
      <c r="BA625" s="153"/>
      <c r="BB625" s="153"/>
      <c r="BC625" s="153"/>
      <c r="BD625" s="151"/>
      <c r="BE625" s="152"/>
      <c r="BF625" s="151"/>
      <c r="BG625" s="94">
        <f>SUM($AV$4:AV625)</f>
        <v>4063.2239656881757</v>
      </c>
      <c r="BH625" s="95">
        <f>SUM($AU$4:AU625)</f>
        <v>56295.353506493397</v>
      </c>
      <c r="BI625" s="80">
        <f>SUMIFS($AU$3:AU626,$Q$3:Q626,"F")</f>
        <v>28242.093506493511</v>
      </c>
      <c r="BJ625" s="80">
        <f>SUMIFS($AU$3:AU626,$Q$3:Q626,"S")</f>
        <v>24912</v>
      </c>
      <c r="BK625" s="87">
        <f>SUMIFS($AU$3:AU626,$P$3:P626,"W")</f>
        <v>37355.273506493846</v>
      </c>
      <c r="BL625" s="87">
        <f>SUMIFS($AU$3:AU626,$P$3:P626,"R")</f>
        <v>18186.00000000012</v>
      </c>
      <c r="BM625" s="87">
        <f>SUMIFS($AU$3:AU626,$AQ$3:AQ626,"M")</f>
        <v>9793.3799999992334</v>
      </c>
      <c r="BN625" s="87">
        <f>SUMIFS($AU$3:AU626,$AQ$3:AQ626,"H")</f>
        <v>18515.200000000543</v>
      </c>
      <c r="BO625" s="87">
        <f>SUMIFS($AU$3:AU626,$AQ$3:AQ626,"D")</f>
        <v>13641.507142857021</v>
      </c>
      <c r="BP625" s="87">
        <f>SUMIFS($AS$3:AS1315,$AO$3:AO1315,"W")</f>
        <v>0</v>
      </c>
      <c r="BQ625" s="87">
        <f>SUMIFS($AU$3:AU626,$Q$3:Q626,"O")</f>
        <v>1417.2599999999034</v>
      </c>
      <c r="BR625" s="87">
        <f>SUMIFS($AU$3:AU626,$AA$3:AA626,"*")</f>
        <v>43221.436363636036</v>
      </c>
      <c r="BS625" s="87">
        <f>SUMIFS($AU$3:AU626,$AB$3:AB626,"*")</f>
        <v>10383.860000000041</v>
      </c>
      <c r="BT625" s="87">
        <f>SUMIFS($AU$3:AU626,$AC$3:AC626,"*")</f>
        <v>31682.093506493675</v>
      </c>
      <c r="BU625" s="87">
        <f>SUMIFS($AU$3:AU626,$AA$3:AA626,"*",$AB$3:AB626,"*")</f>
        <v>5423.9999999998217</v>
      </c>
      <c r="BV625" s="87">
        <f>SUMIFS($AU$3:AU626,$AA$3:AA626,"*",$AC$3:AC626,"*")</f>
        <v>19728.036363636533</v>
      </c>
      <c r="BW625" s="87">
        <f>SUMIFS($AU$3:AU626,$AB$3:AB626,"*",$AC$3:AC626,"*")</f>
        <v>7119.9999999999982</v>
      </c>
      <c r="BX625" s="87">
        <f>SUMIFS($AV$3:AV626,$Q$3:Q626,"F")</f>
        <v>418.22475235412151</v>
      </c>
      <c r="BY625" s="87">
        <f>SUMIFS($AV$3:AV626,$Q$3:Q626,"S")</f>
        <v>784.03991333429894</v>
      </c>
      <c r="BZ625" s="87">
        <f>SUMIFS($AV$3:AV626,$Q$3:Q626,"O")</f>
        <v>612.95929999974919</v>
      </c>
    </row>
    <row r="626" spans="1:78" ht="15.75" customHeight="1">
      <c r="A626" s="45" t="s">
        <v>1819</v>
      </c>
      <c r="B626" s="59">
        <v>45429</v>
      </c>
      <c r="C626" s="46" t="s">
        <v>1993</v>
      </c>
      <c r="D626" s="46" t="s">
        <v>115</v>
      </c>
      <c r="E626" s="66"/>
      <c r="F626" s="47"/>
      <c r="G626" s="104" t="s">
        <v>688</v>
      </c>
      <c r="H626" s="49"/>
      <c r="I626" s="49"/>
      <c r="J626" s="49"/>
      <c r="K626" s="50"/>
      <c r="L626" s="49">
        <v>1</v>
      </c>
      <c r="M626" s="49">
        <v>1</v>
      </c>
      <c r="N626" s="49"/>
      <c r="O626" s="50" t="s">
        <v>100</v>
      </c>
      <c r="P626" s="50" t="s">
        <v>101</v>
      </c>
      <c r="Q626" s="50" t="s">
        <v>102</v>
      </c>
      <c r="R626" s="50">
        <v>75</v>
      </c>
      <c r="S626" s="50">
        <v>0</v>
      </c>
      <c r="T626" s="50">
        <v>75</v>
      </c>
      <c r="U626" s="50" t="s">
        <v>102</v>
      </c>
      <c r="V626" s="50"/>
      <c r="W626" s="50"/>
      <c r="X626" s="50"/>
      <c r="Y626" s="51">
        <f>IF(ISBLANK(O626),"",(IF(O626=UPPER("IB"),0.005,0.01)))</f>
        <v>0.01</v>
      </c>
      <c r="Z626" s="52">
        <f>IF(ISBLANK(O626),"",IF(O626="IB",8.63*200,IF(O626="IR",16*100,IF(O626="YT",20*100,IF(O626="YT-XT",24*200,IF(O626="TED",80*100,IF(O626="XT",29*200)))))))</f>
        <v>1600</v>
      </c>
      <c r="AA626" s="52" t="s">
        <v>1994</v>
      </c>
      <c r="AB626" s="52"/>
      <c r="AC626" s="52"/>
      <c r="AD626" s="231">
        <v>-0.2</v>
      </c>
      <c r="AE626" s="49"/>
      <c r="AF626" s="84"/>
      <c r="AG626" s="49"/>
      <c r="AH626" s="49" t="s">
        <v>1995</v>
      </c>
      <c r="AI626" s="49"/>
      <c r="AJ626" s="226"/>
      <c r="AK626" s="49"/>
      <c r="AL626" s="113">
        <f t="shared" si="275"/>
        <v>-32</v>
      </c>
      <c r="AM626" s="113">
        <f t="shared" si="273"/>
        <v>-2400</v>
      </c>
      <c r="AN626" s="218" t="s">
        <v>310</v>
      </c>
      <c r="AO626" s="49"/>
      <c r="AP626" s="49"/>
      <c r="AQ626" s="84" t="s">
        <v>155</v>
      </c>
      <c r="AR626" s="49"/>
      <c r="AS626" s="55">
        <v>-0.2</v>
      </c>
      <c r="AT626" s="55">
        <f>IF(ISBLANK(AS626),,IF(U626="S",AD626-AS626,AS626-AD626))</f>
        <v>0</v>
      </c>
      <c r="AU626" s="54">
        <f>AV626*R626</f>
        <v>0</v>
      </c>
      <c r="AV626" s="56">
        <f t="shared" ref="AV626:AV633" si="281">IF(ISBLANK(AS626),,(AT626*Z626))</f>
        <v>0</v>
      </c>
      <c r="AW626" s="57" t="s">
        <v>155</v>
      </c>
      <c r="AX626" s="153"/>
      <c r="AY626" s="153"/>
      <c r="AZ626" s="153"/>
      <c r="BA626" s="153"/>
      <c r="BB626" s="153"/>
      <c r="BC626" s="153"/>
      <c r="BD626" s="151"/>
      <c r="BE626" s="152"/>
      <c r="BF626" s="151"/>
      <c r="BG626" s="94">
        <f>SUM($AV$4:AV626)</f>
        <v>4063.2239656881757</v>
      </c>
      <c r="BH626" s="95">
        <f>SUM($AU$4:AU626)</f>
        <v>56295.353506493397</v>
      </c>
      <c r="BI626" s="80">
        <f>SUMIFS($AU$3:AU627,$Q$3:Q627,"F")</f>
        <v>28242.093506493511</v>
      </c>
      <c r="BJ626" s="80">
        <f>SUMIFS($AU$3:AU627,$Q$3:Q627,"S")</f>
        <v>24912</v>
      </c>
      <c r="BK626" s="87">
        <f>SUMIFS($AU$3:AU627,$P$3:P627,"W")</f>
        <v>37355.273506493846</v>
      </c>
      <c r="BL626" s="87">
        <f>SUMIFS($AU$3:AU627,$P$3:P627,"R")</f>
        <v>18186.00000000012</v>
      </c>
      <c r="BM626" s="87">
        <f>SUMIFS($AU$3:AU627,$AQ$3:AQ627,"M")</f>
        <v>9793.3799999992334</v>
      </c>
      <c r="BN626" s="87">
        <f>SUMIFS($AU$3:AU627,$AQ$3:AQ627,"H")</f>
        <v>18515.200000000543</v>
      </c>
      <c r="BO626" s="87">
        <f>SUMIFS($AU$3:AU627,$AQ$3:AQ627,"D")</f>
        <v>13641.507142857021</v>
      </c>
      <c r="BP626" s="87">
        <f>SUMIFS($AS$3:AS1316,$AO$3:AO1316,"W")</f>
        <v>0</v>
      </c>
      <c r="BQ626" s="87">
        <f>SUMIFS($AU$3:AU627,$Q$3:Q627,"O")</f>
        <v>1417.2599999999034</v>
      </c>
      <c r="BR626" s="87">
        <f>SUMIFS($AU$3:AU627,$AA$3:AA627,"*")</f>
        <v>43221.436363636036</v>
      </c>
      <c r="BS626" s="87">
        <f>SUMIFS($AU$3:AU627,$AB$3:AB627,"*")</f>
        <v>10383.860000000041</v>
      </c>
      <c r="BT626" s="87">
        <f>SUMIFS($AU$3:AU627,$AC$3:AC627,"*")</f>
        <v>31682.093506493675</v>
      </c>
      <c r="BU626" s="87">
        <f>SUMIFS($AU$3:AU627,$AA$3:AA627,"*",$AB$3:AB627,"*")</f>
        <v>5423.9999999998217</v>
      </c>
      <c r="BV626" s="87">
        <f>SUMIFS($AU$3:AU627,$AA$3:AA627,"*",$AC$3:AC627,"*")</f>
        <v>19728.036363636533</v>
      </c>
      <c r="BW626" s="87">
        <f>SUMIFS($AU$3:AU627,$AB$3:AB627,"*",$AC$3:AC627,"*")</f>
        <v>7119.9999999999982</v>
      </c>
      <c r="BX626" s="87">
        <f>SUMIFS($AV$3:AV627,$Q$3:Q627,"F")</f>
        <v>418.22475235412151</v>
      </c>
      <c r="BY626" s="87">
        <f>SUMIFS($AV$3:AV627,$Q$3:Q627,"S")</f>
        <v>784.03991333429894</v>
      </c>
      <c r="BZ626" s="87">
        <f>SUMIFS($AV$3:AV627,$Q$3:Q627,"O")</f>
        <v>612.95929999974919</v>
      </c>
    </row>
    <row r="627" spans="1:78" ht="15.75" customHeight="1">
      <c r="A627" s="45" t="s">
        <v>1819</v>
      </c>
      <c r="B627" s="59">
        <v>45429</v>
      </c>
      <c r="C627" s="46" t="s">
        <v>1996</v>
      </c>
      <c r="D627" s="46" t="s">
        <v>115</v>
      </c>
      <c r="E627" s="66"/>
      <c r="F627" s="47"/>
      <c r="G627" s="104" t="s">
        <v>463</v>
      </c>
      <c r="H627" s="49"/>
      <c r="I627" s="49"/>
      <c r="J627" s="49"/>
      <c r="K627" s="50"/>
      <c r="L627" s="49">
        <v>1</v>
      </c>
      <c r="M627" s="49">
        <v>1</v>
      </c>
      <c r="N627" s="49"/>
      <c r="O627" s="50" t="s">
        <v>100</v>
      </c>
      <c r="P627" s="50" t="s">
        <v>101</v>
      </c>
      <c r="Q627" s="50" t="s">
        <v>102</v>
      </c>
      <c r="R627" s="50">
        <v>75</v>
      </c>
      <c r="S627" s="50">
        <v>0</v>
      </c>
      <c r="T627" s="50">
        <v>75</v>
      </c>
      <c r="U627" s="50" t="s">
        <v>102</v>
      </c>
      <c r="V627" s="50"/>
      <c r="W627" s="50"/>
      <c r="X627" s="50"/>
      <c r="Y627" s="51">
        <f>IF(ISBLANK(O627),"",(IF(O627=UPPER("IB"),0.005,0.01)))</f>
        <v>0.01</v>
      </c>
      <c r="Z627" s="52">
        <f>IF(ISBLANK(O627),"",IF(O627="IB",8.63*200,IF(O627="IR",16*100,IF(O627="YT",20*100,IF(O627="YT-XT",24*200,IF(O627="TED",80*100,IF(O627="XT",29*200)))))))</f>
        <v>1600</v>
      </c>
      <c r="AA627" s="52" t="s">
        <v>1994</v>
      </c>
      <c r="AB627" s="52"/>
      <c r="AC627" s="52" t="s">
        <v>1997</v>
      </c>
      <c r="AD627" s="231">
        <v>-0.15</v>
      </c>
      <c r="AE627" s="49"/>
      <c r="AF627" s="84"/>
      <c r="AG627" s="49"/>
      <c r="AH627" s="49" t="s">
        <v>1998</v>
      </c>
      <c r="AI627" s="49"/>
      <c r="AJ627" s="226"/>
      <c r="AK627" s="49"/>
      <c r="AL627" s="113">
        <f t="shared" si="275"/>
        <v>-32</v>
      </c>
      <c r="AM627" s="113">
        <f t="shared" si="273"/>
        <v>-2400</v>
      </c>
      <c r="AN627" s="218" t="s">
        <v>310</v>
      </c>
      <c r="AO627" s="49"/>
      <c r="AP627" s="49"/>
      <c r="AQ627" s="84" t="s">
        <v>155</v>
      </c>
      <c r="AR627" s="49"/>
      <c r="AS627" s="55">
        <v>-0.15</v>
      </c>
      <c r="AT627" s="55">
        <f>IF(ISBLANK(AS627),,IF(U627="S",AD627-AS627,AS627-AD627))</f>
        <v>0</v>
      </c>
      <c r="AU627" s="54">
        <f>AV627*R627</f>
        <v>0</v>
      </c>
      <c r="AV627" s="56">
        <f t="shared" si="281"/>
        <v>0</v>
      </c>
      <c r="AW627" s="57" t="s">
        <v>155</v>
      </c>
      <c r="AX627" s="153" t="s">
        <v>1999</v>
      </c>
      <c r="AY627" s="153"/>
      <c r="AZ627" s="153"/>
      <c r="BA627" s="153"/>
      <c r="BB627" s="153"/>
      <c r="BC627" s="153"/>
      <c r="BD627" s="151"/>
      <c r="BE627" s="152"/>
      <c r="BF627" s="151"/>
      <c r="BG627" s="94">
        <f>SUM($AV$4:AV627)</f>
        <v>4063.2239656881757</v>
      </c>
      <c r="BH627" s="95">
        <f>SUM($AU$4:AU627)</f>
        <v>56295.353506493397</v>
      </c>
      <c r="BI627" s="80">
        <f>SUMIFS($AU$3:AU628,$Q$3:Q628,"F")</f>
        <v>28242.093506493511</v>
      </c>
      <c r="BJ627" s="80">
        <f>SUMIFS($AU$3:AU628,$Q$3:Q628,"S")</f>
        <v>24912</v>
      </c>
      <c r="BK627" s="87">
        <f>SUMIFS($AU$3:AU628,$P$3:P628,"W")</f>
        <v>37355.273506493846</v>
      </c>
      <c r="BL627" s="87">
        <f>SUMIFS($AU$3:AU628,$P$3:P628,"R")</f>
        <v>18186.00000000012</v>
      </c>
      <c r="BM627" s="87">
        <f>SUMIFS($AU$3:AU628,$AQ$3:AQ628,"M")</f>
        <v>9793.3799999992334</v>
      </c>
      <c r="BN627" s="87">
        <f>SUMIFS($AU$3:AU628,$AQ$3:AQ628,"H")</f>
        <v>18515.200000000543</v>
      </c>
      <c r="BO627" s="87">
        <f>SUMIFS($AU$3:AU628,$AQ$3:AQ628,"D")</f>
        <v>13641.507142857021</v>
      </c>
      <c r="BP627" s="87">
        <f>SUMIFS($AS$3:AS1317,$AO$3:AO1317,"W")</f>
        <v>0</v>
      </c>
      <c r="BQ627" s="87">
        <f>SUMIFS($AU$3:AU628,$Q$3:Q628,"O")</f>
        <v>1417.2599999999034</v>
      </c>
      <c r="BR627" s="87">
        <f>SUMIFS($AU$3:AU628,$AA$3:AA628,"*")</f>
        <v>43221.436363636036</v>
      </c>
      <c r="BS627" s="87">
        <f>SUMIFS($AU$3:AU628,$AB$3:AB628,"*")</f>
        <v>10383.860000000041</v>
      </c>
      <c r="BT627" s="87">
        <f>SUMIFS($AU$3:AU628,$AC$3:AC628,"*")</f>
        <v>31682.093506493675</v>
      </c>
      <c r="BU627" s="87">
        <f>SUMIFS($AU$3:AU628,$AA$3:AA628,"*",$AB$3:AB628,"*")</f>
        <v>5423.9999999998217</v>
      </c>
      <c r="BV627" s="87">
        <f>SUMIFS($AU$3:AU628,$AA$3:AA628,"*",$AC$3:AC628,"*")</f>
        <v>19728.036363636533</v>
      </c>
      <c r="BW627" s="87">
        <f>SUMIFS($AU$3:AU628,$AB$3:AB628,"*",$AC$3:AC628,"*")</f>
        <v>7119.9999999999982</v>
      </c>
      <c r="BX627" s="87">
        <f>SUMIFS($AV$3:AV628,$Q$3:Q628,"F")</f>
        <v>418.22475235412151</v>
      </c>
      <c r="BY627" s="87">
        <f>SUMIFS($AV$3:AV628,$Q$3:Q628,"S")</f>
        <v>784.03991333429894</v>
      </c>
      <c r="BZ627" s="87">
        <f>SUMIFS($AV$3:AV628,$Q$3:Q628,"O")</f>
        <v>612.95929999974919</v>
      </c>
    </row>
    <row r="628" spans="1:78" ht="15.75" customHeight="1">
      <c r="A628" s="45" t="s">
        <v>1819</v>
      </c>
      <c r="B628" s="59"/>
      <c r="C628" s="46"/>
      <c r="D628" s="46"/>
      <c r="E628" s="66"/>
      <c r="F628" s="47"/>
      <c r="G628" s="48"/>
      <c r="H628" s="49"/>
      <c r="I628" s="49"/>
      <c r="J628" s="49"/>
      <c r="K628" s="50"/>
      <c r="L628" s="49"/>
      <c r="M628" s="49"/>
      <c r="N628" s="49"/>
      <c r="O628" s="50"/>
      <c r="P628" s="50"/>
      <c r="Q628" s="50"/>
      <c r="R628" s="50"/>
      <c r="S628" s="50"/>
      <c r="T628" s="50"/>
      <c r="U628" s="50"/>
      <c r="V628" s="50"/>
      <c r="W628" s="50"/>
      <c r="X628" s="50"/>
      <c r="Y628" s="51"/>
      <c r="Z628" s="52"/>
      <c r="AA628" s="52"/>
      <c r="AB628" s="52"/>
      <c r="AC628" s="52"/>
      <c r="AD628" s="231"/>
      <c r="AE628" s="49"/>
      <c r="AF628" s="84"/>
      <c r="AG628" s="49"/>
      <c r="AH628" s="49"/>
      <c r="AI628" s="49"/>
      <c r="AJ628" s="226"/>
      <c r="AK628" s="49"/>
      <c r="AL628" s="113">
        <f t="shared" si="261"/>
        <v>0</v>
      </c>
      <c r="AM628" s="113">
        <f t="shared" si="273"/>
        <v>0</v>
      </c>
      <c r="AN628" s="218"/>
      <c r="AO628" s="49"/>
      <c r="AP628" s="49"/>
      <c r="AQ628" s="84" t="str">
        <f>UPPER(RIGHT(Journal_Live[[#This Row],[DURATION ]]))</f>
        <v/>
      </c>
      <c r="AR628" s="49"/>
      <c r="AS628" s="55"/>
      <c r="AT628" s="55"/>
      <c r="AU628" s="54"/>
      <c r="AV628" s="56"/>
      <c r="AW628" s="57"/>
      <c r="AX628" s="153" t="s">
        <v>2000</v>
      </c>
      <c r="AY628" s="153" t="s">
        <v>2001</v>
      </c>
      <c r="AZ628" s="153" t="s">
        <v>893</v>
      </c>
      <c r="BA628" s="153"/>
      <c r="BB628" s="153"/>
      <c r="BC628" s="153"/>
      <c r="BD628" s="151"/>
      <c r="BE628" s="152"/>
      <c r="BF628" s="151"/>
      <c r="BG628" s="94">
        <f>SUM($AV$4:AV628)</f>
        <v>4063.2239656881757</v>
      </c>
      <c r="BH628" s="95">
        <f>SUM($AU$4:AU628)</f>
        <v>56295.353506493397</v>
      </c>
      <c r="BI628" s="80">
        <f>SUMIFS($AU$3:AU997,$Q$3:Q997,"F")</f>
        <v>28758.758121878131</v>
      </c>
      <c r="BJ628" s="80">
        <f>SUMIFS($AU$3:AU997,$Q$3:Q997,"S")</f>
        <v>18338.285714285717</v>
      </c>
      <c r="BK628" s="87">
        <f>SUMIFS($AU$3:AU997,$P$3:P997,"W")</f>
        <v>16085.423836163443</v>
      </c>
      <c r="BL628" s="87">
        <f>SUMIFS($AU$3:AU997,$P$3:P997,"R")</f>
        <v>23278.800000000327</v>
      </c>
      <c r="BM628" s="87">
        <f>SUMIFS($AU$3:AU997,$AQ$3:AQ997,"M")</f>
        <v>9563.1799999983832</v>
      </c>
      <c r="BN628" s="87">
        <f>SUMIFS($AU$3:AU997,$AQ$3:AQ997,"H")</f>
        <v>12587.200000000877</v>
      </c>
      <c r="BO628" s="87">
        <f>SUMIFS($AU$3:AU997,$AQ$3:AQ997,"D")</f>
        <v>11195.57747252718</v>
      </c>
      <c r="BP628" s="87">
        <f>SUMIFS($AS$3:AS1318,$AO$3:AO1318,"W")</f>
        <v>0</v>
      </c>
      <c r="BQ628" s="87">
        <f>SUMIFS($AU$3:AU997,$Q$3:Q997,"O")</f>
        <v>-9366.1400000007852</v>
      </c>
      <c r="BR628" s="87">
        <f>SUMIFS($AU$3:AU997,$AA$3:AA997,"*")</f>
        <v>39156.002077921221</v>
      </c>
      <c r="BS628" s="87">
        <f>SUMIFS($AU$3:AU997,$AB$3:AB997,"*")</f>
        <v>7005.8599999997941</v>
      </c>
      <c r="BT628" s="87">
        <f>SUMIFS($AU$3:AU997,$AC$3:AC997,"*")</f>
        <v>31968.358121878122</v>
      </c>
      <c r="BU628" s="87">
        <f>SUMIFS($AU$3:AU997,$AA$3:AA997,"*",$AB$3:AB997,"*")</f>
        <v>7301.9999999995771</v>
      </c>
      <c r="BV628" s="87">
        <f>SUMIFS($AU$3:AU997,$AA$3:AA997,"*",$AC$3:AC997,"*")</f>
        <v>29949.316363636532</v>
      </c>
      <c r="BW628" s="87">
        <f>SUMIFS($AU$3:AU997,$AB$3:AB997,"*",$AC$3:AC997,"*")</f>
        <v>3739.199999999998</v>
      </c>
      <c r="BX628" s="87">
        <f>SUMIFS($AV$3:AV997,$Q$3:Q997,"F")</f>
        <v>396.72999236351012</v>
      </c>
      <c r="BY628" s="87">
        <f>SUMIFS($AV$3:AV997,$Q$3:Q997,"S")</f>
        <v>775.76285705724263</v>
      </c>
      <c r="BZ628" s="87">
        <f>SUMIFS($AV$3:AV997,$Q$3:Q997,"O")</f>
        <v>569.29929999965555</v>
      </c>
    </row>
    <row r="629" spans="1:78" ht="15.75" customHeight="1">
      <c r="A629" s="45" t="s">
        <v>1819</v>
      </c>
      <c r="B629" s="59">
        <v>45432</v>
      </c>
      <c r="C629" s="46" t="s">
        <v>97</v>
      </c>
      <c r="D629" s="46" t="s">
        <v>176</v>
      </c>
      <c r="E629" s="66"/>
      <c r="F629" s="47"/>
      <c r="G629" s="104" t="s">
        <v>348</v>
      </c>
      <c r="H629" s="49"/>
      <c r="I629" s="49"/>
      <c r="J629" s="49"/>
      <c r="K629" s="50"/>
      <c r="L629" s="49"/>
      <c r="M629" s="49">
        <v>1</v>
      </c>
      <c r="N629" s="49"/>
      <c r="O629" s="50" t="s">
        <v>100</v>
      </c>
      <c r="P629" s="50" t="s">
        <v>126</v>
      </c>
      <c r="Q629" s="50" t="s">
        <v>198</v>
      </c>
      <c r="R629" s="50">
        <v>20</v>
      </c>
      <c r="S629" s="50">
        <v>0</v>
      </c>
      <c r="T629" s="50">
        <v>20</v>
      </c>
      <c r="U629" s="50" t="s">
        <v>102</v>
      </c>
      <c r="V629" s="50"/>
      <c r="W629" s="50"/>
      <c r="X629" s="50"/>
      <c r="Y629" s="51">
        <f t="shared" ref="Y629:Y636" si="282">IF(ISBLANK(O629),"",(IF(O629=UPPER("IB"),0.005,0.01)))</f>
        <v>0.01</v>
      </c>
      <c r="Z629" s="52">
        <f>IF(ISBLANK(O629),"",IF(O629="IB",8.63*200,IF(O629="IR",16*100,IF(O629="YT",20*100,IF(O629="YT-XT",24*200,IF(O629="TED",80*100,IF(O629="XT",29*200)))))))</f>
        <v>1600</v>
      </c>
      <c r="AA629" s="52" t="s">
        <v>2002</v>
      </c>
      <c r="AB629" s="52"/>
      <c r="AC629" s="52"/>
      <c r="AD629" s="231">
        <v>95.95</v>
      </c>
      <c r="AE629" s="49"/>
      <c r="AF629" s="84"/>
      <c r="AG629" s="49"/>
      <c r="AH629" s="49"/>
      <c r="AI629" s="49"/>
      <c r="AJ629" s="226"/>
      <c r="AK629" s="49"/>
      <c r="AL629" s="113">
        <f t="shared" ref="AL629:AL633" si="283">-0.02*Z629</f>
        <v>-32</v>
      </c>
      <c r="AM629" s="113">
        <f t="shared" si="273"/>
        <v>-640</v>
      </c>
      <c r="AN629" s="218" t="s">
        <v>2003</v>
      </c>
      <c r="AO629" s="49"/>
      <c r="AP629" s="49" t="s">
        <v>104</v>
      </c>
      <c r="AQ629" s="84" t="s">
        <v>142</v>
      </c>
      <c r="AR629" s="49" t="s">
        <v>2004</v>
      </c>
      <c r="AS629" s="55">
        <v>95.94</v>
      </c>
      <c r="AT629" s="55">
        <f t="shared" ref="AT629:AT636" si="284">IF(ISBLANK(AS629),,IF(U629="S",AD629-AS629,AS629-AD629))</f>
        <v>1.0000000000005116E-2</v>
      </c>
      <c r="AU629" s="54">
        <f t="shared" ref="AU629:AU636" si="285">AV629*R629</f>
        <v>320.00000000016371</v>
      </c>
      <c r="AV629" s="56">
        <f t="shared" si="281"/>
        <v>16.000000000008185</v>
      </c>
      <c r="AW629" s="57" t="s">
        <v>101</v>
      </c>
      <c r="AX629" s="153" t="s">
        <v>2005</v>
      </c>
      <c r="AY629" s="153"/>
      <c r="AZ629" s="153"/>
      <c r="BA629" s="153"/>
      <c r="BB629" s="153"/>
      <c r="BC629" s="153"/>
      <c r="BD629" s="151"/>
      <c r="BE629" s="152"/>
      <c r="BF629" s="151"/>
      <c r="BG629" s="94">
        <f>SUM($AV$4:AV629)</f>
        <v>4079.2239656881839</v>
      </c>
      <c r="BH629" s="95">
        <f>SUM($AU$4:AU629)</f>
        <v>56615.353506493557</v>
      </c>
      <c r="BI629" s="80">
        <f>SUMIFS($AU$3:AU630,$Q$3:Q630,"F")</f>
        <v>28242.093506493511</v>
      </c>
      <c r="BJ629" s="80">
        <f>SUMIFS($AU$3:AU630,$Q$3:Q630,"S")</f>
        <v>26192</v>
      </c>
      <c r="BK629" s="87">
        <f>SUMIFS($AU$3:AU630,$P$3:P630,"W")</f>
        <v>38635.273506493846</v>
      </c>
      <c r="BL629" s="87">
        <f>SUMIFS($AU$3:AU630,$P$3:P630,"R")</f>
        <v>18506.000000000284</v>
      </c>
      <c r="BM629" s="87">
        <f>SUMIFS($AU$3:AU630,$AQ$3:AQ630,"M")</f>
        <v>9793.3799999992334</v>
      </c>
      <c r="BN629" s="87">
        <f>SUMIFS($AU$3:AU630,$AQ$3:AQ630,"H")</f>
        <v>20115.200000000706</v>
      </c>
      <c r="BO629" s="87">
        <f>SUMIFS($AU$3:AU630,$AQ$3:AQ630,"D")</f>
        <v>13641.507142857021</v>
      </c>
      <c r="BP629" s="87">
        <f>SUMIFS($AS$3:AS1311,$AO$3:AO1311,"W")</f>
        <v>0</v>
      </c>
      <c r="BQ629" s="87">
        <f>SUMIFS($AU$3:AU630,$Q$3:Q630,"O")</f>
        <v>1737.2600000000671</v>
      </c>
      <c r="BR629" s="87">
        <f>SUMIFS($AU$3:AU630,$AA$3:AA630,"*")</f>
        <v>44821.436363636196</v>
      </c>
      <c r="BS629" s="87">
        <f>SUMIFS($AU$3:AU630,$AB$3:AB630,"*")</f>
        <v>10383.860000000041</v>
      </c>
      <c r="BT629" s="87">
        <f>SUMIFS($AU$3:AU630,$AC$3:AC630,"*")</f>
        <v>31682.093506493675</v>
      </c>
      <c r="BU629" s="87">
        <f>SUMIFS($AU$3:AU630,$AA$3:AA630,"*",$AB$3:AB630,"*")</f>
        <v>5423.9999999998217</v>
      </c>
      <c r="BV629" s="87">
        <f>SUMIFS($AU$3:AU630,$AA$3:AA630,"*",$AC$3:AC630,"*")</f>
        <v>19728.036363636533</v>
      </c>
      <c r="BW629" s="87">
        <f>SUMIFS($AU$3:AU630,$AB$3:AB630,"*",$AC$3:AC630,"*")</f>
        <v>7119.9999999999982</v>
      </c>
      <c r="BX629" s="87">
        <f>SUMIFS($AV$3:AV630,$Q$3:Q630,"F")</f>
        <v>418.22475235412151</v>
      </c>
      <c r="BY629" s="87">
        <f>SUMIFS($AV$3:AV630,$Q$3:Q630,"S")</f>
        <v>800.03991333429894</v>
      </c>
      <c r="BZ629" s="87">
        <f>SUMIFS($AV$3:AV630,$Q$3:Q630,"O")</f>
        <v>628.95929999975738</v>
      </c>
    </row>
    <row r="630" spans="1:78" ht="15.75" customHeight="1">
      <c r="A630" s="45" t="s">
        <v>1819</v>
      </c>
      <c r="B630" s="59">
        <v>45432</v>
      </c>
      <c r="C630" s="46" t="s">
        <v>97</v>
      </c>
      <c r="D630" s="46" t="s">
        <v>176</v>
      </c>
      <c r="E630" s="66"/>
      <c r="F630" s="47"/>
      <c r="G630" s="104" t="s">
        <v>466</v>
      </c>
      <c r="H630" s="49"/>
      <c r="I630" s="49"/>
      <c r="J630" s="49"/>
      <c r="K630" s="50"/>
      <c r="L630" s="49"/>
      <c r="M630" s="49">
        <v>1</v>
      </c>
      <c r="N630" s="49"/>
      <c r="O630" s="50" t="s">
        <v>100</v>
      </c>
      <c r="P630" s="50" t="s">
        <v>101</v>
      </c>
      <c r="Q630" s="50" t="s">
        <v>102</v>
      </c>
      <c r="R630" s="50">
        <v>80</v>
      </c>
      <c r="S630" s="50">
        <v>0</v>
      </c>
      <c r="T630" s="50">
        <v>80</v>
      </c>
      <c r="U630" s="50" t="s">
        <v>22</v>
      </c>
      <c r="V630" s="50"/>
      <c r="W630" s="50"/>
      <c r="X630" s="50"/>
      <c r="Y630" s="51">
        <f t="shared" si="282"/>
        <v>0.01</v>
      </c>
      <c r="Z630" s="52">
        <f>IF(ISBLANK(O630),"",IF(O630="IB",8.63*200,IF(O630="IR",16*100,IF(O630="YT",20*100,IF(O630="YT-XT",24*200,IF(O630="TED",80*100,IF(O630="XT",29*200)))))))</f>
        <v>1600</v>
      </c>
      <c r="AA630" s="52" t="s">
        <v>2006</v>
      </c>
      <c r="AB630" s="52"/>
      <c r="AC630" s="52"/>
      <c r="AD630" s="231">
        <v>-0.16</v>
      </c>
      <c r="AE630" s="49"/>
      <c r="AF630" s="84"/>
      <c r="AG630" s="49"/>
      <c r="AH630" s="49"/>
      <c r="AI630" s="49"/>
      <c r="AJ630" s="226"/>
      <c r="AK630" s="49"/>
      <c r="AL630" s="113">
        <f t="shared" si="283"/>
        <v>-32</v>
      </c>
      <c r="AM630" s="113">
        <f t="shared" si="273"/>
        <v>-2560</v>
      </c>
      <c r="AN630" s="218" t="s">
        <v>2007</v>
      </c>
      <c r="AO630" s="49"/>
      <c r="AP630" s="49" t="s">
        <v>1112</v>
      </c>
      <c r="AQ630" s="84" t="s">
        <v>142</v>
      </c>
      <c r="AR630" s="49" t="s">
        <v>2008</v>
      </c>
      <c r="AS630" s="55">
        <v>-0.15</v>
      </c>
      <c r="AT630" s="55">
        <f t="shared" si="284"/>
        <v>1.0000000000000009E-2</v>
      </c>
      <c r="AU630" s="54">
        <f t="shared" si="285"/>
        <v>1280.0000000000011</v>
      </c>
      <c r="AV630" s="56">
        <f t="shared" si="281"/>
        <v>16.000000000000014</v>
      </c>
      <c r="AW630" s="57" t="s">
        <v>101</v>
      </c>
      <c r="AX630" s="153" t="s">
        <v>2009</v>
      </c>
      <c r="AY630" s="153"/>
      <c r="AZ630" s="153"/>
      <c r="BA630" s="153"/>
      <c r="BB630" s="153"/>
      <c r="BC630" s="153"/>
      <c r="BD630" s="151"/>
      <c r="BE630" s="152"/>
      <c r="BF630" s="151"/>
      <c r="BG630" s="94">
        <f>SUM($AV$4:AV630)</f>
        <v>4095.2239656881839</v>
      </c>
      <c r="BH630" s="95">
        <f>SUM($AU$4:AU630)</f>
        <v>57895.353506493557</v>
      </c>
      <c r="BI630" s="80">
        <f>SUMIFS($AU$3:AU631,$Q$3:Q631,"F")</f>
        <v>28242.093506493511</v>
      </c>
      <c r="BJ630" s="80">
        <f>SUMIFS($AU$3:AU631,$Q$3:Q631,"S")</f>
        <v>26192</v>
      </c>
      <c r="BK630" s="87">
        <f>SUMIFS($AU$3:AU631,$P$3:P631,"W")</f>
        <v>38635.273506493846</v>
      </c>
      <c r="BL630" s="87">
        <f>SUMIFS($AU$3:AU631,$P$3:P631,"R")</f>
        <v>18506.000000000284</v>
      </c>
      <c r="BM630" s="87">
        <f>SUMIFS($AU$3:AU631,$AQ$3:AQ631,"M")</f>
        <v>9793.3799999992334</v>
      </c>
      <c r="BN630" s="87">
        <f>SUMIFS($AU$3:AU631,$AQ$3:AQ631,"H")</f>
        <v>20115.200000000706</v>
      </c>
      <c r="BO630" s="87">
        <f>SUMIFS($AU$3:AU631,$AQ$3:AQ631,"D")</f>
        <v>13641.507142857021</v>
      </c>
      <c r="BP630" s="87">
        <f>SUMIFS($AS$3:AS1312,$AO$3:AO1312,"W")</f>
        <v>0</v>
      </c>
      <c r="BQ630" s="87">
        <f>SUMIFS($AU$3:AU631,$Q$3:Q631,"O")</f>
        <v>1737.2600000000671</v>
      </c>
      <c r="BR630" s="87">
        <f>SUMIFS($AU$3:AU631,$AA$3:AA631,"*")</f>
        <v>44821.436363636196</v>
      </c>
      <c r="BS630" s="87">
        <f>SUMIFS($AU$3:AU631,$AB$3:AB631,"*")</f>
        <v>10383.860000000041</v>
      </c>
      <c r="BT630" s="87">
        <f>SUMIFS($AU$3:AU631,$AC$3:AC631,"*")</f>
        <v>31682.093506493675</v>
      </c>
      <c r="BU630" s="87">
        <f>SUMIFS($AU$3:AU631,$AA$3:AA631,"*",$AB$3:AB631,"*")</f>
        <v>5423.9999999998217</v>
      </c>
      <c r="BV630" s="87">
        <f>SUMIFS($AU$3:AU631,$AA$3:AA631,"*",$AC$3:AC631,"*")</f>
        <v>19728.036363636533</v>
      </c>
      <c r="BW630" s="87">
        <f>SUMIFS($AU$3:AU631,$AB$3:AB631,"*",$AC$3:AC631,"*")</f>
        <v>7119.9999999999982</v>
      </c>
      <c r="BX630" s="87">
        <f>SUMIFS($AV$3:AV631,$Q$3:Q631,"F")</f>
        <v>418.22475235412151</v>
      </c>
      <c r="BY630" s="87">
        <f>SUMIFS($AV$3:AV631,$Q$3:Q631,"S")</f>
        <v>800.03991333429894</v>
      </c>
      <c r="BZ630" s="87">
        <f>SUMIFS($AV$3:AV631,$Q$3:Q631,"O")</f>
        <v>628.95929999975738</v>
      </c>
    </row>
    <row r="631" spans="1:78" ht="15.75" customHeight="1">
      <c r="A631" s="45" t="s">
        <v>1819</v>
      </c>
      <c r="B631" s="59">
        <v>45432</v>
      </c>
      <c r="C631" s="46" t="s">
        <v>2010</v>
      </c>
      <c r="D631" s="46" t="s">
        <v>176</v>
      </c>
      <c r="E631" s="66"/>
      <c r="F631" s="47"/>
      <c r="G631" s="174" t="s">
        <v>1751</v>
      </c>
      <c r="H631" s="49"/>
      <c r="I631" s="49"/>
      <c r="J631" s="49"/>
      <c r="K631" s="50"/>
      <c r="L631" s="49"/>
      <c r="M631" s="49">
        <v>1</v>
      </c>
      <c r="N631" s="49"/>
      <c r="O631" s="50" t="s">
        <v>740</v>
      </c>
      <c r="P631" s="50" t="s">
        <v>126</v>
      </c>
      <c r="Q631" s="50"/>
      <c r="R631" s="50">
        <v>1</v>
      </c>
      <c r="S631" s="50">
        <v>0</v>
      </c>
      <c r="T631" s="50">
        <v>1</v>
      </c>
      <c r="U631" s="50" t="s">
        <v>102</v>
      </c>
      <c r="V631" s="50"/>
      <c r="W631" s="50"/>
      <c r="X631" s="50"/>
      <c r="Y631" s="51">
        <f t="shared" si="282"/>
        <v>0.01</v>
      </c>
      <c r="Z631" s="52">
        <f>IF(ISBLANK(O631),"",IF(O631="IB",8.63*200,IF(O631="IR",16*100,IF(O631="YT",20*100,IF(O631="YT-XT",24*200,IF(O631="TED",80*100,IF(O631="IR|YT",300*100)))))))</f>
        <v>30000</v>
      </c>
      <c r="AA631" s="52" t="s">
        <v>177</v>
      </c>
      <c r="AB631" s="52"/>
      <c r="AC631" s="52"/>
      <c r="AD631" s="231">
        <v>-0.2</v>
      </c>
      <c r="AE631" s="49"/>
      <c r="AF631" s="84"/>
      <c r="AG631" s="49"/>
      <c r="AH631" s="49"/>
      <c r="AI631" s="49"/>
      <c r="AJ631" s="226"/>
      <c r="AK631" s="49"/>
      <c r="AL631" s="113">
        <f t="shared" si="283"/>
        <v>-600</v>
      </c>
      <c r="AM631" s="113">
        <f t="shared" si="273"/>
        <v>-600</v>
      </c>
      <c r="AN631" s="218" t="s">
        <v>2011</v>
      </c>
      <c r="AO631" s="49"/>
      <c r="AP631" s="49"/>
      <c r="AQ631" s="84" t="str">
        <f>UPPER(RIGHT(Journal_Live[[#This Row],[DURATION ]]))</f>
        <v/>
      </c>
      <c r="AR631" s="49"/>
      <c r="AS631" s="55">
        <v>-0.2</v>
      </c>
      <c r="AT631" s="55">
        <f t="shared" si="284"/>
        <v>0</v>
      </c>
      <c r="AU631" s="54">
        <f t="shared" si="285"/>
        <v>0</v>
      </c>
      <c r="AV631" s="56">
        <f t="shared" si="281"/>
        <v>0</v>
      </c>
      <c r="AW631" s="57" t="s">
        <v>155</v>
      </c>
      <c r="AX631" s="153"/>
      <c r="AY631" s="153"/>
      <c r="AZ631" s="153"/>
      <c r="BA631" s="153"/>
      <c r="BB631" s="153"/>
      <c r="BC631" s="153"/>
      <c r="BD631" s="151"/>
      <c r="BE631" s="152"/>
      <c r="BF631" s="151"/>
      <c r="BG631" s="94">
        <f>SUM($AV$4:AV631)</f>
        <v>4095.2239656881839</v>
      </c>
      <c r="BH631" s="95">
        <f>SUM($AU$4:AU631)</f>
        <v>57895.353506493557</v>
      </c>
      <c r="BI631" s="80">
        <f>SUMIFS($AU$3:AU632,$Q$3:Q632,"F")</f>
        <v>28242.093506493511</v>
      </c>
      <c r="BJ631" s="80">
        <f>SUMIFS($AU$3:AU632,$Q$3:Q632,"S")</f>
        <v>26832</v>
      </c>
      <c r="BK631" s="87">
        <f>SUMIFS($AU$3:AU632,$P$3:P632,"W")</f>
        <v>39275.273506493846</v>
      </c>
      <c r="BL631" s="87">
        <f>SUMIFS($AU$3:AU632,$P$3:P632,"R")</f>
        <v>18506.000000000284</v>
      </c>
      <c r="BM631" s="87">
        <f>SUMIFS($AU$3:AU632,$AQ$3:AQ632,"M")</f>
        <v>9793.3799999992334</v>
      </c>
      <c r="BN631" s="87">
        <f>SUMIFS($AU$3:AU632,$AQ$3:AQ632,"H")</f>
        <v>20755.200000000706</v>
      </c>
      <c r="BO631" s="87">
        <f>SUMIFS($AU$3:AU632,$AQ$3:AQ632,"D")</f>
        <v>13641.507142857021</v>
      </c>
      <c r="BP631" s="87">
        <f>SUMIFS($AS$3:AS1313,$AO$3:AO1313,"W")</f>
        <v>0</v>
      </c>
      <c r="BQ631" s="87">
        <f>SUMIFS($AU$3:AU632,$Q$3:Q632,"O")</f>
        <v>1737.2600000000671</v>
      </c>
      <c r="BR631" s="87">
        <f>SUMIFS($AU$3:AU632,$AA$3:AA632,"*")</f>
        <v>45461.436363636196</v>
      </c>
      <c r="BS631" s="87">
        <f>SUMIFS($AU$3:AU632,$AB$3:AB632,"*")</f>
        <v>10383.860000000041</v>
      </c>
      <c r="BT631" s="87">
        <f>SUMIFS($AU$3:AU632,$AC$3:AC632,"*")</f>
        <v>31682.093506493675</v>
      </c>
      <c r="BU631" s="87">
        <f>SUMIFS($AU$3:AU632,$AA$3:AA632,"*",$AB$3:AB632,"*")</f>
        <v>5423.9999999998217</v>
      </c>
      <c r="BV631" s="87">
        <f>SUMIFS($AU$3:AU632,$AA$3:AA632,"*",$AC$3:AC632,"*")</f>
        <v>19728.036363636533</v>
      </c>
      <c r="BW631" s="87">
        <f>SUMIFS($AU$3:AU632,$AB$3:AB632,"*",$AC$3:AC632,"*")</f>
        <v>7119.9999999999982</v>
      </c>
      <c r="BX631" s="87">
        <f>SUMIFS($AV$3:AV632,$Q$3:Q632,"F")</f>
        <v>418.22475235412151</v>
      </c>
      <c r="BY631" s="87">
        <f>SUMIFS($AV$3:AV632,$Q$3:Q632,"S")</f>
        <v>816.03991333429894</v>
      </c>
      <c r="BZ631" s="87">
        <f>SUMIFS($AV$3:AV632,$Q$3:Q632,"O")</f>
        <v>628.95929999975738</v>
      </c>
    </row>
    <row r="632" spans="1:78" ht="15.75" customHeight="1">
      <c r="A632" s="45" t="s">
        <v>1819</v>
      </c>
      <c r="B632" s="59">
        <v>45432</v>
      </c>
      <c r="C632" s="46" t="s">
        <v>2012</v>
      </c>
      <c r="D632" s="46" t="s">
        <v>176</v>
      </c>
      <c r="E632" s="66"/>
      <c r="F632" s="47"/>
      <c r="G632" s="104" t="s">
        <v>459</v>
      </c>
      <c r="H632" s="49"/>
      <c r="I632" s="49"/>
      <c r="J632" s="49"/>
      <c r="K632" s="50"/>
      <c r="L632" s="49"/>
      <c r="M632" s="49">
        <v>1</v>
      </c>
      <c r="N632" s="49"/>
      <c r="O632" s="50" t="s">
        <v>100</v>
      </c>
      <c r="P632" s="50" t="s">
        <v>101</v>
      </c>
      <c r="Q632" s="50" t="s">
        <v>102</v>
      </c>
      <c r="R632" s="50">
        <v>40</v>
      </c>
      <c r="S632" s="50">
        <v>0</v>
      </c>
      <c r="T632" s="50">
        <v>40</v>
      </c>
      <c r="U632" s="50" t="s">
        <v>22</v>
      </c>
      <c r="V632" s="50"/>
      <c r="W632" s="50"/>
      <c r="X632" s="50"/>
      <c r="Y632" s="51">
        <f t="shared" si="282"/>
        <v>0.01</v>
      </c>
      <c r="Z632" s="52">
        <f>IF(ISBLANK(O632),"",IF(O632="IB",8.63*200,IF(O632="IR",16*100,IF(O632="YT",20*100,IF(O632="YT-XT",24*200,IF(O632="TED",80*100,IF(O632="XT",29*200)))))))</f>
        <v>1600</v>
      </c>
      <c r="AA632" s="52" t="s">
        <v>2006</v>
      </c>
      <c r="AB632" s="52"/>
      <c r="AC632" s="52"/>
      <c r="AD632" s="231">
        <v>-0.08</v>
      </c>
      <c r="AE632" s="49"/>
      <c r="AF632" s="84"/>
      <c r="AG632" s="49"/>
      <c r="AH632" s="49"/>
      <c r="AI632" s="49"/>
      <c r="AJ632" s="226"/>
      <c r="AK632" s="49"/>
      <c r="AL632" s="113">
        <f t="shared" si="283"/>
        <v>-32</v>
      </c>
      <c r="AM632" s="113">
        <f t="shared" ref="AM632:AM663" si="286">AL632*(R632-S632)</f>
        <v>-1280</v>
      </c>
      <c r="AN632" s="218" t="s">
        <v>2013</v>
      </c>
      <c r="AO632" s="49"/>
      <c r="AP632" s="49"/>
      <c r="AQ632" s="84" t="s">
        <v>142</v>
      </c>
      <c r="AR632" s="49"/>
      <c r="AS632" s="55">
        <v>-7.0000000000000007E-2</v>
      </c>
      <c r="AT632" s="55">
        <f t="shared" si="284"/>
        <v>9.999999999999995E-3</v>
      </c>
      <c r="AU632" s="54">
        <f t="shared" si="285"/>
        <v>639.99999999999977</v>
      </c>
      <c r="AV632" s="56">
        <f t="shared" si="281"/>
        <v>15.999999999999993</v>
      </c>
      <c r="AW632" s="57" t="s">
        <v>101</v>
      </c>
      <c r="AX632" s="153"/>
      <c r="AY632" s="153"/>
      <c r="AZ632" s="153"/>
      <c r="BA632" s="153"/>
      <c r="BB632" s="153"/>
      <c r="BC632" s="153"/>
      <c r="BD632" s="151"/>
      <c r="BE632" s="152"/>
      <c r="BF632" s="151"/>
      <c r="BG632" s="94">
        <f>SUM($AV$4:AV632)</f>
        <v>4111.2239656881839</v>
      </c>
      <c r="BH632" s="95">
        <f>SUM($AU$4:AU632)</f>
        <v>58535.353506493557</v>
      </c>
      <c r="BI632" s="80">
        <f>SUMIFS($AU$3:AU633,$Q$3:Q633,"F")</f>
        <v>28242.093506493511</v>
      </c>
      <c r="BJ632" s="80">
        <f>SUMIFS($AU$3:AU633,$Q$3:Q633,"S")</f>
        <v>26992</v>
      </c>
      <c r="BK632" s="87">
        <f>SUMIFS($AU$3:AU633,$P$3:P633,"W")</f>
        <v>39435.273506493846</v>
      </c>
      <c r="BL632" s="87">
        <f>SUMIFS($AU$3:AU633,$P$3:P633,"R")</f>
        <v>18506.000000000284</v>
      </c>
      <c r="BM632" s="87">
        <f>SUMIFS($AU$3:AU633,$AQ$3:AQ633,"M")</f>
        <v>9793.3799999992334</v>
      </c>
      <c r="BN632" s="87">
        <f>SUMIFS($AU$3:AU633,$AQ$3:AQ633,"H")</f>
        <v>20915.200000000706</v>
      </c>
      <c r="BO632" s="87">
        <f>SUMIFS($AU$3:AU633,$AQ$3:AQ633,"D")</f>
        <v>13641.507142857021</v>
      </c>
      <c r="BP632" s="87">
        <f>SUMIFS($AS$3:AS1314,$AO$3:AO1314,"W")</f>
        <v>0</v>
      </c>
      <c r="BQ632" s="87">
        <f>SUMIFS($AU$3:AU633,$Q$3:Q633,"O")</f>
        <v>1737.2600000000671</v>
      </c>
      <c r="BR632" s="87">
        <f>SUMIFS($AU$3:AU633,$AA$3:AA633,"*")</f>
        <v>45621.436363636196</v>
      </c>
      <c r="BS632" s="87">
        <f>SUMIFS($AU$3:AU633,$AB$3:AB633,"*")</f>
        <v>10383.860000000041</v>
      </c>
      <c r="BT632" s="87">
        <f>SUMIFS($AU$3:AU633,$AC$3:AC633,"*")</f>
        <v>31682.093506493675</v>
      </c>
      <c r="BU632" s="87">
        <f>SUMIFS($AU$3:AU633,$AA$3:AA633,"*",$AB$3:AB633,"*")</f>
        <v>5423.9999999998217</v>
      </c>
      <c r="BV632" s="87">
        <f>SUMIFS($AU$3:AU633,$AA$3:AA633,"*",$AC$3:AC633,"*")</f>
        <v>19728.036363636533</v>
      </c>
      <c r="BW632" s="87">
        <f>SUMIFS($AU$3:AU633,$AB$3:AB633,"*",$AC$3:AC633,"*")</f>
        <v>7119.9999999999982</v>
      </c>
      <c r="BX632" s="87">
        <f>SUMIFS($AV$3:AV633,$Q$3:Q633,"F")</f>
        <v>418.22475235412151</v>
      </c>
      <c r="BY632" s="87">
        <f>SUMIFS($AV$3:AV633,$Q$3:Q633,"S")</f>
        <v>832.03991333429894</v>
      </c>
      <c r="BZ632" s="87">
        <f>SUMIFS($AV$3:AV633,$Q$3:Q633,"O")</f>
        <v>628.95929999975738</v>
      </c>
    </row>
    <row r="633" spans="1:78" ht="15.75" customHeight="1">
      <c r="A633" s="45" t="s">
        <v>1819</v>
      </c>
      <c r="B633" s="59">
        <v>45432</v>
      </c>
      <c r="C633" s="46" t="s">
        <v>1336</v>
      </c>
      <c r="D633" s="46" t="s">
        <v>176</v>
      </c>
      <c r="E633" s="66"/>
      <c r="F633" s="47"/>
      <c r="G633" s="104" t="s">
        <v>2014</v>
      </c>
      <c r="H633" s="49"/>
      <c r="I633" s="49"/>
      <c r="J633" s="49"/>
      <c r="K633" s="50"/>
      <c r="L633" s="49">
        <v>1</v>
      </c>
      <c r="M633" s="49">
        <v>1</v>
      </c>
      <c r="N633" s="49"/>
      <c r="O633" s="50" t="s">
        <v>100</v>
      </c>
      <c r="P633" s="50" t="s">
        <v>101</v>
      </c>
      <c r="Q633" s="50" t="s">
        <v>102</v>
      </c>
      <c r="R633" s="50">
        <v>10</v>
      </c>
      <c r="S633" s="50">
        <v>0</v>
      </c>
      <c r="T633" s="50">
        <v>10</v>
      </c>
      <c r="U633" s="50" t="s">
        <v>102</v>
      </c>
      <c r="V633" s="50"/>
      <c r="W633" s="50"/>
      <c r="X633" s="50"/>
      <c r="Y633" s="51">
        <f t="shared" si="282"/>
        <v>0.01</v>
      </c>
      <c r="Z633" s="52">
        <f>IF(ISBLANK(O633),"",IF(O633="IB",8.63*200,IF(O633="IR",16*100,IF(O633="YT",20*100,IF(O633="YT-XT",24*200,IF(O633="TED",80*100,IF(O633="XT",29*200)))))))</f>
        <v>1600</v>
      </c>
      <c r="AA633" s="52" t="s">
        <v>2015</v>
      </c>
      <c r="AB633" s="52"/>
      <c r="AC633" s="52"/>
      <c r="AD633" s="231">
        <v>-0.2</v>
      </c>
      <c r="AE633" s="49"/>
      <c r="AF633" s="84"/>
      <c r="AG633" s="49"/>
      <c r="AH633" s="49"/>
      <c r="AI633" s="49"/>
      <c r="AJ633" s="226"/>
      <c r="AK633" s="49"/>
      <c r="AL633" s="113">
        <f t="shared" si="283"/>
        <v>-32</v>
      </c>
      <c r="AM633" s="113">
        <f t="shared" si="286"/>
        <v>-320</v>
      </c>
      <c r="AN633" s="218"/>
      <c r="AO633" s="49"/>
      <c r="AP633" s="49" t="s">
        <v>2016</v>
      </c>
      <c r="AQ633" s="84" t="s">
        <v>142</v>
      </c>
      <c r="AR633" s="49"/>
      <c r="AS633" s="55">
        <v>-0.21</v>
      </c>
      <c r="AT633" s="55">
        <f t="shared" si="284"/>
        <v>9.9999999999999811E-3</v>
      </c>
      <c r="AU633" s="54">
        <f t="shared" si="285"/>
        <v>159.99999999999969</v>
      </c>
      <c r="AV633" s="56">
        <f t="shared" si="281"/>
        <v>15.99999999999997</v>
      </c>
      <c r="AW633" s="57" t="s">
        <v>101</v>
      </c>
      <c r="AX633" s="153"/>
      <c r="AY633" s="153"/>
      <c r="AZ633" s="153"/>
      <c r="BA633" s="153"/>
      <c r="BB633" s="153"/>
      <c r="BC633" s="153"/>
      <c r="BD633" s="151"/>
      <c r="BE633" s="152"/>
      <c r="BF633" s="151"/>
      <c r="BG633" s="94">
        <f>SUM($AV$4:AV633)</f>
        <v>4127.2239656881839</v>
      </c>
      <c r="BH633" s="95">
        <f>SUM($AU$4:AU633)</f>
        <v>58695.353506493557</v>
      </c>
      <c r="BI633" s="80">
        <f>SUMIFS($AU$3:AU634,$Q$3:Q634,"F")</f>
        <v>28242.093506493511</v>
      </c>
      <c r="BJ633" s="80">
        <f>SUMIFS($AU$3:AU634,$Q$3:Q634,"S")</f>
        <v>27328</v>
      </c>
      <c r="BK633" s="87">
        <f>SUMIFS($AU$3:AU634,$P$3:P634,"W")</f>
        <v>39771.273506493846</v>
      </c>
      <c r="BL633" s="87">
        <f>SUMIFS($AU$3:AU634,$P$3:P634,"R")</f>
        <v>18506.000000000284</v>
      </c>
      <c r="BM633" s="87">
        <f>SUMIFS($AU$3:AU634,$AQ$3:AQ634,"M")</f>
        <v>9793.3799999992334</v>
      </c>
      <c r="BN633" s="87">
        <f>SUMIFS($AU$3:AU634,$AQ$3:AQ634,"H")</f>
        <v>20915.200000000706</v>
      </c>
      <c r="BO633" s="87">
        <f>SUMIFS($AU$3:AU634,$AQ$3:AQ634,"D")</f>
        <v>13977.507142857021</v>
      </c>
      <c r="BP633" s="87">
        <f>SUMIFS($AS$3:AS1315,$AO$3:AO1315,"W")</f>
        <v>0</v>
      </c>
      <c r="BQ633" s="87">
        <f>SUMIFS($AU$3:AU634,$Q$3:Q634,"O")</f>
        <v>1737.2600000000671</v>
      </c>
      <c r="BR633" s="87">
        <f>SUMIFS($AU$3:AU634,$AA$3:AA634,"*")</f>
        <v>45957.436363636196</v>
      </c>
      <c r="BS633" s="87">
        <f>SUMIFS($AU$3:AU634,$AB$3:AB634,"*")</f>
        <v>10383.860000000041</v>
      </c>
      <c r="BT633" s="87">
        <f>SUMIFS($AU$3:AU634,$AC$3:AC634,"*")</f>
        <v>31682.093506493675</v>
      </c>
      <c r="BU633" s="87">
        <f>SUMIFS($AU$3:AU634,$AA$3:AA634,"*",$AB$3:AB634,"*")</f>
        <v>5423.9999999998217</v>
      </c>
      <c r="BV633" s="87">
        <f>SUMIFS($AU$3:AU634,$AA$3:AA634,"*",$AC$3:AC634,"*")</f>
        <v>19728.036363636533</v>
      </c>
      <c r="BW633" s="87">
        <f>SUMIFS($AU$3:AU634,$AB$3:AB634,"*",$AC$3:AC634,"*")</f>
        <v>7119.9999999999982</v>
      </c>
      <c r="BX633" s="87">
        <f>SUMIFS($AV$3:AV634,$Q$3:Q634,"F")</f>
        <v>418.22475235412151</v>
      </c>
      <c r="BY633" s="87">
        <f>SUMIFS($AV$3:AV634,$Q$3:Q634,"S")</f>
        <v>848.03991333429894</v>
      </c>
      <c r="BZ633" s="87">
        <f>SUMIFS($AV$3:AV634,$Q$3:Q634,"O")</f>
        <v>628.95929999975738</v>
      </c>
    </row>
    <row r="634" spans="1:78" ht="15.75" customHeight="1">
      <c r="A634" s="45" t="s">
        <v>1819</v>
      </c>
      <c r="B634" s="59">
        <v>45432</v>
      </c>
      <c r="C634" s="46" t="s">
        <v>2017</v>
      </c>
      <c r="D634" s="46" t="s">
        <v>176</v>
      </c>
      <c r="E634" s="66"/>
      <c r="F634" s="47"/>
      <c r="G634" s="104" t="s">
        <v>276</v>
      </c>
      <c r="H634" s="49"/>
      <c r="I634" s="49"/>
      <c r="J634" s="49"/>
      <c r="K634" s="50"/>
      <c r="L634" s="49">
        <v>1</v>
      </c>
      <c r="M634" s="49">
        <v>1</v>
      </c>
      <c r="N634" s="49"/>
      <c r="O634" s="50" t="s">
        <v>100</v>
      </c>
      <c r="P634" s="50" t="s">
        <v>101</v>
      </c>
      <c r="Q634" s="50" t="s">
        <v>102</v>
      </c>
      <c r="R634" s="50">
        <v>21</v>
      </c>
      <c r="S634" s="50">
        <v>0</v>
      </c>
      <c r="T634" s="50">
        <v>20</v>
      </c>
      <c r="U634" s="50" t="s">
        <v>102</v>
      </c>
      <c r="V634" s="50"/>
      <c r="W634" s="50"/>
      <c r="X634" s="50"/>
      <c r="Y634" s="51">
        <f t="shared" si="282"/>
        <v>0.01</v>
      </c>
      <c r="Z634" s="52">
        <f>IF(ISBLANK(O634),"",IF(O634="IB",8.63*200,IF(O634="IR",16*100,IF(O634="YT",20*100,IF(O634="YT-XT",24*200,IF(O634="TED",80*100,IF(O634="XT",29*200)))))))</f>
        <v>1600</v>
      </c>
      <c r="AA634" s="52" t="s">
        <v>925</v>
      </c>
      <c r="AB634" s="52"/>
      <c r="AC634" s="52"/>
      <c r="AD634" s="231">
        <v>-0.1</v>
      </c>
      <c r="AE634" s="49"/>
      <c r="AF634" s="84"/>
      <c r="AG634" s="49"/>
      <c r="AH634" s="49"/>
      <c r="AI634" s="49"/>
      <c r="AJ634" s="226"/>
      <c r="AK634" s="49"/>
      <c r="AL634" s="113">
        <f t="shared" si="261"/>
        <v>-32</v>
      </c>
      <c r="AM634" s="113">
        <f t="shared" si="286"/>
        <v>-672</v>
      </c>
      <c r="AN634" s="218"/>
      <c r="AO634" s="49"/>
      <c r="AP634" s="49" t="s">
        <v>279</v>
      </c>
      <c r="AQ634" s="84" t="s">
        <v>155</v>
      </c>
      <c r="AR634" s="49"/>
      <c r="AS634" s="55">
        <v>-0.11</v>
      </c>
      <c r="AT634" s="55">
        <f t="shared" si="284"/>
        <v>9.999999999999995E-3</v>
      </c>
      <c r="AU634" s="54">
        <f t="shared" si="285"/>
        <v>335.99999999999983</v>
      </c>
      <c r="AV634" s="56">
        <f t="shared" ref="AV634:AV635" si="287">IF(ISBLANK(AS634),,(AT634*Z634))</f>
        <v>15.999999999999993</v>
      </c>
      <c r="AW634" s="57" t="s">
        <v>101</v>
      </c>
      <c r="AX634" s="153"/>
      <c r="AY634" s="153"/>
      <c r="AZ634" s="153"/>
      <c r="BA634" s="153"/>
      <c r="BB634" s="153"/>
      <c r="BC634" s="153"/>
      <c r="BD634" s="151"/>
      <c r="BE634" s="152"/>
      <c r="BF634" s="151"/>
      <c r="BG634" s="94">
        <f>SUM($AV$4:AV634)</f>
        <v>4143.2239656881839</v>
      </c>
      <c r="BH634" s="95">
        <f>SUM($AU$4:AU634)</f>
        <v>59031.353506493557</v>
      </c>
      <c r="BI634" s="80">
        <f>SUMIFS($AU$3:AU635,$Q$3:Q635,"F")</f>
        <v>28242.093506493511</v>
      </c>
      <c r="BJ634" s="80">
        <f>SUMIFS($AU$3:AU635,$Q$3:Q635,"S")</f>
        <v>27328</v>
      </c>
      <c r="BK634" s="87">
        <f>SUMIFS($AU$3:AU635,$P$3:P635,"W")</f>
        <v>39771.273506493846</v>
      </c>
      <c r="BL634" s="87">
        <f>SUMIFS($AU$3:AU635,$P$3:P635,"R")</f>
        <v>18506.000000000284</v>
      </c>
      <c r="BM634" s="87">
        <f>SUMIFS($AU$3:AU635,$AQ$3:AQ635,"M")</f>
        <v>9793.3799999992334</v>
      </c>
      <c r="BN634" s="87">
        <f>SUMIFS($AU$3:AU635,$AQ$3:AQ635,"H")</f>
        <v>20915.200000000706</v>
      </c>
      <c r="BO634" s="87">
        <f>SUMIFS($AU$3:AU635,$AQ$3:AQ635,"D")</f>
        <v>13977.507142857021</v>
      </c>
      <c r="BP634" s="87">
        <f>SUMIFS($AS$3:AS1316,$AO$3:AO1316,"W")</f>
        <v>0</v>
      </c>
      <c r="BQ634" s="87">
        <f>SUMIFS($AU$3:AU635,$Q$3:Q635,"O")</f>
        <v>1737.2600000000671</v>
      </c>
      <c r="BR634" s="87">
        <f>SUMIFS($AU$3:AU635,$AA$3:AA635,"*")</f>
        <v>45957.436363636196</v>
      </c>
      <c r="BS634" s="87">
        <f>SUMIFS($AU$3:AU635,$AB$3:AB635,"*")</f>
        <v>10383.860000000041</v>
      </c>
      <c r="BT634" s="87">
        <f>SUMIFS($AU$3:AU635,$AC$3:AC635,"*")</f>
        <v>31682.093506493675</v>
      </c>
      <c r="BU634" s="87">
        <f>SUMIFS($AU$3:AU635,$AA$3:AA635,"*",$AB$3:AB635,"*")</f>
        <v>5423.9999999998217</v>
      </c>
      <c r="BV634" s="87">
        <f>SUMIFS($AU$3:AU635,$AA$3:AA635,"*",$AC$3:AC635,"*")</f>
        <v>19728.036363636533</v>
      </c>
      <c r="BW634" s="87">
        <f>SUMIFS($AU$3:AU635,$AB$3:AB635,"*",$AC$3:AC635,"*")</f>
        <v>7119.9999999999982</v>
      </c>
      <c r="BX634" s="87">
        <f>SUMIFS($AV$3:AV635,$Q$3:Q635,"F")</f>
        <v>418.22475235412151</v>
      </c>
      <c r="BY634" s="87">
        <f>SUMIFS($AV$3:AV635,$Q$3:Q635,"S")</f>
        <v>848.03991333429894</v>
      </c>
      <c r="BZ634" s="87">
        <f>SUMIFS($AV$3:AV635,$Q$3:Q635,"O")</f>
        <v>628.95929999975738</v>
      </c>
    </row>
    <row r="635" spans="1:78" ht="15.75" customHeight="1">
      <c r="A635" s="45" t="s">
        <v>1819</v>
      </c>
      <c r="B635" s="59">
        <v>45432</v>
      </c>
      <c r="C635" s="46"/>
      <c r="D635" s="46" t="s">
        <v>176</v>
      </c>
      <c r="E635" s="66"/>
      <c r="F635" s="47"/>
      <c r="G635" s="104" t="s">
        <v>459</v>
      </c>
      <c r="H635" s="49"/>
      <c r="I635" s="49"/>
      <c r="J635" s="49"/>
      <c r="K635" s="50"/>
      <c r="L635" s="49"/>
      <c r="M635" s="49"/>
      <c r="N635" s="49"/>
      <c r="O635" s="50" t="s">
        <v>100</v>
      </c>
      <c r="P635" s="50" t="s">
        <v>101</v>
      </c>
      <c r="Q635" s="50" t="s">
        <v>102</v>
      </c>
      <c r="R635" s="50">
        <v>4</v>
      </c>
      <c r="S635" s="50">
        <v>0</v>
      </c>
      <c r="T635" s="50">
        <v>2</v>
      </c>
      <c r="U635" s="50" t="s">
        <v>102</v>
      </c>
      <c r="V635" s="50"/>
      <c r="W635" s="50"/>
      <c r="X635" s="50"/>
      <c r="Y635" s="51">
        <f t="shared" si="282"/>
        <v>0.01</v>
      </c>
      <c r="Z635" s="52">
        <f>IF(ISBLANK(O635),"",IF(O635="IB",8.63*200,IF(O635="IR",16*100,IF(O635="YT",20*100,IF(O635="YT-XT",24*200,IF(O635="TED",80*100,IF(O635="XT",29*200)))))))</f>
        <v>1600</v>
      </c>
      <c r="AA635" s="52" t="s">
        <v>2018</v>
      </c>
      <c r="AB635" s="52"/>
      <c r="AC635" s="52"/>
      <c r="AD635" s="231">
        <v>-0.06</v>
      </c>
      <c r="AE635" s="49"/>
      <c r="AF635" s="84"/>
      <c r="AG635" s="49"/>
      <c r="AH635" s="49"/>
      <c r="AI635" s="49"/>
      <c r="AJ635" s="226"/>
      <c r="AK635" s="49"/>
      <c r="AL635" s="113">
        <f t="shared" si="261"/>
        <v>-32</v>
      </c>
      <c r="AM635" s="113">
        <f t="shared" si="286"/>
        <v>-128</v>
      </c>
      <c r="AN635" s="218"/>
      <c r="AO635" s="49"/>
      <c r="AP635" s="49"/>
      <c r="AQ635" s="84" t="str">
        <f>UPPER(RIGHT(Journal_Live[[#This Row],[DURATION ]]))</f>
        <v/>
      </c>
      <c r="AR635" s="49"/>
      <c r="AS635" s="55">
        <v>-0.06</v>
      </c>
      <c r="AT635" s="55">
        <f t="shared" si="284"/>
        <v>0</v>
      </c>
      <c r="AU635" s="54">
        <f t="shared" si="285"/>
        <v>0</v>
      </c>
      <c r="AV635" s="56">
        <f t="shared" si="287"/>
        <v>0</v>
      </c>
      <c r="AW635" s="57" t="s">
        <v>155</v>
      </c>
      <c r="AX635" s="153"/>
      <c r="AY635" s="153"/>
      <c r="AZ635" s="153"/>
      <c r="BA635" s="153"/>
      <c r="BB635" s="153"/>
      <c r="BC635" s="153"/>
      <c r="BD635" s="151"/>
      <c r="BE635" s="152"/>
      <c r="BF635" s="151"/>
      <c r="BG635" s="94">
        <f>SUM($AV$4:AV635)</f>
        <v>4143.2239656881839</v>
      </c>
      <c r="BH635" s="95">
        <f>SUM($AU$4:AU635)</f>
        <v>59031.353506493557</v>
      </c>
      <c r="BI635" s="80">
        <f>SUMIFS($AU$3:AU996,$Q$3:Q996,"F")</f>
        <v>28758.758121878131</v>
      </c>
      <c r="BJ635" s="80">
        <f>SUMIFS($AU$3:AU996,$Q$3:Q996,"S")</f>
        <v>18338.285714285717</v>
      </c>
      <c r="BK635" s="87">
        <f>SUMIFS($AU$3:AU996,$P$3:P996,"W")</f>
        <v>16085.423836163443</v>
      </c>
      <c r="BL635" s="87">
        <f>SUMIFS($AU$3:AU996,$P$3:P996,"R")</f>
        <v>23278.800000000327</v>
      </c>
      <c r="BM635" s="87">
        <f>SUMIFS($AU$3:AU996,$AQ$3:AQ996,"M")</f>
        <v>9563.1799999983832</v>
      </c>
      <c r="BN635" s="87">
        <f>SUMIFS($AU$3:AU996,$AQ$3:AQ996,"H")</f>
        <v>12587.200000000877</v>
      </c>
      <c r="BO635" s="87">
        <f>SUMIFS($AU$3:AU996,$AQ$3:AQ996,"D")</f>
        <v>11195.57747252718</v>
      </c>
      <c r="BP635" s="87">
        <f>SUMIFS($AS$3:AS1317,$AO$3:AO1317,"W")</f>
        <v>0</v>
      </c>
      <c r="BQ635" s="87">
        <f>SUMIFS($AU$3:AU996,$Q$3:Q996,"O")</f>
        <v>-9366.1400000007852</v>
      </c>
      <c r="BR635" s="87">
        <f>SUMIFS($AU$3:AU996,$AA$3:AA996,"*")</f>
        <v>39156.002077921221</v>
      </c>
      <c r="BS635" s="87">
        <f>SUMIFS($AU$3:AU996,$AB$3:AB996,"*")</f>
        <v>7005.8599999997941</v>
      </c>
      <c r="BT635" s="87">
        <f>SUMIFS($AU$3:AU996,$AC$3:AC996,"*")</f>
        <v>31968.358121878122</v>
      </c>
      <c r="BU635" s="87">
        <f>SUMIFS($AU$3:AU996,$AA$3:AA996,"*",$AB$3:AB996,"*")</f>
        <v>7301.9999999995771</v>
      </c>
      <c r="BV635" s="87">
        <f>SUMIFS($AU$3:AU996,$AA$3:AA996,"*",$AC$3:AC996,"*")</f>
        <v>29949.316363636532</v>
      </c>
      <c r="BW635" s="87">
        <f>SUMIFS($AU$3:AU996,$AB$3:AB996,"*",$AC$3:AC996,"*")</f>
        <v>3739.199999999998</v>
      </c>
      <c r="BX635" s="87">
        <f>SUMIFS($AV$3:AV996,$Q$3:Q996,"F")</f>
        <v>396.72999236351012</v>
      </c>
      <c r="BY635" s="87">
        <f>SUMIFS($AV$3:AV996,$Q$3:Q996,"S")</f>
        <v>775.76285705724263</v>
      </c>
      <c r="BZ635" s="87">
        <f>SUMIFS($AV$3:AV996,$Q$3:Q996,"O")</f>
        <v>569.29929999965555</v>
      </c>
    </row>
    <row r="636" spans="1:78" ht="15.75" customHeight="1">
      <c r="A636" s="45" t="s">
        <v>1819</v>
      </c>
      <c r="B636" s="59">
        <v>45434</v>
      </c>
      <c r="C636" s="46" t="s">
        <v>2019</v>
      </c>
      <c r="D636" s="46" t="s">
        <v>186</v>
      </c>
      <c r="E636" s="66"/>
      <c r="F636" s="47"/>
      <c r="G636" s="110" t="s">
        <v>2020</v>
      </c>
      <c r="H636" s="49"/>
      <c r="I636" s="49"/>
      <c r="J636" s="49"/>
      <c r="K636" s="50"/>
      <c r="L636" s="49">
        <v>1</v>
      </c>
      <c r="M636" s="49"/>
      <c r="N636" s="49"/>
      <c r="O636" s="50" t="s">
        <v>100</v>
      </c>
      <c r="P636" s="50" t="s">
        <v>126</v>
      </c>
      <c r="Q636" s="50" t="s">
        <v>127</v>
      </c>
      <c r="R636" s="50">
        <v>135</v>
      </c>
      <c r="S636" s="50">
        <v>111</v>
      </c>
      <c r="T636" s="50">
        <v>75</v>
      </c>
      <c r="U636" s="50" t="s">
        <v>22</v>
      </c>
      <c r="V636" s="50"/>
      <c r="W636" s="50"/>
      <c r="X636" s="50"/>
      <c r="Y636" s="51">
        <f t="shared" si="282"/>
        <v>0.01</v>
      </c>
      <c r="Z636" s="52">
        <f>IF(ISBLANK(O636),"",IF(O636="IB",8.63*200,IF(O636="IR",16*100,IF(O636="YT",20*100,IF(O636="YT-XT",24*200,IF(O636="TED",80*100,IF(O636="XT",29*200)))))))</f>
        <v>1600</v>
      </c>
      <c r="AA636" s="52" t="s">
        <v>2021</v>
      </c>
      <c r="AB636" s="52"/>
      <c r="AC636" s="52" t="s">
        <v>2022</v>
      </c>
      <c r="AD636" s="231">
        <f>((-0.03*75)+(-0.02*60))/135</f>
        <v>-2.5555555555555557E-2</v>
      </c>
      <c r="AE636" s="49"/>
      <c r="AF636" s="84"/>
      <c r="AG636" s="49"/>
      <c r="AH636" s="49"/>
      <c r="AI636" s="49"/>
      <c r="AJ636" s="226"/>
      <c r="AK636" s="49"/>
      <c r="AL636" s="113">
        <f>-0.015*Z636</f>
        <v>-24</v>
      </c>
      <c r="AM636" s="113">
        <f t="shared" si="286"/>
        <v>-576</v>
      </c>
      <c r="AN636" s="218" t="s">
        <v>1282</v>
      </c>
      <c r="AO636" s="49"/>
      <c r="AP636" s="49"/>
      <c r="AQ636" s="84" t="s">
        <v>101</v>
      </c>
      <c r="AR636" s="49" t="s">
        <v>2023</v>
      </c>
      <c r="AS636" s="55">
        <f>((-0.02*5)+(-0.01*50)+(-0.02*5)+(-0.01*25)+(-0.02*26)+(-0.02*24))/135</f>
        <v>-1.4444444444444444E-2</v>
      </c>
      <c r="AT636" s="55">
        <f t="shared" si="284"/>
        <v>1.1111111111111113E-2</v>
      </c>
      <c r="AU636" s="54">
        <f t="shared" si="285"/>
        <v>2400.0000000000005</v>
      </c>
      <c r="AV636" s="56">
        <f t="shared" ref="AV636:AV1232" si="288">IF(ISBLANK(AS636),,(AT636*Z636))</f>
        <v>17.777777777777782</v>
      </c>
      <c r="AW636" s="57" t="s">
        <v>101</v>
      </c>
      <c r="AX636" s="151" t="s">
        <v>2024</v>
      </c>
      <c r="AY636" s="151" t="s">
        <v>2025</v>
      </c>
      <c r="AZ636" s="153" t="s">
        <v>2026</v>
      </c>
      <c r="BA636" s="151"/>
      <c r="BB636" s="151"/>
      <c r="BC636" s="153"/>
      <c r="BD636" s="151" t="s">
        <v>2027</v>
      </c>
      <c r="BE636" s="152"/>
      <c r="BF636" s="151"/>
      <c r="BG636" s="94">
        <f>SUM($AV$4:AV636)</f>
        <v>4161.0017434659612</v>
      </c>
      <c r="BH636" s="95">
        <f>SUM($AU$4:AU636)</f>
        <v>61431.353506493557</v>
      </c>
      <c r="BI636" s="80">
        <f>SUMIFS($AU$3:AU637,$Q$3:Q637,"F")</f>
        <v>30642.093506493511</v>
      </c>
      <c r="BJ636" s="80">
        <f>SUMIFS($AU$3:AU637,$Q$3:Q637,"S")</f>
        <v>27328</v>
      </c>
      <c r="BK636" s="87">
        <f>SUMIFS($AU$3:AU637,$P$3:P637,"W")</f>
        <v>39771.273506493846</v>
      </c>
      <c r="BL636" s="87">
        <f>SUMIFS($AU$3:AU637,$P$3:P637,"R")</f>
        <v>20906.000000000284</v>
      </c>
      <c r="BM636" s="87">
        <f>SUMIFS($AU$3:AU637,$AQ$3:AQ637,"M")</f>
        <v>9793.3799999992334</v>
      </c>
      <c r="BN636" s="87">
        <f>SUMIFS($AU$3:AU637,$AQ$3:AQ637,"H")</f>
        <v>20915.200000000706</v>
      </c>
      <c r="BO636" s="87">
        <f>SUMIFS($AU$3:AU637,$AQ$3:AQ637,"D")</f>
        <v>13977.507142857021</v>
      </c>
      <c r="BP636" s="87">
        <f>SUMIFS($AS$3:AS1306,$AO$3:AO1306,"W")</f>
        <v>0</v>
      </c>
      <c r="BQ636" s="87">
        <f>SUMIFS($AU$3:AU637,$Q$3:Q637,"O")</f>
        <v>1737.2600000000671</v>
      </c>
      <c r="BR636" s="87">
        <f>SUMIFS($AU$3:AU637,$AA$3:AA637,"*")</f>
        <v>48357.436363636196</v>
      </c>
      <c r="BS636" s="87">
        <f>SUMIFS($AU$3:AU637,$AB$3:AB637,"*")</f>
        <v>10383.860000000041</v>
      </c>
      <c r="BT636" s="87">
        <f>SUMIFS($AU$3:AU637,$AC$3:AC637,"*")</f>
        <v>34082.093506493678</v>
      </c>
      <c r="BU636" s="87">
        <f>SUMIFS($AU$3:AU637,$AA$3:AA637,"*",$AB$3:AB637,"*")</f>
        <v>5423.9999999998217</v>
      </c>
      <c r="BV636" s="87">
        <f>SUMIFS($AU$3:AU637,$AA$3:AA637,"*",$AC$3:AC637,"*")</f>
        <v>22128.036363636533</v>
      </c>
      <c r="BW636" s="87">
        <f>SUMIFS($AU$3:AU637,$AB$3:AB637,"*",$AC$3:AC637,"*")</f>
        <v>7119.9999999999982</v>
      </c>
      <c r="BX636" s="87">
        <f>SUMIFS($AV$3:AV637,$Q$3:Q637,"F")</f>
        <v>436.00253013189928</v>
      </c>
      <c r="BY636" s="87">
        <f>SUMIFS($AV$3:AV637,$Q$3:Q637,"S")</f>
        <v>848.03991333429894</v>
      </c>
      <c r="BZ636" s="87">
        <f>SUMIFS($AV$3:AV637,$Q$3:Q637,"O")</f>
        <v>628.95929999975738</v>
      </c>
    </row>
    <row r="637" spans="1:78" ht="15.75" customHeight="1">
      <c r="A637" s="45" t="s">
        <v>1819</v>
      </c>
      <c r="B637" s="59"/>
      <c r="C637" s="46"/>
      <c r="D637" s="46"/>
      <c r="E637" s="66"/>
      <c r="F637" s="47"/>
      <c r="G637" s="48"/>
      <c r="H637" s="49"/>
      <c r="I637" s="49"/>
      <c r="J637" s="49"/>
      <c r="K637" s="50"/>
      <c r="L637" s="49"/>
      <c r="M637" s="49"/>
      <c r="N637" s="49"/>
      <c r="O637" s="50"/>
      <c r="P637" s="50"/>
      <c r="Q637" s="50"/>
      <c r="R637" s="50"/>
      <c r="S637" s="50"/>
      <c r="T637" s="50"/>
      <c r="U637" s="50"/>
      <c r="V637" s="50"/>
      <c r="W637" s="50"/>
      <c r="X637" s="50"/>
      <c r="Y637" s="51"/>
      <c r="Z637" s="52"/>
      <c r="AA637" s="52"/>
      <c r="AB637" s="52"/>
      <c r="AC637" s="52"/>
      <c r="AD637" s="231"/>
      <c r="AE637" s="49"/>
      <c r="AF637" s="84"/>
      <c r="AG637" s="49"/>
      <c r="AH637" s="49"/>
      <c r="AI637" s="49"/>
      <c r="AJ637" s="226"/>
      <c r="AK637" s="49"/>
      <c r="AL637" s="113">
        <f t="shared" si="261"/>
        <v>0</v>
      </c>
      <c r="AM637" s="113">
        <f t="shared" si="286"/>
        <v>0</v>
      </c>
      <c r="AN637" s="218"/>
      <c r="AO637" s="49"/>
      <c r="AP637" s="49"/>
      <c r="AQ637" s="84" t="str">
        <f>UPPER(RIGHT(Journal_Live[[#This Row],[DURATION ]]))</f>
        <v/>
      </c>
      <c r="AR637" s="49"/>
      <c r="AS637" s="55"/>
      <c r="AT637" s="55"/>
      <c r="AU637" s="54"/>
      <c r="AV637" s="56"/>
      <c r="AW637" s="57"/>
      <c r="AX637" s="151" t="s">
        <v>2028</v>
      </c>
      <c r="AY637" s="151" t="s">
        <v>1991</v>
      </c>
      <c r="AZ637" s="151" t="s">
        <v>1992</v>
      </c>
      <c r="BA637" s="151" t="s">
        <v>2029</v>
      </c>
      <c r="BB637" s="151" t="s">
        <v>2030</v>
      </c>
      <c r="BC637" s="153"/>
      <c r="BD637" s="151"/>
      <c r="BE637" s="152"/>
      <c r="BF637" s="151"/>
      <c r="BG637" s="94">
        <f>SUM($AV$4:AV637)</f>
        <v>4161.0017434659612</v>
      </c>
      <c r="BH637" s="95">
        <f>SUM($AU$4:AU637)</f>
        <v>61431.353506493557</v>
      </c>
      <c r="BI637" s="80">
        <f>SUMIFS($AU$3:AU638,$Q$3:Q638,"F")</f>
        <v>30642.093506493511</v>
      </c>
      <c r="BJ637" s="80">
        <f>SUMIFS($AU$3:AU638,$Q$3:Q638,"S")</f>
        <v>27328</v>
      </c>
      <c r="BK637" s="87">
        <f>SUMIFS($AU$3:AU638,$P$3:P638,"W")</f>
        <v>39771.273506493846</v>
      </c>
      <c r="BL637" s="87">
        <f>SUMIFS($AU$3:AU638,$P$3:P638,"R")</f>
        <v>20906.000000000284</v>
      </c>
      <c r="BM637" s="87">
        <f>SUMIFS($AU$3:AU638,$AQ$3:AQ638,"M")</f>
        <v>9793.3799999992334</v>
      </c>
      <c r="BN637" s="87">
        <f>SUMIFS($AU$3:AU638,$AQ$3:AQ638,"H")</f>
        <v>20915.200000000706</v>
      </c>
      <c r="BO637" s="87">
        <f>SUMIFS($AU$3:AU638,$AQ$3:AQ638,"D")</f>
        <v>13977.507142857021</v>
      </c>
      <c r="BP637" s="87">
        <f>SUMIFS($AS$3:AS1307,$AO$3:AO1307,"W")</f>
        <v>0</v>
      </c>
      <c r="BQ637" s="87">
        <f>SUMIFS($AU$3:AU638,$Q$3:Q638,"O")</f>
        <v>1737.2600000000671</v>
      </c>
      <c r="BR637" s="87">
        <f>SUMIFS($AU$3:AU638,$AA$3:AA638,"*")</f>
        <v>48357.436363636196</v>
      </c>
      <c r="BS637" s="87">
        <f>SUMIFS($AU$3:AU638,$AB$3:AB638,"*")</f>
        <v>10383.860000000041</v>
      </c>
      <c r="BT637" s="87">
        <f>SUMIFS($AU$3:AU638,$AC$3:AC638,"*")</f>
        <v>34082.093506493678</v>
      </c>
      <c r="BU637" s="87">
        <f>SUMIFS($AU$3:AU638,$AA$3:AA638,"*",$AB$3:AB638,"*")</f>
        <v>5423.9999999998217</v>
      </c>
      <c r="BV637" s="87">
        <f>SUMIFS($AU$3:AU638,$AA$3:AA638,"*",$AC$3:AC638,"*")</f>
        <v>22128.036363636533</v>
      </c>
      <c r="BW637" s="87">
        <f>SUMIFS($AU$3:AU638,$AB$3:AB638,"*",$AC$3:AC638,"*")</f>
        <v>7119.9999999999982</v>
      </c>
      <c r="BX637" s="87">
        <f>SUMIFS($AV$3:AV638,$Q$3:Q638,"F")</f>
        <v>436.00253013189928</v>
      </c>
      <c r="BY637" s="87">
        <f>SUMIFS($AV$3:AV638,$Q$3:Q638,"S")</f>
        <v>848.03991333429894</v>
      </c>
      <c r="BZ637" s="87">
        <f>SUMIFS($AV$3:AV638,$Q$3:Q638,"O")</f>
        <v>628.95929999975738</v>
      </c>
    </row>
    <row r="638" spans="1:78" ht="15.75" customHeight="1">
      <c r="A638" s="45" t="s">
        <v>1819</v>
      </c>
      <c r="B638" s="59"/>
      <c r="C638" s="46"/>
      <c r="D638" s="46"/>
      <c r="E638" s="66"/>
      <c r="F638" s="47"/>
      <c r="G638" s="48"/>
      <c r="H638" s="49"/>
      <c r="I638" s="49"/>
      <c r="J638" s="49"/>
      <c r="K638" s="50"/>
      <c r="L638" s="49"/>
      <c r="M638" s="49"/>
      <c r="N638" s="49"/>
      <c r="O638" s="50"/>
      <c r="P638" s="50"/>
      <c r="Q638" s="50"/>
      <c r="R638" s="50"/>
      <c r="S638" s="50"/>
      <c r="T638" s="50"/>
      <c r="U638" s="50"/>
      <c r="V638" s="50"/>
      <c r="W638" s="50"/>
      <c r="X638" s="50"/>
      <c r="Y638" s="51"/>
      <c r="Z638" s="52"/>
      <c r="AA638" s="52"/>
      <c r="AB638" s="52"/>
      <c r="AC638" s="52"/>
      <c r="AD638" s="231"/>
      <c r="AE638" s="49"/>
      <c r="AF638" s="84"/>
      <c r="AG638" s="49"/>
      <c r="AH638" s="49"/>
      <c r="AI638" s="49"/>
      <c r="AJ638" s="226"/>
      <c r="AK638" s="49"/>
      <c r="AL638" s="113">
        <f t="shared" si="261"/>
        <v>0</v>
      </c>
      <c r="AM638" s="113">
        <f t="shared" si="286"/>
        <v>0</v>
      </c>
      <c r="AN638" s="218"/>
      <c r="AO638" s="49"/>
      <c r="AP638" s="49"/>
      <c r="AQ638" s="84" t="str">
        <f>UPPER(RIGHT(Journal_Live[[#This Row],[DURATION ]]))</f>
        <v/>
      </c>
      <c r="AR638" s="49"/>
      <c r="AS638" s="55"/>
      <c r="AT638" s="55"/>
      <c r="AU638" s="54"/>
      <c r="AV638" s="56"/>
      <c r="AW638" s="57"/>
      <c r="AX638" s="153" t="s">
        <v>2031</v>
      </c>
      <c r="AY638" s="153" t="s">
        <v>2032</v>
      </c>
      <c r="AZ638" s="153" t="s">
        <v>1709</v>
      </c>
      <c r="BA638" s="153" t="s">
        <v>1654</v>
      </c>
      <c r="BB638" s="153"/>
      <c r="BC638" s="153"/>
      <c r="BD638" s="151"/>
      <c r="BE638" s="152"/>
      <c r="BF638" s="151"/>
      <c r="BG638" s="94">
        <f>SUM($AV$4:AV638)</f>
        <v>4161.0017434659612</v>
      </c>
      <c r="BH638" s="95">
        <f>SUM($AU$4:AU638)</f>
        <v>61431.353506493557</v>
      </c>
      <c r="BI638" s="80">
        <f>SUMIFS($AU$3:AU639,$Q$3:Q639,"F")</f>
        <v>30642.093506493511</v>
      </c>
      <c r="BJ638" s="80">
        <f>SUMIFS($AU$3:AU639,$Q$3:Q639,"S")</f>
        <v>27328</v>
      </c>
      <c r="BK638" s="87">
        <f>SUMIFS($AU$3:AU639,$P$3:P639,"W")</f>
        <v>39771.273506493846</v>
      </c>
      <c r="BL638" s="87">
        <f>SUMIFS($AU$3:AU639,$P$3:P639,"R")</f>
        <v>18985.999999999985</v>
      </c>
      <c r="BM638" s="87">
        <f>SUMIFS($AU$3:AU639,$AQ$3:AQ639,"M")</f>
        <v>9793.3799999992334</v>
      </c>
      <c r="BN638" s="87">
        <f>SUMIFS($AU$3:AU639,$AQ$3:AQ639,"H")</f>
        <v>18995.200000000405</v>
      </c>
      <c r="BO638" s="87">
        <f>SUMIFS($AU$3:AU639,$AQ$3:AQ639,"D")</f>
        <v>13977.507142857021</v>
      </c>
      <c r="BP638" s="87">
        <f>SUMIFS($AS$3:AS1308,$AO$3:AO1308,"W")</f>
        <v>0</v>
      </c>
      <c r="BQ638" s="87">
        <f>SUMIFS($AU$3:AU639,$Q$3:Q639,"O")</f>
        <v>-182.74000000023307</v>
      </c>
      <c r="BR638" s="87">
        <f>SUMIFS($AU$3:AU639,$AA$3:AA639,"*")</f>
        <v>46437.436363635898</v>
      </c>
      <c r="BS638" s="87">
        <f>SUMIFS($AU$3:AU639,$AB$3:AB639,"*")</f>
        <v>10383.860000000041</v>
      </c>
      <c r="BT638" s="87">
        <f>SUMIFS($AU$3:AU639,$AC$3:AC639,"*")</f>
        <v>34082.093506493678</v>
      </c>
      <c r="BU638" s="87">
        <f>SUMIFS($AU$3:AU639,$AA$3:AA639,"*",$AB$3:AB639,"*")</f>
        <v>5423.9999999998217</v>
      </c>
      <c r="BV638" s="87">
        <f>SUMIFS($AU$3:AU639,$AA$3:AA639,"*",$AC$3:AC639,"*")</f>
        <v>22128.036363636533</v>
      </c>
      <c r="BW638" s="87">
        <f>SUMIFS($AU$3:AU639,$AB$3:AB639,"*",$AC$3:AC639,"*")</f>
        <v>7119.9999999999982</v>
      </c>
      <c r="BX638" s="87">
        <f>SUMIFS($AV$3:AV639,$Q$3:Q639,"F")</f>
        <v>436.00253013189928</v>
      </c>
      <c r="BY638" s="87">
        <f>SUMIFS($AV$3:AV639,$Q$3:Q639,"S")</f>
        <v>848.03991333429894</v>
      </c>
      <c r="BZ638" s="87">
        <f>SUMIFS($AV$3:AV639,$Q$3:Q639,"O")</f>
        <v>564.95929999974737</v>
      </c>
    </row>
    <row r="639" spans="1:78" ht="15.75" customHeight="1">
      <c r="A639" s="45" t="s">
        <v>1819</v>
      </c>
      <c r="B639" s="59">
        <v>45434</v>
      </c>
      <c r="C639" s="46" t="s">
        <v>450</v>
      </c>
      <c r="D639" s="46" t="s">
        <v>186</v>
      </c>
      <c r="E639" s="66"/>
      <c r="F639" s="47"/>
      <c r="G639" s="109" t="s">
        <v>348</v>
      </c>
      <c r="H639" s="49"/>
      <c r="I639" s="49"/>
      <c r="J639" s="49"/>
      <c r="K639" s="50"/>
      <c r="L639" s="49"/>
      <c r="M639" s="49">
        <v>1</v>
      </c>
      <c r="N639" s="49"/>
      <c r="O639" s="50" t="s">
        <v>100</v>
      </c>
      <c r="P639" s="50" t="s">
        <v>126</v>
      </c>
      <c r="Q639" s="50" t="s">
        <v>198</v>
      </c>
      <c r="R639" s="50">
        <v>30</v>
      </c>
      <c r="S639" s="50">
        <v>0</v>
      </c>
      <c r="T639" s="50">
        <v>30</v>
      </c>
      <c r="U639" s="50" t="s">
        <v>22</v>
      </c>
      <c r="V639" s="50"/>
      <c r="W639" s="50"/>
      <c r="X639" s="50"/>
      <c r="Y639" s="51">
        <f t="shared" ref="Y639:Y644" si="289">IF(ISBLANK(O639),"",(IF(O639=UPPER("IB"),0.005,0.01)))</f>
        <v>0.01</v>
      </c>
      <c r="Z639" s="52">
        <f t="shared" ref="Z639:Z644" si="290">IF(ISBLANK(O639),"",IF(O639="IB",8.63*200,IF(O639="IR",16*100,IF(O639="YT",20*100,IF(O639="YT-XT",24*200,IF(O639="TED",80*100,IF(O639="XT",29*200)))))))</f>
        <v>1600</v>
      </c>
      <c r="AA639" s="52" t="s">
        <v>2033</v>
      </c>
      <c r="AB639" s="52"/>
      <c r="AC639" s="52"/>
      <c r="AD639" s="231">
        <v>95.9</v>
      </c>
      <c r="AE639" s="49"/>
      <c r="AF639" s="84"/>
      <c r="AG639" s="49"/>
      <c r="AH639" s="49"/>
      <c r="AI639" s="49"/>
      <c r="AJ639" s="226"/>
      <c r="AK639" s="49"/>
      <c r="AL639" s="113">
        <f>-0.03*Z639</f>
        <v>-48</v>
      </c>
      <c r="AM639" s="113">
        <f t="shared" si="286"/>
        <v>-1440</v>
      </c>
      <c r="AN639" s="218"/>
      <c r="AO639" s="49"/>
      <c r="AP639" s="49" t="s">
        <v>104</v>
      </c>
      <c r="AQ639" s="84" t="s">
        <v>142</v>
      </c>
      <c r="AR639" s="49" t="s">
        <v>1523</v>
      </c>
      <c r="AS639" s="55">
        <v>95.86</v>
      </c>
      <c r="AT639" s="55">
        <f t="shared" ref="AT639:AT644" si="291">IF(ISBLANK(AS639),,IF(U639="S",AD639-AS639,AS639-AD639))</f>
        <v>-4.0000000000006253E-2</v>
      </c>
      <c r="AU639" s="54">
        <f t="shared" ref="AU639:AU644" si="292">AV639*R639</f>
        <v>-1920.0000000003001</v>
      </c>
      <c r="AV639" s="56">
        <f t="shared" si="288"/>
        <v>-64.000000000010004</v>
      </c>
      <c r="AW639" s="57" t="s">
        <v>121</v>
      </c>
      <c r="AX639" s="153" t="s">
        <v>2034</v>
      </c>
      <c r="AY639" s="153" t="s">
        <v>2035</v>
      </c>
      <c r="AZ639" s="153" t="s">
        <v>2036</v>
      </c>
      <c r="BA639" s="153" t="s">
        <v>2037</v>
      </c>
      <c r="BB639" s="153" t="s">
        <v>2038</v>
      </c>
      <c r="BC639" s="153"/>
      <c r="BD639" s="153" t="s">
        <v>2035</v>
      </c>
      <c r="BE639" s="152"/>
      <c r="BF639" s="151"/>
      <c r="BG639" s="94">
        <f>SUM($AV$4:AV639)</f>
        <v>4097.0017434659512</v>
      </c>
      <c r="BH639" s="95">
        <f>SUM($AU$4:AU639)</f>
        <v>59511.353506493258</v>
      </c>
      <c r="BI639" s="80">
        <f>SUMIFS($AU$3:AU640,$Q$3:Q640,"F")</f>
        <v>30642.093506493511</v>
      </c>
      <c r="BJ639" s="80">
        <f>SUMIFS($AU$3:AU640,$Q$3:Q640,"S")</f>
        <v>27328</v>
      </c>
      <c r="BK639" s="87">
        <f>SUMIFS($AU$3:AU640,$P$3:P640,"W")</f>
        <v>39771.273506493846</v>
      </c>
      <c r="BL639" s="87">
        <f>SUMIFS($AU$3:AU640,$P$3:P640,"R")</f>
        <v>17386.000000000076</v>
      </c>
      <c r="BM639" s="87">
        <f>SUMIFS($AU$3:AU640,$AQ$3:AQ640,"M")</f>
        <v>9793.3799999992334</v>
      </c>
      <c r="BN639" s="87">
        <f>SUMIFS($AU$3:AU640,$AQ$3:AQ640,"H")</f>
        <v>17395.200000000495</v>
      </c>
      <c r="BO639" s="87">
        <f>SUMIFS($AU$3:AU640,$AQ$3:AQ640,"D")</f>
        <v>13977.507142857021</v>
      </c>
      <c r="BP639" s="87">
        <f>SUMIFS($AS$3:AS1309,$AO$3:AO1309,"W")</f>
        <v>0</v>
      </c>
      <c r="BQ639" s="87">
        <f>SUMIFS($AU$3:AU640,$Q$3:Q640,"O")</f>
        <v>-1782.7400000001421</v>
      </c>
      <c r="BR639" s="87">
        <f>SUMIFS($AU$3:AU640,$AA$3:AA640,"*")</f>
        <v>44837.436363635992</v>
      </c>
      <c r="BS639" s="87">
        <f>SUMIFS($AU$3:AU640,$AB$3:AB640,"*")</f>
        <v>10383.860000000041</v>
      </c>
      <c r="BT639" s="87">
        <f>SUMIFS($AU$3:AU640,$AC$3:AC640,"*")</f>
        <v>34082.093506493678</v>
      </c>
      <c r="BU639" s="87">
        <f>SUMIFS($AU$3:AU640,$AA$3:AA640,"*",$AB$3:AB640,"*")</f>
        <v>5423.9999999998217</v>
      </c>
      <c r="BV639" s="87">
        <f>SUMIFS($AU$3:AU640,$AA$3:AA640,"*",$AC$3:AC640,"*")</f>
        <v>22128.036363636533</v>
      </c>
      <c r="BW639" s="87">
        <f>SUMIFS($AU$3:AU640,$AB$3:AB640,"*",$AC$3:AC640,"*")</f>
        <v>7119.9999999999982</v>
      </c>
      <c r="BX639" s="87">
        <f>SUMIFS($AV$3:AV640,$Q$3:Q640,"F")</f>
        <v>436.00253013189928</v>
      </c>
      <c r="BY639" s="87">
        <f>SUMIFS($AV$3:AV640,$Q$3:Q640,"S")</f>
        <v>848.03991333429894</v>
      </c>
      <c r="BZ639" s="87">
        <f>SUMIFS($AV$3:AV640,$Q$3:Q640,"O")</f>
        <v>484.95929999975192</v>
      </c>
    </row>
    <row r="640" spans="1:78" ht="15.75" customHeight="1">
      <c r="A640" s="45" t="s">
        <v>1819</v>
      </c>
      <c r="B640" s="59">
        <v>45434</v>
      </c>
      <c r="C640" s="46" t="s">
        <v>2039</v>
      </c>
      <c r="D640" s="46" t="s">
        <v>186</v>
      </c>
      <c r="E640" s="66"/>
      <c r="F640" s="47"/>
      <c r="G640" s="109" t="s">
        <v>1989</v>
      </c>
      <c r="H640" s="49"/>
      <c r="I640" s="49"/>
      <c r="J640" s="49"/>
      <c r="K640" s="50"/>
      <c r="L640" s="49"/>
      <c r="M640" s="49">
        <v>1</v>
      </c>
      <c r="N640" s="49"/>
      <c r="O640" s="50" t="s">
        <v>100</v>
      </c>
      <c r="P640" s="50" t="s">
        <v>126</v>
      </c>
      <c r="Q640" s="50" t="s">
        <v>198</v>
      </c>
      <c r="R640" s="50">
        <v>20</v>
      </c>
      <c r="S640" s="50">
        <v>0</v>
      </c>
      <c r="T640" s="50">
        <v>20</v>
      </c>
      <c r="U640" s="50" t="s">
        <v>22</v>
      </c>
      <c r="V640" s="50"/>
      <c r="W640" s="50"/>
      <c r="X640" s="50"/>
      <c r="Y640" s="51">
        <f t="shared" si="289"/>
        <v>0.01</v>
      </c>
      <c r="Z640" s="52">
        <f t="shared" si="290"/>
        <v>1600</v>
      </c>
      <c r="AA640" s="52" t="s">
        <v>270</v>
      </c>
      <c r="AB640" s="52"/>
      <c r="AC640" s="52"/>
      <c r="AD640" s="231">
        <v>96.1</v>
      </c>
      <c r="AE640" s="49"/>
      <c r="AF640" s="84"/>
      <c r="AG640" s="49"/>
      <c r="AH640" s="49"/>
      <c r="AI640" s="49"/>
      <c r="AJ640" s="226"/>
      <c r="AK640" s="49"/>
      <c r="AL640" s="113">
        <f>-0.03*Z640</f>
        <v>-48</v>
      </c>
      <c r="AM640" s="113">
        <f t="shared" si="286"/>
        <v>-960</v>
      </c>
      <c r="AN640" s="218"/>
      <c r="AO640" s="49"/>
      <c r="AP640" s="49" t="s">
        <v>104</v>
      </c>
      <c r="AQ640" s="84" t="s">
        <v>142</v>
      </c>
      <c r="AR640" s="49" t="s">
        <v>1086</v>
      </c>
      <c r="AS640" s="55">
        <v>96.05</v>
      </c>
      <c r="AT640" s="55">
        <f t="shared" si="291"/>
        <v>-4.9999999999997158E-2</v>
      </c>
      <c r="AU640" s="54">
        <f t="shared" si="292"/>
        <v>-1599.9999999999091</v>
      </c>
      <c r="AV640" s="56">
        <f t="shared" si="288"/>
        <v>-79.999999999995453</v>
      </c>
      <c r="AW640" s="57" t="s">
        <v>121</v>
      </c>
      <c r="AX640" s="153" t="s">
        <v>2040</v>
      </c>
      <c r="AY640" s="153" t="s">
        <v>2041</v>
      </c>
      <c r="AZ640" s="153" t="s">
        <v>2042</v>
      </c>
      <c r="BA640" s="153"/>
      <c r="BB640" s="153"/>
      <c r="BC640" s="153"/>
      <c r="BD640" s="99" t="s">
        <v>2043</v>
      </c>
      <c r="BE640" s="152"/>
      <c r="BF640" s="151"/>
      <c r="BG640" s="94">
        <f>SUM($AV$4:AV640)</f>
        <v>4017.0017434659558</v>
      </c>
      <c r="BH640" s="95">
        <f>SUM($AU$4:AU640)</f>
        <v>57911.353506493353</v>
      </c>
      <c r="BI640" s="80">
        <f>SUMIFS($AU$3:AU641,$Q$3:Q641,"F")</f>
        <v>30642.093506493511</v>
      </c>
      <c r="BJ640" s="80">
        <f>SUMIFS($AU$3:AU641,$Q$3:Q641,"S")</f>
        <v>27328</v>
      </c>
      <c r="BK640" s="87">
        <f>SUMIFS($AU$3:AU641,$P$3:P641,"W")</f>
        <v>39771.273506493846</v>
      </c>
      <c r="BL640" s="87">
        <f>SUMIFS($AU$3:AU641,$P$3:P641,"R")</f>
        <v>15465.999999999776</v>
      </c>
      <c r="BM640" s="87">
        <f>SUMIFS($AU$3:AU641,$AQ$3:AQ641,"M")</f>
        <v>9793.3799999992334</v>
      </c>
      <c r="BN640" s="87">
        <f>SUMIFS($AU$3:AU641,$AQ$3:AQ641,"H")</f>
        <v>15475.200000000195</v>
      </c>
      <c r="BO640" s="87">
        <f>SUMIFS($AU$3:AU641,$AQ$3:AQ641,"D")</f>
        <v>13977.507142857021</v>
      </c>
      <c r="BP640" s="87">
        <f>SUMIFS($AS$3:AS1310,$AO$3:AO1310,"W")</f>
        <v>0</v>
      </c>
      <c r="BQ640" s="87">
        <f>SUMIFS($AU$3:AU641,$Q$3:Q641,"O")</f>
        <v>-3702.7400000004423</v>
      </c>
      <c r="BR640" s="87">
        <f>SUMIFS($AU$3:AU641,$AA$3:AA641,"*")</f>
        <v>42917.436363635694</v>
      </c>
      <c r="BS640" s="87">
        <f>SUMIFS($AU$3:AU641,$AB$3:AB641,"*")</f>
        <v>10383.860000000041</v>
      </c>
      <c r="BT640" s="87">
        <f>SUMIFS($AU$3:AU641,$AC$3:AC641,"*")</f>
        <v>34082.093506493678</v>
      </c>
      <c r="BU640" s="87">
        <f>SUMIFS($AU$3:AU641,$AA$3:AA641,"*",$AB$3:AB641,"*")</f>
        <v>5423.9999999998217</v>
      </c>
      <c r="BV640" s="87">
        <f>SUMIFS($AU$3:AU641,$AA$3:AA641,"*",$AC$3:AC641,"*")</f>
        <v>22128.036363636533</v>
      </c>
      <c r="BW640" s="87">
        <f>SUMIFS($AU$3:AU641,$AB$3:AB641,"*",$AC$3:AC641,"*")</f>
        <v>7119.9999999999982</v>
      </c>
      <c r="BX640" s="87">
        <f>SUMIFS($AV$3:AV641,$Q$3:Q641,"F")</f>
        <v>436.00253013189928</v>
      </c>
      <c r="BY640" s="87">
        <f>SUMIFS($AV$3:AV641,$Q$3:Q641,"S")</f>
        <v>848.03991333429894</v>
      </c>
      <c r="BZ640" s="87">
        <f>SUMIFS($AV$3:AV641,$Q$3:Q641,"O")</f>
        <v>420.95929999974192</v>
      </c>
    </row>
    <row r="641" spans="1:78" ht="15.75" customHeight="1">
      <c r="A641" s="45" t="s">
        <v>1819</v>
      </c>
      <c r="B641" s="59">
        <v>45434</v>
      </c>
      <c r="C641" s="46" t="s">
        <v>2044</v>
      </c>
      <c r="D641" s="46" t="s">
        <v>186</v>
      </c>
      <c r="E641" s="66"/>
      <c r="F641" s="47"/>
      <c r="G641" s="104" t="s">
        <v>1989</v>
      </c>
      <c r="H641" s="49"/>
      <c r="I641" s="49"/>
      <c r="J641" s="49"/>
      <c r="K641" s="50"/>
      <c r="L641" s="49"/>
      <c r="M641" s="49">
        <v>1</v>
      </c>
      <c r="N641" s="49"/>
      <c r="O641" s="50" t="s">
        <v>100</v>
      </c>
      <c r="P641" s="50" t="s">
        <v>126</v>
      </c>
      <c r="Q641" s="50" t="s">
        <v>198</v>
      </c>
      <c r="R641" s="50">
        <v>30</v>
      </c>
      <c r="S641" s="50">
        <v>0</v>
      </c>
      <c r="T641" s="50">
        <v>30</v>
      </c>
      <c r="U641" s="50" t="s">
        <v>22</v>
      </c>
      <c r="V641" s="50"/>
      <c r="W641" s="50"/>
      <c r="X641" s="50"/>
      <c r="Y641" s="51">
        <f t="shared" si="289"/>
        <v>0.01</v>
      </c>
      <c r="Z641" s="52">
        <f t="shared" si="290"/>
        <v>1600</v>
      </c>
      <c r="AA641" s="52" t="s">
        <v>645</v>
      </c>
      <c r="AB641" s="52"/>
      <c r="AC641" s="52"/>
      <c r="AD641" s="231">
        <v>96.09</v>
      </c>
      <c r="AE641" s="49"/>
      <c r="AF641" s="84"/>
      <c r="AG641" s="49"/>
      <c r="AH641" s="49"/>
      <c r="AI641" s="49"/>
      <c r="AJ641" s="226"/>
      <c r="AK641" s="49"/>
      <c r="AL641" s="113">
        <f>-0.03*Z641</f>
        <v>-48</v>
      </c>
      <c r="AM641" s="113">
        <f t="shared" si="286"/>
        <v>-1440</v>
      </c>
      <c r="AN641" s="218"/>
      <c r="AO641" s="49"/>
      <c r="AP641" s="49"/>
      <c r="AQ641" s="84" t="s">
        <v>142</v>
      </c>
      <c r="AR641" s="49" t="s">
        <v>1086</v>
      </c>
      <c r="AS641" s="55">
        <v>96.05</v>
      </c>
      <c r="AT641" s="55">
        <f t="shared" si="291"/>
        <v>-4.0000000000006253E-2</v>
      </c>
      <c r="AU641" s="54">
        <f t="shared" si="292"/>
        <v>-1920.0000000003001</v>
      </c>
      <c r="AV641" s="56">
        <f t="shared" si="288"/>
        <v>-64.000000000010004</v>
      </c>
      <c r="AW641" s="57" t="s">
        <v>121</v>
      </c>
      <c r="AX641" s="153" t="s">
        <v>2045</v>
      </c>
      <c r="AY641" s="153"/>
      <c r="AZ641" s="153" t="s">
        <v>2036</v>
      </c>
      <c r="BA641" s="153"/>
      <c r="BB641" s="153"/>
      <c r="BC641" s="153"/>
      <c r="BD641" s="151" t="s">
        <v>2046</v>
      </c>
      <c r="BE641" s="152" t="s">
        <v>2047</v>
      </c>
      <c r="BF641" s="151"/>
      <c r="BG641" s="94">
        <f>SUM($AV$4:AV641)</f>
        <v>3953.0017434659458</v>
      </c>
      <c r="BH641" s="95">
        <f>SUM($AU$4:AU641)</f>
        <v>55991.353506493055</v>
      </c>
      <c r="BI641" s="80">
        <f>SUMIFS($AU$3:AU642,$Q$3:Q642,"F")</f>
        <v>30642.093506493511</v>
      </c>
      <c r="BJ641" s="80">
        <f>SUMIFS($AU$3:AU642,$Q$3:Q642,"S")</f>
        <v>27328</v>
      </c>
      <c r="BK641" s="87">
        <f>SUMIFS($AU$3:AU642,$P$3:P642,"W")</f>
        <v>39771.273506493846</v>
      </c>
      <c r="BL641" s="87">
        <f>SUMIFS($AU$3:AU642,$P$3:P642,"R")</f>
        <v>13545.999999999778</v>
      </c>
      <c r="BM641" s="87">
        <f>SUMIFS($AU$3:AU642,$AQ$3:AQ642,"M")</f>
        <v>9793.3799999992334</v>
      </c>
      <c r="BN641" s="87">
        <f>SUMIFS($AU$3:AU642,$AQ$3:AQ642,"H")</f>
        <v>15475.200000000195</v>
      </c>
      <c r="BO641" s="87">
        <f>SUMIFS($AU$3:AU642,$AQ$3:AQ642,"D")</f>
        <v>12057.507142857023</v>
      </c>
      <c r="BP641" s="87">
        <f>SUMIFS($AS$3:AS1311,$AO$3:AO1311,"W")</f>
        <v>0</v>
      </c>
      <c r="BQ641" s="87">
        <f>SUMIFS($AU$3:AU642,$Q$3:Q642,"O")</f>
        <v>-5622.7400000004418</v>
      </c>
      <c r="BR641" s="87">
        <f>SUMIFS($AU$3:AU642,$AA$3:AA642,"*")</f>
        <v>40997.436363635694</v>
      </c>
      <c r="BS641" s="87">
        <f>SUMIFS($AU$3:AU642,$AB$3:AB642,"*")</f>
        <v>10383.860000000041</v>
      </c>
      <c r="BT641" s="87">
        <f>SUMIFS($AU$3:AU642,$AC$3:AC642,"*")</f>
        <v>34082.093506493678</v>
      </c>
      <c r="BU641" s="87">
        <f>SUMIFS($AU$3:AU642,$AA$3:AA642,"*",$AB$3:AB642,"*")</f>
        <v>5423.9999999998217</v>
      </c>
      <c r="BV641" s="87">
        <f>SUMIFS($AU$3:AU642,$AA$3:AA642,"*",$AC$3:AC642,"*")</f>
        <v>22128.036363636533</v>
      </c>
      <c r="BW641" s="87">
        <f>SUMIFS($AU$3:AU642,$AB$3:AB642,"*",$AC$3:AC642,"*")</f>
        <v>7119.9999999999982</v>
      </c>
      <c r="BX641" s="87">
        <f>SUMIFS($AV$3:AV642,$Q$3:Q642,"F")</f>
        <v>436.00253013189928</v>
      </c>
      <c r="BY641" s="87">
        <f>SUMIFS($AV$3:AV642,$Q$3:Q642,"S")</f>
        <v>848.03991333429894</v>
      </c>
      <c r="BZ641" s="87">
        <f>SUMIFS($AV$3:AV642,$Q$3:Q642,"O")</f>
        <v>356.95929999974192</v>
      </c>
    </row>
    <row r="642" spans="1:78" ht="15.75" customHeight="1">
      <c r="A642" s="45" t="s">
        <v>1819</v>
      </c>
      <c r="B642" s="59">
        <v>45434</v>
      </c>
      <c r="C642" s="46" t="s">
        <v>2044</v>
      </c>
      <c r="D642" s="46" t="s">
        <v>186</v>
      </c>
      <c r="E642" s="66"/>
      <c r="F642" s="47"/>
      <c r="G642" s="109" t="s">
        <v>688</v>
      </c>
      <c r="H642" s="49"/>
      <c r="I642" s="49"/>
      <c r="J642" s="49"/>
      <c r="K642" s="50"/>
      <c r="L642" s="49"/>
      <c r="M642" s="49">
        <v>1</v>
      </c>
      <c r="N642" s="49"/>
      <c r="O642" s="50" t="s">
        <v>100</v>
      </c>
      <c r="P642" s="50" t="s">
        <v>126</v>
      </c>
      <c r="Q642" s="50" t="s">
        <v>198</v>
      </c>
      <c r="R642" s="50">
        <v>30</v>
      </c>
      <c r="S642" s="50">
        <v>0</v>
      </c>
      <c r="T642" s="50">
        <v>30</v>
      </c>
      <c r="U642" s="50" t="s">
        <v>102</v>
      </c>
      <c r="V642" s="50"/>
      <c r="W642" s="50"/>
      <c r="X642" s="50"/>
      <c r="Y642" s="51">
        <f t="shared" si="289"/>
        <v>0.01</v>
      </c>
      <c r="Z642" s="52">
        <f t="shared" si="290"/>
        <v>1600</v>
      </c>
      <c r="AA642" s="52" t="s">
        <v>2048</v>
      </c>
      <c r="AB642" s="52"/>
      <c r="AC642" s="52"/>
      <c r="AD642" s="231">
        <v>-0.24</v>
      </c>
      <c r="AE642" s="49"/>
      <c r="AF642" s="84"/>
      <c r="AG642" s="49"/>
      <c r="AH642" s="49"/>
      <c r="AI642" s="49" t="s">
        <v>2049</v>
      </c>
      <c r="AJ642" s="226"/>
      <c r="AK642" s="49"/>
      <c r="AL642" s="113">
        <f>-0.03*Z642</f>
        <v>-48</v>
      </c>
      <c r="AM642" s="113">
        <f t="shared" si="286"/>
        <v>-1440</v>
      </c>
      <c r="AN642" s="218"/>
      <c r="AO642" s="49"/>
      <c r="AP642" s="49"/>
      <c r="AQ642" s="84" t="s">
        <v>155</v>
      </c>
      <c r="AR642" s="49"/>
      <c r="AS642" s="55">
        <v>-0.2</v>
      </c>
      <c r="AT642" s="55">
        <f t="shared" si="291"/>
        <v>-3.999999999999998E-2</v>
      </c>
      <c r="AU642" s="54">
        <f t="shared" si="292"/>
        <v>-1919.9999999999991</v>
      </c>
      <c r="AV642" s="56">
        <f t="shared" si="288"/>
        <v>-63.999999999999972</v>
      </c>
      <c r="AW642" s="57" t="s">
        <v>121</v>
      </c>
      <c r="AX642" s="176" t="s">
        <v>2050</v>
      </c>
      <c r="AY642" s="153"/>
      <c r="AZ642" s="153" t="s">
        <v>2051</v>
      </c>
      <c r="BA642" s="153"/>
      <c r="BB642" s="153"/>
      <c r="BC642" s="153"/>
      <c r="BD642" s="151"/>
      <c r="BE642" s="152"/>
      <c r="BF642" s="151"/>
      <c r="BG642" s="94">
        <f>SUM($AV$4:AV642)</f>
        <v>3889.0017434659458</v>
      </c>
      <c r="BH642" s="95">
        <f>SUM($AU$4:AU642)</f>
        <v>54071.353506493055</v>
      </c>
      <c r="BI642" s="80">
        <f>SUMIFS($AU$3:AU643,$Q$3:Q643,"F")</f>
        <v>30642.093506493511</v>
      </c>
      <c r="BJ642" s="80">
        <f>SUMIFS($AU$3:AU643,$Q$3:Q643,"S")</f>
        <v>27328</v>
      </c>
      <c r="BK642" s="87">
        <f>SUMIFS($AU$3:AU643,$P$3:P643,"W")</f>
        <v>39771.273506493846</v>
      </c>
      <c r="BL642" s="87">
        <f>SUMIFS($AU$3:AU643,$P$3:P643,"R")</f>
        <v>11626.00000000016</v>
      </c>
      <c r="BM642" s="87">
        <f>SUMIFS($AU$3:AU643,$AQ$3:AQ643,"M")</f>
        <v>9793.3799999992334</v>
      </c>
      <c r="BN642" s="87">
        <f>SUMIFS($AU$3:AU643,$AQ$3:AQ643,"H")</f>
        <v>13555.200000000577</v>
      </c>
      <c r="BO642" s="87">
        <f>SUMIFS($AU$3:AU643,$AQ$3:AQ643,"D")</f>
        <v>12057.507142857023</v>
      </c>
      <c r="BP642" s="87">
        <f>SUMIFS($AS$3:AS1312,$AO$3:AO1312,"W")</f>
        <v>0</v>
      </c>
      <c r="BQ642" s="87">
        <f>SUMIFS($AU$3:AU643,$Q$3:Q643,"O")</f>
        <v>-7542.7400000000598</v>
      </c>
      <c r="BR642" s="87">
        <f>SUMIFS($AU$3:AU643,$AA$3:AA643,"*")</f>
        <v>39077.436363636079</v>
      </c>
      <c r="BS642" s="87">
        <f>SUMIFS($AU$3:AU643,$AB$3:AB643,"*")</f>
        <v>10383.860000000041</v>
      </c>
      <c r="BT642" s="87">
        <f>SUMIFS($AU$3:AU643,$AC$3:AC643,"*")</f>
        <v>34082.093506493678</v>
      </c>
      <c r="BU642" s="87">
        <f>SUMIFS($AU$3:AU643,$AA$3:AA643,"*",$AB$3:AB643,"*")</f>
        <v>5423.9999999998217</v>
      </c>
      <c r="BV642" s="87">
        <f>SUMIFS($AU$3:AU643,$AA$3:AA643,"*",$AC$3:AC643,"*")</f>
        <v>22128.036363636533</v>
      </c>
      <c r="BW642" s="87">
        <f>SUMIFS($AU$3:AU643,$AB$3:AB643,"*",$AC$3:AC643,"*")</f>
        <v>7119.9999999999982</v>
      </c>
      <c r="BX642" s="87">
        <f>SUMIFS($AV$3:AV643,$Q$3:Q643,"F")</f>
        <v>436.00253013189928</v>
      </c>
      <c r="BY642" s="87">
        <f>SUMIFS($AV$3:AV643,$Q$3:Q643,"S")</f>
        <v>848.03991333429894</v>
      </c>
      <c r="BZ642" s="87">
        <f>SUMIFS($AV$3:AV643,$Q$3:Q643,"O")</f>
        <v>292.95929999975465</v>
      </c>
    </row>
    <row r="643" spans="1:78" ht="15.75" customHeight="1">
      <c r="A643" s="45" t="s">
        <v>1819</v>
      </c>
      <c r="B643" s="59">
        <v>45434</v>
      </c>
      <c r="C643" s="46" t="s">
        <v>2044</v>
      </c>
      <c r="D643" s="46" t="s">
        <v>186</v>
      </c>
      <c r="E643" s="66"/>
      <c r="F643" s="47"/>
      <c r="G643" s="170" t="s">
        <v>2052</v>
      </c>
      <c r="H643" s="49"/>
      <c r="I643" s="49"/>
      <c r="J643" s="49"/>
      <c r="K643" s="50"/>
      <c r="L643" s="49"/>
      <c r="M643" s="49">
        <v>1</v>
      </c>
      <c r="N643" s="49"/>
      <c r="O643" s="50" t="s">
        <v>100</v>
      </c>
      <c r="P643" s="50" t="s">
        <v>126</v>
      </c>
      <c r="Q643" s="50" t="s">
        <v>198</v>
      </c>
      <c r="R643" s="50">
        <v>30</v>
      </c>
      <c r="S643" s="50">
        <v>0</v>
      </c>
      <c r="T643" s="50">
        <v>30</v>
      </c>
      <c r="U643" s="50" t="s">
        <v>22</v>
      </c>
      <c r="V643" s="50"/>
      <c r="W643" s="50"/>
      <c r="X643" s="50"/>
      <c r="Y643" s="51">
        <f t="shared" si="289"/>
        <v>0.01</v>
      </c>
      <c r="Z643" s="52">
        <f t="shared" si="290"/>
        <v>1600</v>
      </c>
      <c r="AA643" s="52" t="s">
        <v>270</v>
      </c>
      <c r="AB643" s="52"/>
      <c r="AC643" s="52"/>
      <c r="AD643" s="231">
        <v>96.05</v>
      </c>
      <c r="AE643" s="49"/>
      <c r="AF643" s="84"/>
      <c r="AG643" s="49"/>
      <c r="AH643" s="49"/>
      <c r="AI643" s="49"/>
      <c r="AJ643" s="226"/>
      <c r="AK643" s="49"/>
      <c r="AL643" s="113">
        <f>-0.03*Z643</f>
        <v>-48</v>
      </c>
      <c r="AM643" s="113">
        <f t="shared" si="286"/>
        <v>-1440</v>
      </c>
      <c r="AN643" s="218"/>
      <c r="AO643" s="49"/>
      <c r="AP643" s="49"/>
      <c r="AQ643" s="84" t="s">
        <v>142</v>
      </c>
      <c r="AR643" s="49" t="s">
        <v>1330</v>
      </c>
      <c r="AS643" s="55">
        <v>96.01</v>
      </c>
      <c r="AT643" s="55">
        <f t="shared" si="291"/>
        <v>-3.9999999999992042E-2</v>
      </c>
      <c r="AU643" s="54">
        <f t="shared" si="292"/>
        <v>-1919.999999999618</v>
      </c>
      <c r="AV643" s="56">
        <f t="shared" si="288"/>
        <v>-63.999999999987267</v>
      </c>
      <c r="AW643" s="57" t="s">
        <v>121</v>
      </c>
      <c r="AX643" s="153" t="s">
        <v>2053</v>
      </c>
      <c r="AY643" s="153" t="s">
        <v>2054</v>
      </c>
      <c r="AZ643" s="153" t="s">
        <v>2055</v>
      </c>
      <c r="BA643" s="153"/>
      <c r="BB643" s="153"/>
      <c r="BC643" s="153"/>
      <c r="BD643" s="151" t="s">
        <v>2056</v>
      </c>
      <c r="BE643" s="152" t="s">
        <v>2057</v>
      </c>
      <c r="BF643" s="151"/>
      <c r="BG643" s="94">
        <f>SUM($AV$4:AV643)</f>
        <v>3825.0017434659585</v>
      </c>
      <c r="BH643" s="95">
        <f>SUM($AU$4:AU643)</f>
        <v>52151.35350649344</v>
      </c>
      <c r="BI643" s="80">
        <f>SUMIFS($AU$3:AU644,$Q$3:Q644,"F")</f>
        <v>30642.093506493511</v>
      </c>
      <c r="BJ643" s="80">
        <f>SUMIFS($AU$3:AU644,$Q$3:Q644,"S")</f>
        <v>27328</v>
      </c>
      <c r="BK643" s="87">
        <f>SUMIFS($AU$3:AU644,$P$3:P644,"W")</f>
        <v>39771.273506493846</v>
      </c>
      <c r="BL643" s="87">
        <f>SUMIFS($AU$3:AU644,$P$3:P644,"R")</f>
        <v>11626.00000000016</v>
      </c>
      <c r="BM643" s="87">
        <f>SUMIFS($AU$3:AU644,$AQ$3:AQ644,"M")</f>
        <v>9793.3799999992334</v>
      </c>
      <c r="BN643" s="87">
        <f>SUMIFS($AU$3:AU644,$AQ$3:AQ644,"H")</f>
        <v>15475.200000000877</v>
      </c>
      <c r="BO643" s="87">
        <f>SUMIFS($AU$3:AU644,$AQ$3:AQ644,"D")</f>
        <v>12057.507142857023</v>
      </c>
      <c r="BP643" s="87">
        <f>SUMIFS($AS$3:AS1313,$AO$3:AO1313,"W")</f>
        <v>0</v>
      </c>
      <c r="BQ643" s="87">
        <f>SUMIFS($AU$3:AU644,$Q$3:Q644,"O")</f>
        <v>-5622.7399999997597</v>
      </c>
      <c r="BR643" s="87">
        <f>SUMIFS($AU$3:AU644,$AA$3:AA644,"*")</f>
        <v>40997.436363636378</v>
      </c>
      <c r="BS643" s="87">
        <f>SUMIFS($AU$3:AU644,$AB$3:AB644,"*")</f>
        <v>10383.860000000041</v>
      </c>
      <c r="BT643" s="87">
        <f>SUMIFS($AU$3:AU644,$AC$3:AC644,"*")</f>
        <v>34082.093506493678</v>
      </c>
      <c r="BU643" s="87">
        <f>SUMIFS($AU$3:AU644,$AA$3:AA644,"*",$AB$3:AB644,"*")</f>
        <v>5423.9999999998217</v>
      </c>
      <c r="BV643" s="87">
        <f>SUMIFS($AU$3:AU644,$AA$3:AA644,"*",$AC$3:AC644,"*")</f>
        <v>22128.036363636533</v>
      </c>
      <c r="BW643" s="87">
        <f>SUMIFS($AU$3:AU644,$AB$3:AB644,"*",$AC$3:AC644,"*")</f>
        <v>7119.9999999999982</v>
      </c>
      <c r="BX643" s="87">
        <f>SUMIFS($AV$3:AV644,$Q$3:Q644,"F")</f>
        <v>436.00253013189928</v>
      </c>
      <c r="BY643" s="87">
        <f>SUMIFS($AV$3:AV644,$Q$3:Q644,"S")</f>
        <v>848.03991333429894</v>
      </c>
      <c r="BZ643" s="87">
        <f>SUMIFS($AV$3:AV644,$Q$3:Q644,"O")</f>
        <v>372.95929999976715</v>
      </c>
    </row>
    <row r="644" spans="1:78" ht="15.75" customHeight="1">
      <c r="A644" s="45" t="s">
        <v>1819</v>
      </c>
      <c r="B644" s="59">
        <v>45434</v>
      </c>
      <c r="C644" s="46" t="s">
        <v>2044</v>
      </c>
      <c r="D644" s="46" t="s">
        <v>186</v>
      </c>
      <c r="E644" s="66"/>
      <c r="F644" s="47"/>
      <c r="G644" s="170" t="s">
        <v>2058</v>
      </c>
      <c r="H644" s="49"/>
      <c r="I644" s="49"/>
      <c r="J644" s="49"/>
      <c r="K644" s="50"/>
      <c r="L644" s="49"/>
      <c r="M644" s="49">
        <v>1</v>
      </c>
      <c r="N644" s="49"/>
      <c r="O644" s="50" t="s">
        <v>476</v>
      </c>
      <c r="P644" s="50" t="s">
        <v>197</v>
      </c>
      <c r="Q644" s="50" t="s">
        <v>198</v>
      </c>
      <c r="R644" s="50">
        <v>24</v>
      </c>
      <c r="S644" s="50">
        <v>0</v>
      </c>
      <c r="T644" s="50">
        <v>16</v>
      </c>
      <c r="U644" s="50" t="s">
        <v>102</v>
      </c>
      <c r="V644" s="50"/>
      <c r="W644" s="50"/>
      <c r="X644" s="50"/>
      <c r="Y644" s="51">
        <f t="shared" si="289"/>
        <v>0.01</v>
      </c>
      <c r="Z644" s="52">
        <f t="shared" si="290"/>
        <v>2000</v>
      </c>
      <c r="AA644" s="52" t="s">
        <v>2059</v>
      </c>
      <c r="AB644" s="52"/>
      <c r="AC644" s="52"/>
      <c r="AD644" s="231">
        <v>96.09</v>
      </c>
      <c r="AE644" s="49"/>
      <c r="AF644" s="84"/>
      <c r="AG644" s="49"/>
      <c r="AH644" s="49"/>
      <c r="AI644" s="49"/>
      <c r="AJ644" s="226"/>
      <c r="AK644" s="49"/>
      <c r="AL644" s="113">
        <f t="shared" ref="AL644:AL653" si="293">-0.02*Z644</f>
        <v>-40</v>
      </c>
      <c r="AM644" s="113">
        <f t="shared" si="286"/>
        <v>-960</v>
      </c>
      <c r="AN644" s="218"/>
      <c r="AO644" s="49"/>
      <c r="AP644" s="49"/>
      <c r="AQ644" s="84" t="s">
        <v>142</v>
      </c>
      <c r="AR644" s="49" t="s">
        <v>1330</v>
      </c>
      <c r="AS644" s="55">
        <v>96.05</v>
      </c>
      <c r="AT644" s="55">
        <f t="shared" si="291"/>
        <v>4.0000000000006253E-2</v>
      </c>
      <c r="AU644" s="54">
        <f t="shared" si="292"/>
        <v>1920.0000000003001</v>
      </c>
      <c r="AV644" s="56">
        <f t="shared" si="288"/>
        <v>80.000000000012506</v>
      </c>
      <c r="AW644" s="57" t="s">
        <v>101</v>
      </c>
      <c r="AX644" s="153" t="s">
        <v>2053</v>
      </c>
      <c r="AY644" s="153" t="s">
        <v>2060</v>
      </c>
      <c r="AZ644" s="153" t="s">
        <v>2061</v>
      </c>
      <c r="BA644" s="153"/>
      <c r="BB644" s="153"/>
      <c r="BC644" s="153"/>
      <c r="BD644" s="99" t="s">
        <v>2062</v>
      </c>
      <c r="BE644" s="152" t="s">
        <v>2063</v>
      </c>
      <c r="BF644" s="151" t="s">
        <v>2064</v>
      </c>
      <c r="BG644" s="94">
        <f>SUM($AV$4:AV644)</f>
        <v>3905.0017434659712</v>
      </c>
      <c r="BH644" s="95">
        <f>SUM($AU$4:AU644)</f>
        <v>54071.353506493739</v>
      </c>
      <c r="BI644" s="80">
        <f>SUMIFS($AU$3:AU645,$Q$3:Q645,"F")</f>
        <v>30642.093506493511</v>
      </c>
      <c r="BJ644" s="80">
        <f>SUMIFS($AU$3:AU645,$Q$3:Q645,"S")</f>
        <v>27328</v>
      </c>
      <c r="BK644" s="87">
        <f>SUMIFS($AU$3:AU645,$P$3:P645,"W")</f>
        <v>39771.273506493846</v>
      </c>
      <c r="BL644" s="87">
        <f>SUMIFS($AU$3:AU645,$P$3:P645,"R")</f>
        <v>11626.00000000016</v>
      </c>
      <c r="BM644" s="87">
        <f>SUMIFS($AU$3:AU645,$AQ$3:AQ645,"M")</f>
        <v>9793.3799999992334</v>
      </c>
      <c r="BN644" s="87">
        <f>SUMIFS($AU$3:AU645,$AQ$3:AQ645,"H")</f>
        <v>15475.200000000877</v>
      </c>
      <c r="BO644" s="87">
        <f>SUMIFS($AU$3:AU645,$AQ$3:AQ645,"D")</f>
        <v>12057.507142857023</v>
      </c>
      <c r="BP644" s="87">
        <f>SUMIFS($AS$3:AS1314,$AO$3:AO1314,"W")</f>
        <v>0</v>
      </c>
      <c r="BQ644" s="87">
        <f>SUMIFS($AU$3:AU645,$Q$3:Q645,"O")</f>
        <v>-5622.7399999997597</v>
      </c>
      <c r="BR644" s="87">
        <f>SUMIFS($AU$3:AU645,$AA$3:AA645,"*")</f>
        <v>40997.436363636378</v>
      </c>
      <c r="BS644" s="87">
        <f>SUMIFS($AU$3:AU645,$AB$3:AB645,"*")</f>
        <v>10383.860000000041</v>
      </c>
      <c r="BT644" s="87">
        <f>SUMIFS($AU$3:AU645,$AC$3:AC645,"*")</f>
        <v>34082.093506493678</v>
      </c>
      <c r="BU644" s="87">
        <f>SUMIFS($AU$3:AU645,$AA$3:AA645,"*",$AB$3:AB645,"*")</f>
        <v>5423.9999999998217</v>
      </c>
      <c r="BV644" s="87">
        <f>SUMIFS($AU$3:AU645,$AA$3:AA645,"*",$AC$3:AC645,"*")</f>
        <v>22128.036363636533</v>
      </c>
      <c r="BW644" s="87">
        <f>SUMIFS($AU$3:AU645,$AB$3:AB645,"*",$AC$3:AC645,"*")</f>
        <v>7119.9999999999982</v>
      </c>
      <c r="BX644" s="87">
        <f>SUMIFS($AV$3:AV645,$Q$3:Q645,"F")</f>
        <v>436.00253013189928</v>
      </c>
      <c r="BY644" s="87">
        <f>SUMIFS($AV$3:AV645,$Q$3:Q645,"S")</f>
        <v>848.03991333429894</v>
      </c>
      <c r="BZ644" s="87">
        <f>SUMIFS($AV$3:AV645,$Q$3:Q645,"O")</f>
        <v>372.95929999976715</v>
      </c>
    </row>
    <row r="645" spans="1:78" ht="15.75" customHeight="1">
      <c r="A645" s="45" t="s">
        <v>1819</v>
      </c>
      <c r="B645" s="59">
        <v>45434</v>
      </c>
      <c r="C645" s="46" t="s">
        <v>1573</v>
      </c>
      <c r="D645" s="46" t="s">
        <v>186</v>
      </c>
      <c r="E645" s="66" t="s">
        <v>2065</v>
      </c>
      <c r="F645" s="47"/>
      <c r="G645" s="48"/>
      <c r="H645" s="49">
        <v>1</v>
      </c>
      <c r="I645" s="49"/>
      <c r="J645" s="49"/>
      <c r="K645" s="50" t="s">
        <v>142</v>
      </c>
      <c r="L645" s="49"/>
      <c r="M645" s="49"/>
      <c r="N645" s="49"/>
      <c r="O645" s="50"/>
      <c r="P645" s="50"/>
      <c r="Q645" s="50"/>
      <c r="R645" s="50"/>
      <c r="S645" s="50"/>
      <c r="T645" s="50"/>
      <c r="U645" s="50"/>
      <c r="V645" s="50"/>
      <c r="W645" s="50"/>
      <c r="X645" s="50"/>
      <c r="Y645" s="51"/>
      <c r="Z645" s="52"/>
      <c r="AA645" s="52"/>
      <c r="AB645" s="52"/>
      <c r="AC645" s="52"/>
      <c r="AD645" s="231"/>
      <c r="AE645" s="49"/>
      <c r="AF645" s="84"/>
      <c r="AG645" s="49"/>
      <c r="AH645" s="49"/>
      <c r="AI645" s="49"/>
      <c r="AJ645" s="226"/>
      <c r="AK645" s="49"/>
      <c r="AL645" s="113">
        <f t="shared" si="293"/>
        <v>0</v>
      </c>
      <c r="AM645" s="113">
        <f t="shared" si="286"/>
        <v>0</v>
      </c>
      <c r="AN645" s="218"/>
      <c r="AO645" s="49"/>
      <c r="AP645" s="49"/>
      <c r="AQ645" s="84" t="str">
        <f>UPPER(RIGHT(Journal_Live[[#This Row],[DURATION ]]))</f>
        <v/>
      </c>
      <c r="AR645" s="49"/>
      <c r="AS645" s="55"/>
      <c r="AT645" s="55"/>
      <c r="AU645" s="54"/>
      <c r="AV645" s="56"/>
      <c r="AW645" s="57"/>
      <c r="AX645" s="153" t="s">
        <v>2066</v>
      </c>
      <c r="AY645" s="153" t="s">
        <v>2067</v>
      </c>
      <c r="AZ645" s="153"/>
      <c r="BA645" s="153"/>
      <c r="BB645" s="153"/>
      <c r="BC645" s="153"/>
      <c r="BD645" s="151"/>
      <c r="BE645" s="152"/>
      <c r="BF645" s="151"/>
      <c r="BG645" s="94">
        <f>SUM($AV$4:AV645)</f>
        <v>3905.0017434659712</v>
      </c>
      <c r="BH645" s="95">
        <f>SUM($AU$4:AU645)</f>
        <v>54071.353506493739</v>
      </c>
      <c r="BI645" s="80">
        <f>SUMIFS($AU$3:AU646,$Q$3:Q646,"F")</f>
        <v>30642.093506493511</v>
      </c>
      <c r="BJ645" s="80">
        <f>SUMIFS($AU$3:AU646,$Q$3:Q646,"S")</f>
        <v>27328</v>
      </c>
      <c r="BK645" s="87">
        <f>SUMIFS($AU$3:AU646,$P$3:P646,"W")</f>
        <v>39771.273506493846</v>
      </c>
      <c r="BL645" s="87">
        <f>SUMIFS($AU$3:AU646,$P$3:P646,"R")</f>
        <v>11626.00000000016</v>
      </c>
      <c r="BM645" s="87">
        <f>SUMIFS($AU$3:AU646,$AQ$3:AQ646,"M")</f>
        <v>9793.3799999992334</v>
      </c>
      <c r="BN645" s="87">
        <f>SUMIFS($AU$3:AU646,$AQ$3:AQ646,"H")</f>
        <v>15475.200000000877</v>
      </c>
      <c r="BO645" s="87">
        <f>SUMIFS($AU$3:AU646,$AQ$3:AQ646,"D")</f>
        <v>12057.507142857023</v>
      </c>
      <c r="BP645" s="87">
        <f>SUMIFS($AS$3:AS1315,$AO$3:AO1315,"W")</f>
        <v>0</v>
      </c>
      <c r="BQ645" s="87">
        <f>SUMIFS($AU$3:AU646,$Q$3:Q646,"O")</f>
        <v>-5622.7399999997597</v>
      </c>
      <c r="BR645" s="87">
        <f>SUMIFS($AU$3:AU646,$AA$3:AA646,"*")</f>
        <v>40997.436363636378</v>
      </c>
      <c r="BS645" s="87">
        <f>SUMIFS($AU$3:AU646,$AB$3:AB646,"*")</f>
        <v>10383.860000000041</v>
      </c>
      <c r="BT645" s="87">
        <f>SUMIFS($AU$3:AU646,$AC$3:AC646,"*")</f>
        <v>34082.093506493678</v>
      </c>
      <c r="BU645" s="87">
        <f>SUMIFS($AU$3:AU646,$AA$3:AA646,"*",$AB$3:AB646,"*")</f>
        <v>5423.9999999998217</v>
      </c>
      <c r="BV645" s="87">
        <f>SUMIFS($AU$3:AU646,$AA$3:AA646,"*",$AC$3:AC646,"*")</f>
        <v>22128.036363636533</v>
      </c>
      <c r="BW645" s="87">
        <f>SUMIFS($AU$3:AU646,$AB$3:AB646,"*",$AC$3:AC646,"*")</f>
        <v>7119.9999999999982</v>
      </c>
      <c r="BX645" s="87">
        <f>SUMIFS($AV$3:AV646,$Q$3:Q646,"F")</f>
        <v>436.00253013189928</v>
      </c>
      <c r="BY645" s="87">
        <f>SUMIFS($AV$3:AV646,$Q$3:Q646,"S")</f>
        <v>848.03991333429894</v>
      </c>
      <c r="BZ645" s="87">
        <f>SUMIFS($AV$3:AV646,$Q$3:Q646,"O")</f>
        <v>372.95929999976715</v>
      </c>
    </row>
    <row r="646" spans="1:78" ht="15.75" customHeight="1">
      <c r="A646" s="45" t="s">
        <v>1819</v>
      </c>
      <c r="B646" s="59"/>
      <c r="C646" s="46"/>
      <c r="D646" s="46"/>
      <c r="E646" s="66" t="s">
        <v>2068</v>
      </c>
      <c r="F646" s="47"/>
      <c r="G646" s="48"/>
      <c r="H646" s="49">
        <v>1</v>
      </c>
      <c r="I646" s="49"/>
      <c r="J646" s="49"/>
      <c r="K646" s="50" t="s">
        <v>142</v>
      </c>
      <c r="L646" s="49"/>
      <c r="M646" s="49"/>
      <c r="N646" s="49"/>
      <c r="O646" s="50"/>
      <c r="P646" s="50"/>
      <c r="Q646" s="50"/>
      <c r="R646" s="50"/>
      <c r="S646" s="50"/>
      <c r="T646" s="50"/>
      <c r="U646" s="50"/>
      <c r="V646" s="50"/>
      <c r="W646" s="50"/>
      <c r="X646" s="50"/>
      <c r="Y646" s="51"/>
      <c r="Z646" s="52"/>
      <c r="AA646" s="52"/>
      <c r="AB646" s="52"/>
      <c r="AC646" s="52"/>
      <c r="AD646" s="231"/>
      <c r="AE646" s="49"/>
      <c r="AF646" s="84"/>
      <c r="AG646" s="49"/>
      <c r="AH646" s="49"/>
      <c r="AI646" s="49"/>
      <c r="AJ646" s="226"/>
      <c r="AK646" s="49"/>
      <c r="AL646" s="113">
        <f t="shared" si="293"/>
        <v>0</v>
      </c>
      <c r="AM646" s="113">
        <f t="shared" si="286"/>
        <v>0</v>
      </c>
      <c r="AN646" s="218"/>
      <c r="AO646" s="49"/>
      <c r="AP646" s="49"/>
      <c r="AQ646" s="84" t="str">
        <f>UPPER(RIGHT(Journal_Live[[#This Row],[DURATION ]]))</f>
        <v/>
      </c>
      <c r="AR646" s="49"/>
      <c r="AS646" s="55"/>
      <c r="AT646" s="55"/>
      <c r="AU646" s="54"/>
      <c r="AV646" s="56"/>
      <c r="AW646" s="57"/>
      <c r="AX646" s="153"/>
      <c r="AY646" s="153"/>
      <c r="AZ646" s="153"/>
      <c r="BA646" s="153"/>
      <c r="BB646" s="153"/>
      <c r="BC646" s="153"/>
      <c r="BD646" s="151"/>
      <c r="BE646" s="152"/>
      <c r="BF646" s="151"/>
      <c r="BG646" s="94">
        <f>SUM($AV$4:AV646)</f>
        <v>3905.0017434659712</v>
      </c>
      <c r="BH646" s="95">
        <f>SUM($AU$4:AU646)</f>
        <v>54071.353506493739</v>
      </c>
      <c r="BI646" s="80">
        <f>SUMIFS($AU$3:AU647,$Q$3:Q647,"F")</f>
        <v>30642.093506493511</v>
      </c>
      <c r="BJ646" s="80">
        <f>SUMIFS($AU$3:AU647,$Q$3:Q647,"S")</f>
        <v>25408</v>
      </c>
      <c r="BK646" s="87">
        <f>SUMIFS($AU$3:AU647,$P$3:P647,"W")</f>
        <v>37851.273506493846</v>
      </c>
      <c r="BL646" s="87">
        <f>SUMIFS($AU$3:AU647,$P$3:P647,"R")</f>
        <v>11626.00000000016</v>
      </c>
      <c r="BM646" s="87">
        <f>SUMIFS($AU$3:AU647,$AQ$3:AQ647,"M")</f>
        <v>9793.3799999992334</v>
      </c>
      <c r="BN646" s="87">
        <f>SUMIFS($AU$3:AU647,$AQ$3:AQ647,"H")</f>
        <v>13555.200000000877</v>
      </c>
      <c r="BO646" s="87">
        <f>SUMIFS($AU$3:AU647,$AQ$3:AQ647,"D")</f>
        <v>12057.507142857023</v>
      </c>
      <c r="BP646" s="87">
        <f>SUMIFS($AS$3:AS1316,$AO$3:AO1316,"W")</f>
        <v>0</v>
      </c>
      <c r="BQ646" s="87">
        <f>SUMIFS($AU$3:AU647,$Q$3:Q647,"O")</f>
        <v>-5622.7399999997597</v>
      </c>
      <c r="BR646" s="87">
        <f>SUMIFS($AU$3:AU647,$AA$3:AA647,"*")</f>
        <v>39077.436363636378</v>
      </c>
      <c r="BS646" s="87">
        <f>SUMIFS($AU$3:AU647,$AB$3:AB647,"*")</f>
        <v>10383.860000000041</v>
      </c>
      <c r="BT646" s="87">
        <f>SUMIFS($AU$3:AU647,$AC$3:AC647,"*")</f>
        <v>34082.093506493678</v>
      </c>
      <c r="BU646" s="87">
        <f>SUMIFS($AU$3:AU647,$AA$3:AA647,"*",$AB$3:AB647,"*")</f>
        <v>5423.9999999998217</v>
      </c>
      <c r="BV646" s="87">
        <f>SUMIFS($AU$3:AU647,$AA$3:AA647,"*",$AC$3:AC647,"*")</f>
        <v>22128.036363636533</v>
      </c>
      <c r="BW646" s="87">
        <f>SUMIFS($AU$3:AU647,$AB$3:AB647,"*",$AC$3:AC647,"*")</f>
        <v>7119.9999999999982</v>
      </c>
      <c r="BX646" s="87">
        <f>SUMIFS($AV$3:AV647,$Q$3:Q647,"F")</f>
        <v>436.00253013189928</v>
      </c>
      <c r="BY646" s="87">
        <f>SUMIFS($AV$3:AV647,$Q$3:Q647,"S")</f>
        <v>816.03991333429894</v>
      </c>
      <c r="BZ646" s="87">
        <f>SUMIFS($AV$3:AV647,$Q$3:Q647,"O")</f>
        <v>372.95929999976715</v>
      </c>
    </row>
    <row r="647" spans="1:78" ht="15.75" customHeight="1">
      <c r="A647" s="45" t="s">
        <v>1819</v>
      </c>
      <c r="B647" s="59">
        <v>45434</v>
      </c>
      <c r="C647" s="46" t="s">
        <v>2069</v>
      </c>
      <c r="D647" s="46" t="s">
        <v>186</v>
      </c>
      <c r="E647" s="66"/>
      <c r="F647" s="47"/>
      <c r="G647" s="170" t="s">
        <v>111</v>
      </c>
      <c r="H647" s="49"/>
      <c r="I647" s="49"/>
      <c r="J647" s="49"/>
      <c r="K647" s="50"/>
      <c r="L647" s="49"/>
      <c r="M647" s="49"/>
      <c r="N647" s="49">
        <v>2</v>
      </c>
      <c r="O647" s="50" t="s">
        <v>100</v>
      </c>
      <c r="P647" s="50" t="s">
        <v>101</v>
      </c>
      <c r="Q647" s="50" t="s">
        <v>102</v>
      </c>
      <c r="R647" s="50">
        <v>60</v>
      </c>
      <c r="S647" s="50">
        <v>0</v>
      </c>
      <c r="T647" s="50">
        <v>60</v>
      </c>
      <c r="U647" s="50" t="s">
        <v>102</v>
      </c>
      <c r="V647" s="50"/>
      <c r="W647" s="50"/>
      <c r="X647" s="50"/>
      <c r="Y647" s="51">
        <f>IF(ISBLANK(O647),"",(IF(O647=UPPER("IB"),0.005,0.01)))</f>
        <v>0.01</v>
      </c>
      <c r="Z647" s="52">
        <f>IF(ISBLANK(O647),"",IF(O647="IB",8.63*200,IF(O647="IR",16*100,IF(O647="YT",20*100,IF(O647="YT-XT",24*200,IF(O647="TED",80*100,IF(O647="XT",29*200)))))))</f>
        <v>1600</v>
      </c>
      <c r="AA647" s="52" t="s">
        <v>270</v>
      </c>
      <c r="AB647" s="52"/>
      <c r="AC647" s="52"/>
      <c r="AD647" s="231">
        <v>0.01</v>
      </c>
      <c r="AE647" s="49"/>
      <c r="AF647" s="84"/>
      <c r="AG647" s="49"/>
      <c r="AH647" s="49"/>
      <c r="AI647" s="49" t="s">
        <v>2070</v>
      </c>
      <c r="AJ647" s="226"/>
      <c r="AK647" s="49"/>
      <c r="AL647" s="113">
        <f t="shared" si="293"/>
        <v>-32</v>
      </c>
      <c r="AM647" s="113">
        <f t="shared" si="286"/>
        <v>-1920</v>
      </c>
      <c r="AN647" s="218" t="s">
        <v>2071</v>
      </c>
      <c r="AO647" s="49"/>
      <c r="AP647" s="49" t="s">
        <v>2072</v>
      </c>
      <c r="AQ647" s="84" t="s">
        <v>142</v>
      </c>
      <c r="AR647" s="49" t="s">
        <v>2073</v>
      </c>
      <c r="AS647" s="55">
        <v>0.03</v>
      </c>
      <c r="AT647" s="55">
        <f>IF(ISBLANK(AS647),,IF(U647="S",AD647-AS647,AS647-AD647))</f>
        <v>-1.9999999999999997E-2</v>
      </c>
      <c r="AU647" s="54">
        <f>AV647*R647</f>
        <v>-1919.9999999999998</v>
      </c>
      <c r="AV647" s="56">
        <f t="shared" si="288"/>
        <v>-31.999999999999996</v>
      </c>
      <c r="AW647" s="57" t="s">
        <v>121</v>
      </c>
      <c r="AX647" s="153" t="s">
        <v>2074</v>
      </c>
      <c r="AY647" s="153" t="s">
        <v>1924</v>
      </c>
      <c r="AZ647" s="153" t="s">
        <v>2075</v>
      </c>
      <c r="BA647" s="153" t="s">
        <v>2076</v>
      </c>
      <c r="BB647" s="153" t="s">
        <v>2077</v>
      </c>
      <c r="BC647" s="153"/>
      <c r="BD647" s="151"/>
      <c r="BE647" s="152"/>
      <c r="BF647" s="151"/>
      <c r="BG647" s="94">
        <f>SUM($AV$4:AV647)</f>
        <v>3873.0017434659712</v>
      </c>
      <c r="BH647" s="95">
        <f>SUM($AU$4:AU647)</f>
        <v>52151.353506493739</v>
      </c>
      <c r="BI647" s="80">
        <f>SUMIFS($AU$3:AU996,$Q$3:Q996,"F")</f>
        <v>28758.758121878131</v>
      </c>
      <c r="BJ647" s="80">
        <f>SUMIFS($AU$3:AU996,$Q$3:Q996,"S")</f>
        <v>18338.285714285717</v>
      </c>
      <c r="BK647" s="87">
        <f>SUMIFS($AU$3:AU996,$P$3:P996,"W")</f>
        <v>16085.423836163443</v>
      </c>
      <c r="BL647" s="87">
        <f>SUMIFS($AU$3:AU996,$P$3:P996,"R")</f>
        <v>23278.800000000327</v>
      </c>
      <c r="BM647" s="87">
        <f>SUMIFS($AU$3:AU996,$AQ$3:AQ996,"M")</f>
        <v>9563.1799999983832</v>
      </c>
      <c r="BN647" s="87">
        <f>SUMIFS($AU$3:AU996,$AQ$3:AQ996,"H")</f>
        <v>12587.200000000877</v>
      </c>
      <c r="BO647" s="87">
        <f>SUMIFS($AU$3:AU996,$AQ$3:AQ996,"D")</f>
        <v>11195.57747252718</v>
      </c>
      <c r="BP647" s="87">
        <f>SUMIFS($AS$3:AS1317,$AO$3:AO1317,"W")</f>
        <v>0</v>
      </c>
      <c r="BQ647" s="87">
        <f>SUMIFS($AU$3:AU996,$Q$3:Q996,"O")</f>
        <v>-9366.1400000007852</v>
      </c>
      <c r="BR647" s="87">
        <f>SUMIFS($AU$3:AU996,$AA$3:AA996,"*")</f>
        <v>39156.002077921221</v>
      </c>
      <c r="BS647" s="87">
        <f>SUMIFS($AU$3:AU996,$AB$3:AB996,"*")</f>
        <v>7005.8599999997941</v>
      </c>
      <c r="BT647" s="87">
        <f>SUMIFS($AU$3:AU996,$AC$3:AC996,"*")</f>
        <v>31968.358121878122</v>
      </c>
      <c r="BU647" s="87">
        <f>SUMIFS($AU$3:AU996,$AA$3:AA996,"*",$AB$3:AB996,"*")</f>
        <v>7301.9999999995771</v>
      </c>
      <c r="BV647" s="87">
        <f>SUMIFS($AU$3:AU996,$AA$3:AA996,"*",$AC$3:AC996,"*")</f>
        <v>29949.316363636532</v>
      </c>
      <c r="BW647" s="87">
        <f>SUMIFS($AU$3:AU996,$AB$3:AB996,"*",$AC$3:AC996,"*")</f>
        <v>3739.199999999998</v>
      </c>
      <c r="BX647" s="87">
        <f>SUMIFS($AV$3:AV996,$Q$3:Q996,"F")</f>
        <v>396.72999236351012</v>
      </c>
      <c r="BY647" s="87">
        <f>SUMIFS($AV$3:AV996,$Q$3:Q996,"S")</f>
        <v>775.76285705724263</v>
      </c>
      <c r="BZ647" s="87">
        <f>SUMIFS($AV$3:AV996,$Q$3:Q996,"O")</f>
        <v>569.29929999965555</v>
      </c>
    </row>
    <row r="648" spans="1:78" ht="15.75" customHeight="1">
      <c r="A648" s="45" t="s">
        <v>1819</v>
      </c>
      <c r="B648" s="59">
        <v>45434</v>
      </c>
      <c r="C648" s="46" t="s">
        <v>2069</v>
      </c>
      <c r="D648" s="46" t="s">
        <v>186</v>
      </c>
      <c r="E648" s="66"/>
      <c r="F648" s="47"/>
      <c r="G648" s="104" t="s">
        <v>527</v>
      </c>
      <c r="H648" s="49"/>
      <c r="I648" s="49"/>
      <c r="J648" s="49"/>
      <c r="K648" s="50"/>
      <c r="L648" s="49"/>
      <c r="M648" s="49"/>
      <c r="N648" s="49">
        <v>2</v>
      </c>
      <c r="O648" s="50" t="s">
        <v>100</v>
      </c>
      <c r="P648" s="50" t="s">
        <v>101</v>
      </c>
      <c r="Q648" s="50" t="s">
        <v>127</v>
      </c>
      <c r="R648" s="50">
        <v>20</v>
      </c>
      <c r="S648" s="50">
        <v>20</v>
      </c>
      <c r="T648" s="50">
        <v>20</v>
      </c>
      <c r="U648" s="50" t="s">
        <v>102</v>
      </c>
      <c r="V648" s="50"/>
      <c r="W648" s="50"/>
      <c r="X648" s="50"/>
      <c r="Y648" s="51">
        <f>IF(ISBLANK(O648),"",(IF(O648=UPPER("IB"),0.005,0.01)))</f>
        <v>0.01</v>
      </c>
      <c r="Z648" s="52">
        <f>IF(ISBLANK(O648),"",IF(O648="IB",8.63*200,IF(O648="IR",16*100,IF(O648="YT",20*100,IF(O648="YT-XT",24*200,IF(O648="TED",80*100,IF(O648="XT",29*200)))))))</f>
        <v>1600</v>
      </c>
      <c r="AA648" s="52" t="s">
        <v>2078</v>
      </c>
      <c r="AB648" s="52"/>
      <c r="AC648" s="52" t="s">
        <v>2079</v>
      </c>
      <c r="AD648" s="231">
        <v>5.33E-2</v>
      </c>
      <c r="AE648" s="49"/>
      <c r="AF648" s="84"/>
      <c r="AG648" s="49"/>
      <c r="AH648" s="49"/>
      <c r="AI648" s="49"/>
      <c r="AJ648" s="226"/>
      <c r="AK648" s="49"/>
      <c r="AL648" s="113">
        <f t="shared" si="293"/>
        <v>-32</v>
      </c>
      <c r="AM648" s="113">
        <f t="shared" si="286"/>
        <v>0</v>
      </c>
      <c r="AN648" s="218" t="s">
        <v>2080</v>
      </c>
      <c r="AO648" s="49"/>
      <c r="AP648" s="49" t="s">
        <v>183</v>
      </c>
      <c r="AQ648" s="84" t="s">
        <v>155</v>
      </c>
      <c r="AR648" s="49"/>
      <c r="AS648" s="55">
        <f>((0.06*20)+(0.06*20))/40</f>
        <v>0.06</v>
      </c>
      <c r="AT648" s="55">
        <f>IF(ISBLANK(AS648),,IF(U648="S",AD648-AS648,AS648-AD648))</f>
        <v>-6.6999999999999976E-3</v>
      </c>
      <c r="AU648" s="54">
        <f>AV648*R648</f>
        <v>-214.39999999999992</v>
      </c>
      <c r="AV648" s="56">
        <f t="shared" si="288"/>
        <v>-10.719999999999995</v>
      </c>
      <c r="AW648" s="57" t="s">
        <v>121</v>
      </c>
      <c r="AX648" s="153" t="s">
        <v>2081</v>
      </c>
      <c r="AY648" s="153"/>
      <c r="AZ648" s="153"/>
      <c r="BA648" s="153"/>
      <c r="BB648" s="153"/>
      <c r="BC648" s="153"/>
      <c r="BD648" s="151"/>
      <c r="BE648" s="152"/>
      <c r="BF648" s="151"/>
      <c r="BG648" s="94">
        <f>SUM($AV$4:AV648)</f>
        <v>3862.2817434659714</v>
      </c>
      <c r="BH648" s="95">
        <f>SUM($AU$4:AU648)</f>
        <v>51936.953506493737</v>
      </c>
      <c r="BI648" s="80">
        <f>SUMIFS($AU$3:AU649,$Q$3:Q649,"F")</f>
        <v>30427.69350649351</v>
      </c>
      <c r="BJ648" s="80">
        <f>SUMIFS($AU$3:AU649,$Q$3:Q649,"S")</f>
        <v>23808</v>
      </c>
      <c r="BK648" s="87">
        <f>SUMIFS($AU$3:AU649,$P$3:P649,"W")</f>
        <v>36036.873506493845</v>
      </c>
      <c r="BL648" s="87">
        <f>SUMIFS($AU$3:AU649,$P$3:P649,"R")</f>
        <v>11626.00000000016</v>
      </c>
      <c r="BM648" s="87">
        <f>SUMIFS($AU$3:AU649,$AQ$3:AQ649,"M")</f>
        <v>9793.3799999992334</v>
      </c>
      <c r="BN648" s="87">
        <f>SUMIFS($AU$3:AU649,$AQ$3:AQ649,"H")</f>
        <v>11955.200000000876</v>
      </c>
      <c r="BO648" s="87">
        <f>SUMIFS($AU$3:AU649,$AQ$3:AQ649,"D")</f>
        <v>11843.107142857023</v>
      </c>
      <c r="BP648" s="87">
        <f>SUMIFS($AS$3:AS1315,$AO$3:AO1315,"W")</f>
        <v>0</v>
      </c>
      <c r="BQ648" s="87">
        <f>SUMIFS($AU$3:AU649,$Q$3:Q649,"O")</f>
        <v>-5622.7399999997597</v>
      </c>
      <c r="BR648" s="87">
        <f>SUMIFS($AU$3:AU649,$AA$3:AA649,"*")</f>
        <v>37263.036363636376</v>
      </c>
      <c r="BS648" s="87">
        <f>SUMIFS($AU$3:AU649,$AB$3:AB649,"*")</f>
        <v>10383.860000000041</v>
      </c>
      <c r="BT648" s="87">
        <f>SUMIFS($AU$3:AU649,$AC$3:AC649,"*")</f>
        <v>33867.693506493677</v>
      </c>
      <c r="BU648" s="87">
        <f>SUMIFS($AU$3:AU649,$AA$3:AA649,"*",$AB$3:AB649,"*")</f>
        <v>5423.9999999998217</v>
      </c>
      <c r="BV648" s="87">
        <f>SUMIFS($AU$3:AU649,$AA$3:AA649,"*",$AC$3:AC649,"*")</f>
        <v>21913.636363636531</v>
      </c>
      <c r="BW648" s="87">
        <f>SUMIFS($AU$3:AU649,$AB$3:AB649,"*",$AC$3:AC649,"*")</f>
        <v>7119.9999999999982</v>
      </c>
      <c r="BX648" s="87">
        <f>SUMIFS($AV$3:AV649,$Q$3:Q649,"F")</f>
        <v>425.28253013189931</v>
      </c>
      <c r="BY648" s="87">
        <f>SUMIFS($AV$3:AV649,$Q$3:Q649,"S")</f>
        <v>800.03991333429894</v>
      </c>
      <c r="BZ648" s="87">
        <f>SUMIFS($AV$3:AV649,$Q$3:Q649,"O")</f>
        <v>372.95929999976715</v>
      </c>
    </row>
    <row r="649" spans="1:78" ht="15.75" customHeight="1">
      <c r="A649" s="45" t="s">
        <v>1819</v>
      </c>
      <c r="B649" s="59">
        <v>45434</v>
      </c>
      <c r="C649" s="46" t="s">
        <v>2069</v>
      </c>
      <c r="D649" s="46" t="s">
        <v>186</v>
      </c>
      <c r="E649" s="66"/>
      <c r="F649" s="47"/>
      <c r="G649" s="170" t="s">
        <v>466</v>
      </c>
      <c r="H649" s="49"/>
      <c r="I649" s="49"/>
      <c r="J649" s="49"/>
      <c r="K649" s="50"/>
      <c r="L649" s="49"/>
      <c r="M649" s="49"/>
      <c r="N649" s="49">
        <v>2</v>
      </c>
      <c r="O649" s="50" t="s">
        <v>100</v>
      </c>
      <c r="P649" s="50" t="s">
        <v>101</v>
      </c>
      <c r="Q649" s="50" t="s">
        <v>102</v>
      </c>
      <c r="R649" s="50">
        <v>100</v>
      </c>
      <c r="S649" s="50">
        <v>0</v>
      </c>
      <c r="T649" s="50">
        <v>100</v>
      </c>
      <c r="U649" s="50" t="s">
        <v>102</v>
      </c>
      <c r="V649" s="50"/>
      <c r="W649" s="50"/>
      <c r="X649" s="50"/>
      <c r="Y649" s="51">
        <f>IF(ISBLANK(O649),"",(IF(O649=UPPER("IB"),0.005,0.01)))</f>
        <v>0.01</v>
      </c>
      <c r="Z649" s="52">
        <f>IF(ISBLANK(O649),"",IF(O649="IB",8.63*200,IF(O649="IR",16*100,IF(O649="YT",20*100,IF(O649="YT-XT",24*200,IF(O649="TED",80*100,IF(O649="XT",29*200)))))))</f>
        <v>1600</v>
      </c>
      <c r="AA649" s="52" t="s">
        <v>2078</v>
      </c>
      <c r="AB649" s="52"/>
      <c r="AC649" s="52"/>
      <c r="AD649" s="231">
        <v>-0.14000000000000001</v>
      </c>
      <c r="AE649" s="49"/>
      <c r="AF649" s="84"/>
      <c r="AG649" s="49"/>
      <c r="AH649" s="49"/>
      <c r="AI649" s="49"/>
      <c r="AJ649" s="226" t="s">
        <v>2082</v>
      </c>
      <c r="AK649" s="49"/>
      <c r="AL649" s="113">
        <f t="shared" si="293"/>
        <v>-32</v>
      </c>
      <c r="AM649" s="113">
        <f t="shared" si="286"/>
        <v>-3200</v>
      </c>
      <c r="AN649" s="218" t="s">
        <v>2071</v>
      </c>
      <c r="AO649" s="49"/>
      <c r="AP649" s="49"/>
      <c r="AQ649" s="84" t="s">
        <v>142</v>
      </c>
      <c r="AR649" s="49" t="s">
        <v>2083</v>
      </c>
      <c r="AS649" s="55">
        <v>-0.13</v>
      </c>
      <c r="AT649" s="55">
        <f>IF(ISBLANK(AS649),,IF(U649="S",AD649-AS649,AS649-AD649))</f>
        <v>-1.0000000000000009E-2</v>
      </c>
      <c r="AU649" s="54">
        <f>AV649*R649</f>
        <v>-1600.0000000000014</v>
      </c>
      <c r="AV649" s="56">
        <f t="shared" si="288"/>
        <v>-16.000000000000014</v>
      </c>
      <c r="AW649" s="57" t="s">
        <v>121</v>
      </c>
      <c r="AX649" s="153" t="s">
        <v>2084</v>
      </c>
      <c r="AY649" s="153" t="s">
        <v>2077</v>
      </c>
      <c r="AZ649" s="153" t="s">
        <v>2085</v>
      </c>
      <c r="BA649" s="153" t="s">
        <v>443</v>
      </c>
      <c r="BB649" s="153"/>
      <c r="BC649" s="153"/>
      <c r="BD649" s="151"/>
      <c r="BE649" s="152"/>
      <c r="BF649" s="151"/>
      <c r="BG649" s="94">
        <f>SUM($AV$4:AV649)</f>
        <v>3846.2817434659714</v>
      </c>
      <c r="BH649" s="95">
        <f>SUM($AU$4:AU649)</f>
        <v>50336.953506493737</v>
      </c>
      <c r="BI649" s="80">
        <f>SUMIFS($AU$3:AU650,$Q$3:Q650,"F")</f>
        <v>30427.69350649351</v>
      </c>
      <c r="BJ649" s="80">
        <f>SUMIFS($AU$3:AU650,$Q$3:Q650,"S")</f>
        <v>23488</v>
      </c>
      <c r="BK649" s="87">
        <f>SUMIFS($AU$3:AU650,$P$3:P650,"W")</f>
        <v>35716.873506493845</v>
      </c>
      <c r="BL649" s="87">
        <f>SUMIFS($AU$3:AU650,$P$3:P650,"R")</f>
        <v>11626.00000000016</v>
      </c>
      <c r="BM649" s="87">
        <f>SUMIFS($AU$3:AU650,$AQ$3:AQ650,"M")</f>
        <v>9793.3799999992334</v>
      </c>
      <c r="BN649" s="87">
        <f>SUMIFS($AU$3:AU650,$AQ$3:AQ650,"H")</f>
        <v>11955.200000000876</v>
      </c>
      <c r="BO649" s="87">
        <f>SUMIFS($AU$3:AU650,$AQ$3:AQ650,"D")</f>
        <v>11523.107142857023</v>
      </c>
      <c r="BP649" s="87">
        <f>SUMIFS($AS$3:AS1316,$AO$3:AO1316,"W")</f>
        <v>0</v>
      </c>
      <c r="BQ649" s="87">
        <f>SUMIFS($AU$3:AU650,$Q$3:Q650,"O")</f>
        <v>-5622.7399999997597</v>
      </c>
      <c r="BR649" s="87">
        <f>SUMIFS($AU$3:AU650,$AA$3:AA650,"*")</f>
        <v>36943.036363636376</v>
      </c>
      <c r="BS649" s="87">
        <f>SUMIFS($AU$3:AU650,$AB$3:AB650,"*")</f>
        <v>10383.860000000041</v>
      </c>
      <c r="BT649" s="87">
        <f>SUMIFS($AU$3:AU650,$AC$3:AC650,"*")</f>
        <v>33867.693506493677</v>
      </c>
      <c r="BU649" s="87">
        <f>SUMIFS($AU$3:AU650,$AA$3:AA650,"*",$AB$3:AB650,"*")</f>
        <v>5423.9999999998217</v>
      </c>
      <c r="BV649" s="87">
        <f>SUMIFS($AU$3:AU650,$AA$3:AA650,"*",$AC$3:AC650,"*")</f>
        <v>21913.636363636531</v>
      </c>
      <c r="BW649" s="87">
        <f>SUMIFS($AU$3:AU650,$AB$3:AB650,"*",$AC$3:AC650,"*")</f>
        <v>7119.9999999999982</v>
      </c>
      <c r="BX649" s="87">
        <f>SUMIFS($AV$3:AV650,$Q$3:Q650,"F")</f>
        <v>425.28253013189931</v>
      </c>
      <c r="BY649" s="87">
        <f>SUMIFS($AV$3:AV650,$Q$3:Q650,"S")</f>
        <v>768.03991333429894</v>
      </c>
      <c r="BZ649" s="87">
        <f>SUMIFS($AV$3:AV650,$Q$3:Q650,"O")</f>
        <v>372.95929999976715</v>
      </c>
    </row>
    <row r="650" spans="1:78" ht="15.75" customHeight="1">
      <c r="A650" s="45" t="s">
        <v>1819</v>
      </c>
      <c r="B650" s="59">
        <v>45434</v>
      </c>
      <c r="C650" s="46" t="s">
        <v>1195</v>
      </c>
      <c r="D650" s="46" t="s">
        <v>186</v>
      </c>
      <c r="E650" s="66"/>
      <c r="F650" s="47"/>
      <c r="G650" s="109" t="s">
        <v>466</v>
      </c>
      <c r="H650" s="49"/>
      <c r="I650" s="49"/>
      <c r="J650" s="49"/>
      <c r="K650" s="50"/>
      <c r="L650" s="49"/>
      <c r="M650" s="49">
        <v>2</v>
      </c>
      <c r="N650" s="49"/>
      <c r="O650" s="50" t="s">
        <v>100</v>
      </c>
      <c r="P650" s="50" t="s">
        <v>101</v>
      </c>
      <c r="Q650" s="50" t="s">
        <v>102</v>
      </c>
      <c r="R650" s="50">
        <v>10</v>
      </c>
      <c r="S650" s="50">
        <v>10</v>
      </c>
      <c r="T650" s="50">
        <v>50</v>
      </c>
      <c r="U650" s="50" t="s">
        <v>102</v>
      </c>
      <c r="V650" s="50"/>
      <c r="W650" s="50"/>
      <c r="X650" s="50"/>
      <c r="Y650" s="51">
        <f>IF(ISBLANK(O650),"",(IF(O650=UPPER("IB"),0.005,0.01)))</f>
        <v>0.01</v>
      </c>
      <c r="Z650" s="52">
        <f>IF(ISBLANK(O650),"",IF(O650="IB",8.63*200,IF(O650="IR",16*100,IF(O650="YT",20*100,IF(O650="YT-XT",24*200,IF(O650="TED",80*100,IF(O650="XT",29*200)))))))</f>
        <v>1600</v>
      </c>
      <c r="AA650" s="52" t="s">
        <v>1251</v>
      </c>
      <c r="AB650" s="52"/>
      <c r="AC650" s="52"/>
      <c r="AD650" s="231">
        <v>-0.13</v>
      </c>
      <c r="AE650" s="49"/>
      <c r="AF650" s="84"/>
      <c r="AG650" s="49"/>
      <c r="AH650" s="49"/>
      <c r="AI650" s="49"/>
      <c r="AJ650" s="226" t="s">
        <v>2086</v>
      </c>
      <c r="AK650" s="49"/>
      <c r="AL650" s="113">
        <f t="shared" si="293"/>
        <v>-32</v>
      </c>
      <c r="AM650" s="113">
        <f t="shared" si="286"/>
        <v>0</v>
      </c>
      <c r="AN650" s="218" t="s">
        <v>2071</v>
      </c>
      <c r="AO650" s="49"/>
      <c r="AP650" s="49"/>
      <c r="AQ650" s="84" t="s">
        <v>155</v>
      </c>
      <c r="AR650" s="49"/>
      <c r="AS650" s="55">
        <v>-0.11</v>
      </c>
      <c r="AT650" s="55">
        <f>IF(ISBLANK(AS650),,IF(U650="S",AD650-AS650,AS650-AD650))</f>
        <v>-2.0000000000000004E-2</v>
      </c>
      <c r="AU650" s="54">
        <f>AV650*R650</f>
        <v>-320.00000000000006</v>
      </c>
      <c r="AV650" s="56">
        <f t="shared" ref="AV650:AV653" si="294">IF(ISBLANK(AS650),,(AT650*Z650))</f>
        <v>-32.000000000000007</v>
      </c>
      <c r="AW650" s="57" t="s">
        <v>121</v>
      </c>
      <c r="AX650" s="153" t="s">
        <v>2087</v>
      </c>
      <c r="AY650" s="176" t="s">
        <v>2088</v>
      </c>
      <c r="AZ650" s="153"/>
      <c r="BA650" s="153"/>
      <c r="BB650" s="153"/>
      <c r="BC650" s="153"/>
      <c r="BD650" s="151"/>
      <c r="BE650" s="152"/>
      <c r="BF650" s="151"/>
      <c r="BG650" s="94">
        <f>SUM($AV$4:AV650)</f>
        <v>3814.2817434659714</v>
      </c>
      <c r="BH650" s="95">
        <f>SUM($AU$4:AU650)</f>
        <v>50016.953506493737</v>
      </c>
      <c r="BI650" s="80">
        <f>SUMIFS($AU$3:AU996,$Q$3:Q996,"F")</f>
        <v>28758.758121878131</v>
      </c>
      <c r="BJ650" s="80">
        <f>SUMIFS($AU$3:AU996,$Q$3:Q996,"S")</f>
        <v>18338.285714285717</v>
      </c>
      <c r="BK650" s="87">
        <f>SUMIFS($AU$3:AU996,$P$3:P996,"W")</f>
        <v>16085.423836163443</v>
      </c>
      <c r="BL650" s="87">
        <f>SUMIFS($AU$3:AU996,$P$3:P996,"R")</f>
        <v>23278.800000000327</v>
      </c>
      <c r="BM650" s="87">
        <f>SUMIFS($AU$3:AU996,$AQ$3:AQ996,"M")</f>
        <v>9563.1799999983832</v>
      </c>
      <c r="BN650" s="87">
        <f>SUMIFS($AU$3:AU996,$AQ$3:AQ996,"H")</f>
        <v>12587.200000000877</v>
      </c>
      <c r="BO650" s="87">
        <f>SUMIFS($AU$3:AU996,$AQ$3:AQ996,"D")</f>
        <v>11195.57747252718</v>
      </c>
      <c r="BP650" s="87">
        <f>SUMIFS($AS$3:AS1317,$AO$3:AO1317,"W")</f>
        <v>0</v>
      </c>
      <c r="BQ650" s="87">
        <f>SUMIFS($AU$3:AU996,$Q$3:Q996,"O")</f>
        <v>-9366.1400000007852</v>
      </c>
      <c r="BR650" s="87">
        <f>SUMIFS($AU$3:AU996,$AA$3:AA996,"*")</f>
        <v>39156.002077921221</v>
      </c>
      <c r="BS650" s="87">
        <f>SUMIFS($AU$3:AU996,$AB$3:AB996,"*")</f>
        <v>7005.8599999997941</v>
      </c>
      <c r="BT650" s="87">
        <f>SUMIFS($AU$3:AU996,$AC$3:AC996,"*")</f>
        <v>31968.358121878122</v>
      </c>
      <c r="BU650" s="87">
        <f>SUMIFS($AU$3:AU996,$AA$3:AA996,"*",$AB$3:AB996,"*")</f>
        <v>7301.9999999995771</v>
      </c>
      <c r="BV650" s="87">
        <f>SUMIFS($AU$3:AU996,$AA$3:AA996,"*",$AC$3:AC996,"*")</f>
        <v>29949.316363636532</v>
      </c>
      <c r="BW650" s="87">
        <f>SUMIFS($AU$3:AU996,$AB$3:AB996,"*",$AC$3:AC996,"*")</f>
        <v>3739.199999999998</v>
      </c>
      <c r="BX650" s="87">
        <f>SUMIFS($AV$3:AV996,$Q$3:Q996,"F")</f>
        <v>396.72999236351012</v>
      </c>
      <c r="BY650" s="87">
        <f>SUMIFS($AV$3:AV996,$Q$3:Q996,"S")</f>
        <v>775.76285705724263</v>
      </c>
      <c r="BZ650" s="87">
        <f>SUMIFS($AV$3:AV996,$Q$3:Q996,"O")</f>
        <v>569.29929999965555</v>
      </c>
    </row>
    <row r="651" spans="1:78" ht="15.75" customHeight="1">
      <c r="A651" s="45" t="s">
        <v>1819</v>
      </c>
      <c r="B651" s="59"/>
      <c r="C651" s="46"/>
      <c r="D651" s="46"/>
      <c r="E651" s="66"/>
      <c r="F651" s="47"/>
      <c r="G651" s="48"/>
      <c r="H651" s="49"/>
      <c r="I651" s="49"/>
      <c r="J651" s="49"/>
      <c r="K651" s="50"/>
      <c r="L651" s="49"/>
      <c r="M651" s="49"/>
      <c r="N651" s="49"/>
      <c r="O651" s="50"/>
      <c r="P651" s="50"/>
      <c r="Q651" s="50"/>
      <c r="R651" s="50"/>
      <c r="S651" s="50"/>
      <c r="T651" s="50"/>
      <c r="U651" s="50"/>
      <c r="V651" s="50"/>
      <c r="W651" s="50"/>
      <c r="X651" s="50"/>
      <c r="Y651" s="50"/>
      <c r="Z651" s="50"/>
      <c r="AA651" s="52"/>
      <c r="AB651" s="52"/>
      <c r="AC651" s="52"/>
      <c r="AD651" s="231"/>
      <c r="AE651" s="49"/>
      <c r="AF651" s="84"/>
      <c r="AG651" s="49"/>
      <c r="AH651" s="49"/>
      <c r="AI651" s="49"/>
      <c r="AJ651" s="226"/>
      <c r="AK651" s="49"/>
      <c r="AL651" s="113">
        <f t="shared" si="293"/>
        <v>0</v>
      </c>
      <c r="AM651" s="113">
        <f t="shared" si="286"/>
        <v>0</v>
      </c>
      <c r="AN651" s="218"/>
      <c r="AO651" s="49"/>
      <c r="AP651" s="49"/>
      <c r="AQ651" s="84" t="str">
        <f>UPPER(RIGHT(Journal_Live[[#This Row],[DURATION ]]))</f>
        <v/>
      </c>
      <c r="AR651" s="49"/>
      <c r="AS651" s="55"/>
      <c r="AT651" s="55"/>
      <c r="AU651" s="54"/>
      <c r="AV651" s="56"/>
      <c r="AW651" s="57"/>
      <c r="AX651" s="153" t="s">
        <v>2089</v>
      </c>
      <c r="AY651" s="153" t="s">
        <v>2090</v>
      </c>
      <c r="AZ651" s="153" t="s">
        <v>2091</v>
      </c>
      <c r="BA651" s="151" t="s">
        <v>2092</v>
      </c>
      <c r="BB651" s="153" t="s">
        <v>2093</v>
      </c>
      <c r="BC651" s="153" t="s">
        <v>2094</v>
      </c>
      <c r="BD651" s="151" t="s">
        <v>2095</v>
      </c>
      <c r="BE651" s="152"/>
      <c r="BF651" s="151"/>
      <c r="BG651" s="94">
        <f>SUM($AV$4:AV651)</f>
        <v>3814.2817434659714</v>
      </c>
      <c r="BH651" s="95">
        <f>SUM($AU$4:AU651)</f>
        <v>50016.953506493737</v>
      </c>
      <c r="BI651" s="80">
        <f>SUMIFS($AU$3:AU652,$Q$3:Q652,"F")</f>
        <v>30427.69350649351</v>
      </c>
      <c r="BJ651" s="80">
        <f>SUMIFS($AU$3:AU652,$Q$3:Q652,"S")</f>
        <v>23488</v>
      </c>
      <c r="BK651" s="87">
        <f>SUMIFS($AU$3:AU652,$P$3:P652,"W")</f>
        <v>35716.873506493845</v>
      </c>
      <c r="BL651" s="87">
        <f>SUMIFS($AU$3:AU652,$P$3:P652,"R")</f>
        <v>11626.00000000016</v>
      </c>
      <c r="BM651" s="87">
        <f>SUMIFS($AU$3:AU652,$AQ$3:AQ652,"M")</f>
        <v>9793.3799999992334</v>
      </c>
      <c r="BN651" s="87">
        <f>SUMIFS($AU$3:AU652,$AQ$3:AQ652,"H")</f>
        <v>11955.200000000876</v>
      </c>
      <c r="BO651" s="87">
        <f>SUMIFS($AU$3:AU652,$AQ$3:AQ652,"D")</f>
        <v>11523.107142857023</v>
      </c>
      <c r="BP651" s="87">
        <f>SUMIFS($AS$3:AS1314,$AO$3:AO1314,"W")</f>
        <v>0</v>
      </c>
      <c r="BQ651" s="87">
        <f>SUMIFS($AU$3:AU652,$Q$3:Q652,"O")</f>
        <v>-5622.7399999997597</v>
      </c>
      <c r="BR651" s="87">
        <f>SUMIFS($AU$3:AU652,$AA$3:AA652,"*")</f>
        <v>36943.036363636376</v>
      </c>
      <c r="BS651" s="87">
        <f>SUMIFS($AU$3:AU652,$AB$3:AB652,"*")</f>
        <v>10383.860000000041</v>
      </c>
      <c r="BT651" s="87">
        <f>SUMIFS($AU$3:AU652,$AC$3:AC652,"*")</f>
        <v>33867.693506493677</v>
      </c>
      <c r="BU651" s="87">
        <f>SUMIFS($AU$3:AU652,$AA$3:AA652,"*",$AB$3:AB652,"*")</f>
        <v>5423.9999999998217</v>
      </c>
      <c r="BV651" s="87">
        <f>SUMIFS($AU$3:AU652,$AA$3:AA652,"*",$AC$3:AC652,"*")</f>
        <v>21913.636363636531</v>
      </c>
      <c r="BW651" s="87">
        <f>SUMIFS($AU$3:AU652,$AB$3:AB652,"*",$AC$3:AC652,"*")</f>
        <v>7119.9999999999982</v>
      </c>
      <c r="BX651" s="87">
        <f>SUMIFS($AV$3:AV652,$Q$3:Q652,"F")</f>
        <v>425.28253013189931</v>
      </c>
      <c r="BY651" s="87">
        <f>SUMIFS($AV$3:AV652,$Q$3:Q652,"S")</f>
        <v>768.03991333429894</v>
      </c>
      <c r="BZ651" s="87">
        <f>SUMIFS($AV$3:AV652,$Q$3:Q652,"O")</f>
        <v>372.95929999976715</v>
      </c>
    </row>
    <row r="652" spans="1:78" ht="15.75" customHeight="1">
      <c r="A652" s="45" t="s">
        <v>1819</v>
      </c>
      <c r="B652" s="59">
        <v>45434</v>
      </c>
      <c r="C652" s="46" t="s">
        <v>1195</v>
      </c>
      <c r="D652" s="46" t="s">
        <v>186</v>
      </c>
      <c r="E652" s="66"/>
      <c r="F652" s="47"/>
      <c r="G652" s="48" t="s">
        <v>1501</v>
      </c>
      <c r="H652" s="49"/>
      <c r="I652" s="49"/>
      <c r="J652" s="49"/>
      <c r="K652" s="50"/>
      <c r="L652" s="49"/>
      <c r="M652" s="49"/>
      <c r="N652" s="49"/>
      <c r="O652" s="50"/>
      <c r="P652" s="50"/>
      <c r="Q652" s="50"/>
      <c r="R652" s="50"/>
      <c r="S652" s="50"/>
      <c r="T652" s="50"/>
      <c r="U652" s="50"/>
      <c r="V652" s="50"/>
      <c r="W652" s="50"/>
      <c r="X652" s="50"/>
      <c r="Y652" s="51"/>
      <c r="Z652" s="52"/>
      <c r="AA652" s="52"/>
      <c r="AB652" s="52"/>
      <c r="AC652" s="52"/>
      <c r="AD652" s="231"/>
      <c r="AE652" s="49"/>
      <c r="AF652" s="84"/>
      <c r="AG652" s="49"/>
      <c r="AH652" s="49"/>
      <c r="AI652" s="49"/>
      <c r="AJ652" s="226" t="s">
        <v>2096</v>
      </c>
      <c r="AK652" s="49"/>
      <c r="AL652" s="113">
        <f t="shared" si="293"/>
        <v>0</v>
      </c>
      <c r="AM652" s="113">
        <f t="shared" si="286"/>
        <v>0</v>
      </c>
      <c r="AN652" s="218" t="s">
        <v>2080</v>
      </c>
      <c r="AO652" s="49"/>
      <c r="AP652" s="49"/>
      <c r="AQ652" s="84" t="str">
        <f>UPPER(RIGHT(Journal_Live[[#This Row],[DURATION ]]))</f>
        <v/>
      </c>
      <c r="AR652" s="49"/>
      <c r="AS652" s="55"/>
      <c r="AT652" s="55"/>
      <c r="AU652" s="54"/>
      <c r="AV652" s="56"/>
      <c r="AW652" s="57"/>
      <c r="AX652" s="153" t="s">
        <v>2097</v>
      </c>
      <c r="AY652" s="153" t="s">
        <v>2098</v>
      </c>
      <c r="AZ652" s="153"/>
      <c r="BA652" s="153"/>
      <c r="BB652" s="153"/>
      <c r="BC652" s="153"/>
      <c r="BD652" s="151"/>
      <c r="BE652" s="152"/>
      <c r="BF652" s="151"/>
      <c r="BG652" s="94">
        <f>SUM($AV$4:AV652)</f>
        <v>3814.2817434659714</v>
      </c>
      <c r="BH652" s="95">
        <f>SUM($AU$4:AU652)</f>
        <v>50016.953506493737</v>
      </c>
      <c r="BI652" s="80">
        <f>SUMIFS($AU$3:AU653,$Q$3:Q653,"F")</f>
        <v>30427.69350649351</v>
      </c>
      <c r="BJ652" s="80">
        <f>SUMIFS($AU$3:AU653,$Q$3:Q653,"S")</f>
        <v>23488</v>
      </c>
      <c r="BK652" s="87">
        <f>SUMIFS($AU$3:AU653,$P$3:P653,"W")</f>
        <v>35716.873506493845</v>
      </c>
      <c r="BL652" s="87">
        <f>SUMIFS($AU$3:AU653,$P$3:P653,"R")</f>
        <v>11626.00000000016</v>
      </c>
      <c r="BM652" s="87">
        <f>SUMIFS($AU$3:AU653,$AQ$3:AQ653,"M")</f>
        <v>9793.3799999992334</v>
      </c>
      <c r="BN652" s="87">
        <f>SUMIFS($AU$3:AU653,$AQ$3:AQ653,"H")</f>
        <v>11955.200000000876</v>
      </c>
      <c r="BO652" s="87">
        <f>SUMIFS($AU$3:AU653,$AQ$3:AQ653,"D")</f>
        <v>11523.107142857023</v>
      </c>
      <c r="BP652" s="87">
        <f>SUMIFS($AS$3:AS1315,$AO$3:AO1315,"W")</f>
        <v>0</v>
      </c>
      <c r="BQ652" s="87">
        <f>SUMIFS($AU$3:AU653,$Q$3:Q653,"O")</f>
        <v>-5622.7399999997597</v>
      </c>
      <c r="BR652" s="87">
        <f>SUMIFS($AU$3:AU653,$AA$3:AA653,"*")</f>
        <v>36943.036363636376</v>
      </c>
      <c r="BS652" s="87">
        <f>SUMIFS($AU$3:AU653,$AB$3:AB653,"*")</f>
        <v>10383.860000000041</v>
      </c>
      <c r="BT652" s="87">
        <f>SUMIFS($AU$3:AU653,$AC$3:AC653,"*")</f>
        <v>33867.693506493677</v>
      </c>
      <c r="BU652" s="87">
        <f>SUMIFS($AU$3:AU653,$AA$3:AA653,"*",$AB$3:AB653,"*")</f>
        <v>5423.9999999998217</v>
      </c>
      <c r="BV652" s="87">
        <f>SUMIFS($AU$3:AU653,$AA$3:AA653,"*",$AC$3:AC653,"*")</f>
        <v>21913.636363636531</v>
      </c>
      <c r="BW652" s="87">
        <f>SUMIFS($AU$3:AU653,$AB$3:AB653,"*",$AC$3:AC653,"*")</f>
        <v>7119.9999999999982</v>
      </c>
      <c r="BX652" s="87">
        <f>SUMIFS($AV$3:AV653,$Q$3:Q653,"F")</f>
        <v>425.28253013189931</v>
      </c>
      <c r="BY652" s="87">
        <f>SUMIFS($AV$3:AV653,$Q$3:Q653,"S")</f>
        <v>768.03991333429894</v>
      </c>
      <c r="BZ652" s="87">
        <f>SUMIFS($AV$3:AV653,$Q$3:Q653,"O")</f>
        <v>372.95929999976715</v>
      </c>
    </row>
    <row r="653" spans="1:78" ht="15.75" customHeight="1">
      <c r="A653" s="45" t="s">
        <v>1819</v>
      </c>
      <c r="B653" s="59">
        <v>45434</v>
      </c>
      <c r="C653" s="46" t="s">
        <v>2099</v>
      </c>
      <c r="D653" s="46" t="s">
        <v>186</v>
      </c>
      <c r="E653" s="66"/>
      <c r="F653" s="47"/>
      <c r="G653" s="104" t="s">
        <v>295</v>
      </c>
      <c r="H653" s="49"/>
      <c r="I653" s="49"/>
      <c r="J653" s="49"/>
      <c r="K653" s="50"/>
      <c r="L653" s="49"/>
      <c r="M653" s="49"/>
      <c r="N653" s="49">
        <v>2</v>
      </c>
      <c r="O653" s="50" t="s">
        <v>100</v>
      </c>
      <c r="P653" s="50" t="s">
        <v>126</v>
      </c>
      <c r="Q653" s="50" t="s">
        <v>102</v>
      </c>
      <c r="R653" s="50">
        <v>40</v>
      </c>
      <c r="S653" s="50">
        <v>0</v>
      </c>
      <c r="T653" s="50">
        <v>40</v>
      </c>
      <c r="U653" s="50" t="s">
        <v>22</v>
      </c>
      <c r="V653" s="50"/>
      <c r="W653" s="50"/>
      <c r="X653" s="50"/>
      <c r="Y653" s="51">
        <f>IF(ISBLANK(O653),"",(IF(O653=UPPER("IB"),0.005,0.01)))</f>
        <v>0.01</v>
      </c>
      <c r="Z653" s="52">
        <f>IF(ISBLANK(O653),"",IF(O653="IB",8.63*200,IF(O653="IR",16*100,IF(O653="YT",20*100,IF(O653="YT-XT",24*200,IF(O653="TED",80*100,IF(O653="XT",29*200)))))))</f>
        <v>1600</v>
      </c>
      <c r="AA653" s="52" t="s">
        <v>1889</v>
      </c>
      <c r="AB653" s="52"/>
      <c r="AC653" s="52" t="s">
        <v>2100</v>
      </c>
      <c r="AD653" s="231">
        <v>-0.09</v>
      </c>
      <c r="AE653" s="49"/>
      <c r="AF653" s="84"/>
      <c r="AG653" s="49"/>
      <c r="AH653" s="49"/>
      <c r="AI653" s="49"/>
      <c r="AJ653" s="226" t="s">
        <v>2101</v>
      </c>
      <c r="AK653" s="49"/>
      <c r="AL653" s="113">
        <f t="shared" si="293"/>
        <v>-32</v>
      </c>
      <c r="AM653" s="113">
        <f t="shared" si="286"/>
        <v>-1280</v>
      </c>
      <c r="AN653" s="218" t="s">
        <v>2102</v>
      </c>
      <c r="AO653" s="49"/>
      <c r="AP653" s="49"/>
      <c r="AQ653" s="84" t="s">
        <v>155</v>
      </c>
      <c r="AR653" s="49"/>
      <c r="AS653" s="55">
        <v>-0.09</v>
      </c>
      <c r="AT653" s="55">
        <f>IF(ISBLANK(AS653),,IF(U653="S",AD653-AS653,AS653-AD653))</f>
        <v>0</v>
      </c>
      <c r="AU653" s="54">
        <f>AV653*R653</f>
        <v>0</v>
      </c>
      <c r="AV653" s="56">
        <f t="shared" si="294"/>
        <v>0</v>
      </c>
      <c r="AW653" s="57" t="s">
        <v>155</v>
      </c>
      <c r="AX653" s="153"/>
      <c r="AY653" s="153"/>
      <c r="AZ653" s="153"/>
      <c r="BA653" s="153"/>
      <c r="BB653" s="153"/>
      <c r="BC653" s="153"/>
      <c r="BD653" s="151"/>
      <c r="BE653" s="152"/>
      <c r="BF653" s="151"/>
      <c r="BG653" s="94">
        <f>SUM($AV$4:AV653)</f>
        <v>3814.2817434659714</v>
      </c>
      <c r="BH653" s="95">
        <f>SUM($AU$4:AU653)</f>
        <v>50016.953506493737</v>
      </c>
      <c r="BI653" s="80">
        <f>SUMIFS($AU$3:AU739,$Q$3:Q739,"F")</f>
        <v>32973.293506493508</v>
      </c>
      <c r="BJ653" s="80">
        <f>SUMIFS($AU$3:AU739,$Q$3:Q739,"S")</f>
        <v>20002.285714285714</v>
      </c>
      <c r="BK653" s="87">
        <f>SUMIFS($AU$3:AU739,$P$3:P739,"W")</f>
        <v>31576.759220779561</v>
      </c>
      <c r="BL653" s="87">
        <f>SUMIFS($AU$3:AU739,$P$3:P739,"R")</f>
        <v>15726.00000000016</v>
      </c>
      <c r="BM653" s="87">
        <f>SUMIFS($AU$3:AU739,$AQ$3:AQ739,"M")</f>
        <v>10931.179999998967</v>
      </c>
      <c r="BN653" s="87">
        <f>SUMIFS($AU$3:AU739,$AQ$3:AQ739,"H")</f>
        <v>14523.200000000877</v>
      </c>
      <c r="BO653" s="87">
        <f>SUMIFS($AU$3:AU739,$AQ$3:AQ739,"D")</f>
        <v>8014.9928571427408</v>
      </c>
      <c r="BP653" s="87">
        <f>SUMIFS($AS$3:AS1316,$AO$3:AO1316,"W")</f>
        <v>0</v>
      </c>
      <c r="BQ653" s="87">
        <f>SUMIFS($AU$3:AU739,$Q$3:Q739,"O")</f>
        <v>-5384.9400000000251</v>
      </c>
      <c r="BR653" s="87">
        <f>SUMIFS($AU$3:AU739,$AA$3:AA739,"*")</f>
        <v>37075.122077921827</v>
      </c>
      <c r="BS653" s="87">
        <f>SUMIFS($AU$3:AU739,$AB$3:AB739,"*")</f>
        <v>12971.859999999973</v>
      </c>
      <c r="BT653" s="87">
        <f>SUMIFS($AU$3:AU739,$AC$3:AC739,"*")</f>
        <v>40173.293506493676</v>
      </c>
      <c r="BU653" s="87">
        <f>SUMIFS($AU$3:AU739,$AA$3:AA739,"*",$AB$3:AB739,"*")</f>
        <v>8011.9999999997544</v>
      </c>
      <c r="BV653" s="87">
        <f>SUMIFS($AU$3:AU739,$AA$3:AA739,"*",$AC$3:AC739,"*")</f>
        <v>28153.636363636531</v>
      </c>
      <c r="BW653" s="87">
        <f>SUMIFS($AU$3:AU739,$AB$3:AB739,"*",$AC$3:AC739,"*")</f>
        <v>9360</v>
      </c>
      <c r="BX653" s="87">
        <f>SUMIFS($AV$3:AV739,$Q$3:Q739,"F")</f>
        <v>462.72914667325267</v>
      </c>
      <c r="BY653" s="87">
        <f>SUMIFS($AV$3:AV739,$Q$3:Q739,"S")</f>
        <v>738.32562762001328</v>
      </c>
      <c r="BZ653" s="87">
        <f>SUMIFS($AV$3:AV739,$Q$3:Q739,"O")</f>
        <v>471.55929999966099</v>
      </c>
    </row>
    <row r="654" spans="1:78" ht="15.75" customHeight="1">
      <c r="A654" s="45" t="s">
        <v>1819</v>
      </c>
      <c r="B654" s="59">
        <v>45435</v>
      </c>
      <c r="C654" s="46" t="s">
        <v>2103</v>
      </c>
      <c r="D654" s="46" t="s">
        <v>107</v>
      </c>
      <c r="E654" s="66"/>
      <c r="F654" s="47"/>
      <c r="G654" s="48"/>
      <c r="H654" s="49"/>
      <c r="I654" s="49"/>
      <c r="J654" s="49"/>
      <c r="K654" s="50"/>
      <c r="L654" s="49"/>
      <c r="M654" s="49"/>
      <c r="N654" s="49"/>
      <c r="O654" s="50"/>
      <c r="P654" s="50"/>
      <c r="Q654" s="50"/>
      <c r="R654" s="50"/>
      <c r="S654" s="50"/>
      <c r="T654" s="50"/>
      <c r="U654" s="50"/>
      <c r="V654" s="50"/>
      <c r="W654" s="50"/>
      <c r="X654" s="50"/>
      <c r="Y654" s="51"/>
      <c r="Z654" s="52"/>
      <c r="AA654" s="52"/>
      <c r="AB654" s="52"/>
      <c r="AC654" s="52"/>
      <c r="AD654" s="231"/>
      <c r="AE654" s="49"/>
      <c r="AF654" s="84"/>
      <c r="AG654" s="49"/>
      <c r="AH654" s="49"/>
      <c r="AI654" s="49"/>
      <c r="AJ654" s="226"/>
      <c r="AK654" s="49"/>
      <c r="AL654" s="113">
        <f t="shared" ref="AL654:AL738" si="295">-0.02*Z654</f>
        <v>0</v>
      </c>
      <c r="AM654" s="113">
        <f t="shared" si="286"/>
        <v>0</v>
      </c>
      <c r="AN654" s="218"/>
      <c r="AO654" s="49"/>
      <c r="AP654" s="49"/>
      <c r="AQ654" s="84" t="str">
        <f>UPPER(RIGHT(Journal_Live[[#This Row],[DURATION ]]))</f>
        <v/>
      </c>
      <c r="AR654" s="49"/>
      <c r="AS654" s="55"/>
      <c r="AT654" s="55"/>
      <c r="AU654" s="54"/>
      <c r="AV654" s="56"/>
      <c r="AW654" s="57"/>
      <c r="AX654" s="153" t="s">
        <v>2104</v>
      </c>
      <c r="AY654" s="153" t="s">
        <v>2105</v>
      </c>
      <c r="AZ654" s="153" t="s">
        <v>2106</v>
      </c>
      <c r="BA654" s="153" t="s">
        <v>2107</v>
      </c>
      <c r="BB654" s="153" t="s">
        <v>2108</v>
      </c>
      <c r="BC654" s="153" t="s">
        <v>2109</v>
      </c>
      <c r="BD654" s="151"/>
      <c r="BE654" s="152"/>
      <c r="BF654" s="151"/>
      <c r="BG654" s="94">
        <f>SUM($AV$4:AV654)</f>
        <v>3814.2817434659714</v>
      </c>
      <c r="BH654" s="95">
        <f>SUM($AU$4:AU654)</f>
        <v>50016.953506493737</v>
      </c>
      <c r="BI654" s="80">
        <f>SUMIFS($AU$3:AU655,$Q$3:Q655,"F")</f>
        <v>30427.69350649351</v>
      </c>
      <c r="BJ654" s="80">
        <f>SUMIFS($AU$3:AU655,$Q$3:Q655,"S")</f>
        <v>23488</v>
      </c>
      <c r="BK654" s="87">
        <f>SUMIFS($AU$3:AU655,$P$3:P655,"W")</f>
        <v>35716.873506493845</v>
      </c>
      <c r="BL654" s="87">
        <f>SUMIFS($AU$3:AU655,$P$3:P655,"R")</f>
        <v>11626.000000000158</v>
      </c>
      <c r="BM654" s="87">
        <f>SUMIFS($AU$3:AU655,$AQ$3:AQ655,"M")</f>
        <v>9793.3799999992334</v>
      </c>
      <c r="BN654" s="87">
        <f>SUMIFS($AU$3:AU655,$AQ$3:AQ655,"H")</f>
        <v>11955.200000000876</v>
      </c>
      <c r="BO654" s="87">
        <f>SUMIFS($AU$3:AU655,$AQ$3:AQ655,"D")</f>
        <v>11523.107142857021</v>
      </c>
      <c r="BP654" s="87">
        <f>SUMIFS($AS$3:AS1313,$AO$3:AO1313,"W")</f>
        <v>0</v>
      </c>
      <c r="BQ654" s="87">
        <f>SUMIFS($AU$3:AU655,$Q$3:Q655,"O")</f>
        <v>-5622.7399999997597</v>
      </c>
      <c r="BR654" s="87">
        <f>SUMIFS($AU$3:AU655,$AA$3:AA655,"*")</f>
        <v>36943.036363636376</v>
      </c>
      <c r="BS654" s="87">
        <f>SUMIFS($AU$3:AU655,$AB$3:AB655,"*")</f>
        <v>10383.860000000041</v>
      </c>
      <c r="BT654" s="87">
        <f>SUMIFS($AU$3:AU655,$AC$3:AC655,"*")</f>
        <v>33867.693506493677</v>
      </c>
      <c r="BU654" s="87">
        <f>SUMIFS($AU$3:AU655,$AA$3:AA655,"*",$AB$3:AB655,"*")</f>
        <v>5423.9999999998217</v>
      </c>
      <c r="BV654" s="87">
        <f>SUMIFS($AU$3:AU655,$AA$3:AA655,"*",$AC$3:AC655,"*")</f>
        <v>21913.636363636531</v>
      </c>
      <c r="BW654" s="87">
        <f>SUMIFS($AU$3:AU655,$AB$3:AB655,"*",$AC$3:AC655,"*")</f>
        <v>7119.9999999999982</v>
      </c>
      <c r="BX654" s="87">
        <f>SUMIFS($AV$3:AV655,$Q$3:Q655,"F")</f>
        <v>425.28253013189931</v>
      </c>
      <c r="BY654" s="87">
        <f>SUMIFS($AV$3:AV655,$Q$3:Q655,"S")</f>
        <v>768.03991333429894</v>
      </c>
      <c r="BZ654" s="87">
        <f>SUMIFS($AV$3:AV655,$Q$3:Q655,"O")</f>
        <v>372.95929999976715</v>
      </c>
    </row>
    <row r="655" spans="1:78" ht="15.75" customHeight="1">
      <c r="A655" s="45" t="s">
        <v>1819</v>
      </c>
      <c r="B655" s="59">
        <v>45435</v>
      </c>
      <c r="C655" s="46" t="s">
        <v>2110</v>
      </c>
      <c r="D655" s="46" t="s">
        <v>107</v>
      </c>
      <c r="E655" s="66"/>
      <c r="F655" s="47"/>
      <c r="G655" s="174" t="s">
        <v>377</v>
      </c>
      <c r="H655" s="49"/>
      <c r="I655" s="49"/>
      <c r="J655" s="49"/>
      <c r="K655" s="50"/>
      <c r="L655" s="49"/>
      <c r="M655" s="49">
        <v>1</v>
      </c>
      <c r="N655" s="49"/>
      <c r="O655" s="50" t="s">
        <v>363</v>
      </c>
      <c r="P655" s="50" t="s">
        <v>126</v>
      </c>
      <c r="Q655" s="50"/>
      <c r="R655" s="50">
        <v>6</v>
      </c>
      <c r="S655" s="50">
        <v>5</v>
      </c>
      <c r="T655" s="50">
        <v>6</v>
      </c>
      <c r="U655" s="50" t="s">
        <v>102</v>
      </c>
      <c r="V655" s="50"/>
      <c r="W655" s="50"/>
      <c r="X655" s="50"/>
      <c r="Y655" s="51">
        <f>IF(ISBLANK(O655),"",(IF(O655=UPPER("IB"),0.005,0.01)))</f>
        <v>0.01</v>
      </c>
      <c r="Z655" s="52">
        <f>IF(ISBLANK(O655),"",IF(O655="IB",8.63*200,IF(O655="IR",16*100,IF(O655="YT",20*100,IF(O655="YT-XT",24*200,IF(O655="TED",80*100))))))</f>
        <v>8000</v>
      </c>
      <c r="AA655" s="52" t="s">
        <v>2111</v>
      </c>
      <c r="AB655" s="52"/>
      <c r="AC655" s="52"/>
      <c r="AD655" s="231">
        <v>-0.2</v>
      </c>
      <c r="AE655" s="49"/>
      <c r="AF655" s="84"/>
      <c r="AG655" s="49"/>
      <c r="AH655" s="49"/>
      <c r="AI655" s="49"/>
      <c r="AJ655" s="226"/>
      <c r="AK655" s="49"/>
      <c r="AL655" s="113">
        <f t="shared" si="295"/>
        <v>-160</v>
      </c>
      <c r="AM655" s="113">
        <f t="shared" si="286"/>
        <v>-160</v>
      </c>
      <c r="AN655" s="218"/>
      <c r="AO655" s="49"/>
      <c r="AP655" s="49"/>
      <c r="AQ655" s="84" t="s">
        <v>155</v>
      </c>
      <c r="AR655" s="49"/>
      <c r="AS655" s="55">
        <f>((-0.2*5)+(-0.2*1))/6</f>
        <v>-0.19999999999999998</v>
      </c>
      <c r="AT655" s="55">
        <f>IF(ISBLANK(AS655),,IF(U655="S",AD655-AS655,AS655-AD655))</f>
        <v>-2.7755575615628914E-17</v>
      </c>
      <c r="AU655" s="54">
        <f>AV655*R655</f>
        <v>-1.3322676295501878E-12</v>
      </c>
      <c r="AV655" s="56">
        <f t="shared" ref="AV655:AV668" si="296">IF(ISBLANK(AS655),,(AT655*Z655))</f>
        <v>-2.2204460492503131E-13</v>
      </c>
      <c r="AW655" s="57" t="s">
        <v>155</v>
      </c>
      <c r="AX655" s="153" t="s">
        <v>2112</v>
      </c>
      <c r="AY655" s="153" t="s">
        <v>2113</v>
      </c>
      <c r="AZ655" s="153"/>
      <c r="BA655" s="153"/>
      <c r="BB655" s="153"/>
      <c r="BC655" s="153"/>
      <c r="BD655" s="151"/>
      <c r="BE655" s="152"/>
      <c r="BF655" s="151"/>
      <c r="BG655" s="94">
        <f>SUM($AV$4:AV655)</f>
        <v>3814.2817434659714</v>
      </c>
      <c r="BH655" s="95">
        <f>SUM($AU$4:AU655)</f>
        <v>50016.953506493737</v>
      </c>
      <c r="BI655" s="80">
        <f>SUMIFS($AU$3:AU737,$Q$3:Q737,"F")</f>
        <v>32973.293506493508</v>
      </c>
      <c r="BJ655" s="80">
        <f>SUMIFS($AU$3:AU737,$Q$3:Q737,"S")</f>
        <v>20002.285714285714</v>
      </c>
      <c r="BK655" s="87">
        <f>SUMIFS($AU$3:AU737,$P$3:P737,"W")</f>
        <v>31576.759220779561</v>
      </c>
      <c r="BL655" s="87">
        <f>SUMIFS($AU$3:AU737,$P$3:P737,"R")</f>
        <v>15726.00000000016</v>
      </c>
      <c r="BM655" s="87">
        <f>SUMIFS($AU$3:AU737,$AQ$3:AQ737,"M")</f>
        <v>10931.179999998967</v>
      </c>
      <c r="BN655" s="87">
        <f>SUMIFS($AU$3:AU737,$AQ$3:AQ737,"H")</f>
        <v>14523.200000000877</v>
      </c>
      <c r="BO655" s="87">
        <f>SUMIFS($AU$3:AU737,$AQ$3:AQ737,"D")</f>
        <v>8014.9928571427408</v>
      </c>
      <c r="BP655" s="87">
        <f>SUMIFS($AS$3:AS1314,$AO$3:AO1314,"W")</f>
        <v>0</v>
      </c>
      <c r="BQ655" s="87">
        <f>SUMIFS($AU$3:AU737,$Q$3:Q737,"O")</f>
        <v>-5384.9400000000251</v>
      </c>
      <c r="BR655" s="87">
        <f>SUMIFS($AU$3:AU737,$AA$3:AA737,"*")</f>
        <v>37075.122077921827</v>
      </c>
      <c r="BS655" s="87">
        <f>SUMIFS($AU$3:AU737,$AB$3:AB737,"*")</f>
        <v>12971.859999999973</v>
      </c>
      <c r="BT655" s="87">
        <f>SUMIFS($AU$3:AU737,$AC$3:AC737,"*")</f>
        <v>40173.293506493676</v>
      </c>
      <c r="BU655" s="87">
        <f>SUMIFS($AU$3:AU737,$AA$3:AA737,"*",$AB$3:AB737,"*")</f>
        <v>8011.9999999997544</v>
      </c>
      <c r="BV655" s="87">
        <f>SUMIFS($AU$3:AU737,$AA$3:AA737,"*",$AC$3:AC737,"*")</f>
        <v>28153.636363636531</v>
      </c>
      <c r="BW655" s="87">
        <f>SUMIFS($AU$3:AU737,$AB$3:AB737,"*",$AC$3:AC737,"*")</f>
        <v>9360</v>
      </c>
      <c r="BX655" s="87">
        <f>SUMIFS($AV$3:AV737,$Q$3:Q737,"F")</f>
        <v>462.72914667325267</v>
      </c>
      <c r="BY655" s="87">
        <f>SUMIFS($AV$3:AV737,$Q$3:Q737,"S")</f>
        <v>738.32562762001328</v>
      </c>
      <c r="BZ655" s="87">
        <f>SUMIFS($AV$3:AV737,$Q$3:Q737,"O")</f>
        <v>471.55929999966099</v>
      </c>
    </row>
    <row r="656" spans="1:78" ht="15.75" customHeight="1">
      <c r="A656" s="45" t="s">
        <v>1819</v>
      </c>
      <c r="B656" s="59">
        <v>45435</v>
      </c>
      <c r="C656" s="46" t="s">
        <v>2114</v>
      </c>
      <c r="D656" s="46" t="s">
        <v>107</v>
      </c>
      <c r="E656" s="66"/>
      <c r="F656" s="47"/>
      <c r="G656" s="48" t="s">
        <v>111</v>
      </c>
      <c r="H656" s="49"/>
      <c r="I656" s="49"/>
      <c r="J656" s="49"/>
      <c r="K656" s="50"/>
      <c r="L656" s="49"/>
      <c r="M656" s="49"/>
      <c r="N656" s="49"/>
      <c r="O656" s="50"/>
      <c r="P656" s="50"/>
      <c r="Q656" s="50"/>
      <c r="R656" s="50"/>
      <c r="S656" s="50"/>
      <c r="T656" s="50"/>
      <c r="U656" s="50"/>
      <c r="V656" s="50"/>
      <c r="W656" s="50"/>
      <c r="X656" s="50"/>
      <c r="Y656" s="51"/>
      <c r="Z656" s="52"/>
      <c r="AA656" s="52"/>
      <c r="AB656" s="52"/>
      <c r="AC656" s="52"/>
      <c r="AD656" s="231"/>
      <c r="AE656" s="49"/>
      <c r="AF656" s="84"/>
      <c r="AG656" s="49"/>
      <c r="AH656" s="49"/>
      <c r="AI656" s="49"/>
      <c r="AJ656" s="226"/>
      <c r="AK656" s="49"/>
      <c r="AL656" s="113">
        <f t="shared" si="295"/>
        <v>0</v>
      </c>
      <c r="AM656" s="113">
        <f t="shared" si="286"/>
        <v>0</v>
      </c>
      <c r="AN656" s="218"/>
      <c r="AO656" s="49"/>
      <c r="AP656" s="49"/>
      <c r="AQ656" s="84" t="str">
        <f>UPPER(RIGHT(Journal_Live[[#This Row],[DURATION ]]))</f>
        <v/>
      </c>
      <c r="AR656" s="49"/>
      <c r="AS656" s="55"/>
      <c r="AT656" s="55"/>
      <c r="AU656" s="54"/>
      <c r="AV656" s="56"/>
      <c r="AW656" s="57"/>
      <c r="AX656" s="153" t="s">
        <v>2115</v>
      </c>
      <c r="AY656" s="153" t="s">
        <v>2116</v>
      </c>
      <c r="AZ656" s="153" t="s">
        <v>2117</v>
      </c>
      <c r="BA656" s="153" t="s">
        <v>2118</v>
      </c>
      <c r="BB656" s="153" t="s">
        <v>2119</v>
      </c>
      <c r="BC656" s="153"/>
      <c r="BD656" s="151"/>
      <c r="BE656" s="152"/>
      <c r="BF656" s="151"/>
      <c r="BG656" s="94">
        <f>SUM($AV$4:AV656)</f>
        <v>3814.2817434659714</v>
      </c>
      <c r="BH656" s="95">
        <f>SUM($AU$4:AU656)</f>
        <v>50016.953506493737</v>
      </c>
      <c r="BI656" s="80">
        <f>SUMIFS($AU$3:AU657,$Q$3:Q657,"F")</f>
        <v>30835.69350649351</v>
      </c>
      <c r="BJ656" s="80">
        <f>SUMIFS($AU$3:AU657,$Q$3:Q657,"S")</f>
        <v>23488</v>
      </c>
      <c r="BK656" s="87">
        <f>SUMIFS($AU$3:AU657,$P$3:P657,"W")</f>
        <v>36124.873506493845</v>
      </c>
      <c r="BL656" s="87">
        <f>SUMIFS($AU$3:AU657,$P$3:P657,"R")</f>
        <v>11626.000000000158</v>
      </c>
      <c r="BM656" s="87">
        <f>SUMIFS($AU$3:AU657,$AQ$3:AQ657,"M")</f>
        <v>9793.3799999992334</v>
      </c>
      <c r="BN656" s="87">
        <f>SUMIFS($AU$3:AU657,$AQ$3:AQ657,"H")</f>
        <v>12363.200000000876</v>
      </c>
      <c r="BO656" s="87">
        <f>SUMIFS($AU$3:AU657,$AQ$3:AQ657,"D")</f>
        <v>11523.107142857021</v>
      </c>
      <c r="BP656" s="87">
        <f>SUMIFS($AS$3:AS1294,$AO$3:AO1294,"W")</f>
        <v>0</v>
      </c>
      <c r="BQ656" s="87">
        <f>SUMIFS($AU$3:AU657,$Q$3:Q657,"O")</f>
        <v>-5622.7399999997597</v>
      </c>
      <c r="BR656" s="87">
        <f>SUMIFS($AU$3:AU657,$AA$3:AA657,"*")</f>
        <v>36943.036363636376</v>
      </c>
      <c r="BS656" s="87">
        <f>SUMIFS($AU$3:AU657,$AB$3:AB657,"*")</f>
        <v>10383.860000000041</v>
      </c>
      <c r="BT656" s="87">
        <f>SUMIFS($AU$3:AU657,$AC$3:AC657,"*")</f>
        <v>34275.693506493677</v>
      </c>
      <c r="BU656" s="87">
        <f>SUMIFS($AU$3:AU657,$AA$3:AA657,"*",$AB$3:AB657,"*")</f>
        <v>5423.9999999998217</v>
      </c>
      <c r="BV656" s="87">
        <f>SUMIFS($AU$3:AU657,$AA$3:AA657,"*",$AC$3:AC657,"*")</f>
        <v>21913.636363636531</v>
      </c>
      <c r="BW656" s="87">
        <f>SUMIFS($AU$3:AU657,$AB$3:AB657,"*",$AC$3:AC657,"*")</f>
        <v>7119.9999999999982</v>
      </c>
      <c r="BX656" s="87">
        <f>SUMIFS($AV$3:AV657,$Q$3:Q657,"F")</f>
        <v>436.93967298904215</v>
      </c>
      <c r="BY656" s="87">
        <f>SUMIFS($AV$3:AV657,$Q$3:Q657,"S")</f>
        <v>768.03991333429894</v>
      </c>
      <c r="BZ656" s="87">
        <f>SUMIFS($AV$3:AV657,$Q$3:Q657,"O")</f>
        <v>372.95929999976715</v>
      </c>
    </row>
    <row r="657" spans="1:78" ht="15.75" customHeight="1">
      <c r="A657" s="45" t="s">
        <v>1819</v>
      </c>
      <c r="B657" s="59">
        <v>45435</v>
      </c>
      <c r="C657" s="46" t="s">
        <v>1301</v>
      </c>
      <c r="D657" s="46" t="s">
        <v>107</v>
      </c>
      <c r="E657" s="66"/>
      <c r="F657" s="47"/>
      <c r="G657" s="110" t="s">
        <v>804</v>
      </c>
      <c r="H657" s="49"/>
      <c r="I657" s="49"/>
      <c r="J657" s="49"/>
      <c r="K657" s="50"/>
      <c r="L657" s="49"/>
      <c r="M657" s="49">
        <v>1</v>
      </c>
      <c r="N657" s="49">
        <v>1</v>
      </c>
      <c r="O657" s="50" t="s">
        <v>100</v>
      </c>
      <c r="P657" s="50" t="s">
        <v>101</v>
      </c>
      <c r="Q657" s="50" t="s">
        <v>127</v>
      </c>
      <c r="R657" s="50">
        <v>35</v>
      </c>
      <c r="S657" s="50">
        <v>35</v>
      </c>
      <c r="T657" s="50">
        <v>50</v>
      </c>
      <c r="U657" s="50" t="s">
        <v>22</v>
      </c>
      <c r="V657" s="50"/>
      <c r="W657" s="50"/>
      <c r="X657" s="50"/>
      <c r="Y657" s="51">
        <f>IF(ISBLANK(O657),"",(IF(O657=UPPER("IB"),0.005,0.01)))</f>
        <v>0.01</v>
      </c>
      <c r="Z657" s="52">
        <f>IF(ISBLANK(O657),"",IF(O657="IB",8.63*200,IF(O657="IR",16*100,IF(O657="YT",20*100,IF(O657="YT-XT",24*200,IF(O657="TED",80*100))))))</f>
        <v>1600</v>
      </c>
      <c r="AA657" s="52"/>
      <c r="AB657" s="52"/>
      <c r="AC657" s="52" t="s">
        <v>2120</v>
      </c>
      <c r="AD657" s="231">
        <f>0.04-0.053</f>
        <v>-1.2999999999999998E-2</v>
      </c>
      <c r="AE657" s="49"/>
      <c r="AF657" s="84"/>
      <c r="AG657" s="49"/>
      <c r="AH657" s="49"/>
      <c r="AI657" s="49">
        <v>0</v>
      </c>
      <c r="AJ657" s="226" t="s">
        <v>2121</v>
      </c>
      <c r="AK657" s="49"/>
      <c r="AL657" s="113">
        <f>-0.02*Z657</f>
        <v>-32</v>
      </c>
      <c r="AM657" s="113">
        <f t="shared" si="286"/>
        <v>0</v>
      </c>
      <c r="AN657" s="218" t="s">
        <v>2122</v>
      </c>
      <c r="AO657" s="49"/>
      <c r="AP657" s="49"/>
      <c r="AQ657" s="84" t="s">
        <v>142</v>
      </c>
      <c r="AR657" s="74">
        <v>45435</v>
      </c>
      <c r="AS657" s="55">
        <f>((-0.01*20)+(0*15))/35</f>
        <v>-5.7142857142857143E-3</v>
      </c>
      <c r="AT657" s="55">
        <f>IF(ISBLANK(AS657),,IF(U657="S",AD657-AS657,AS657-AD657))</f>
        <v>7.2857142857142834E-3</v>
      </c>
      <c r="AU657" s="54">
        <f>AV657*R657</f>
        <v>407.99999999999983</v>
      </c>
      <c r="AV657" s="56">
        <f t="shared" si="296"/>
        <v>11.657142857142853</v>
      </c>
      <c r="AW657" s="57" t="s">
        <v>101</v>
      </c>
      <c r="AX657" s="153" t="s">
        <v>2123</v>
      </c>
      <c r="AY657" s="151" t="s">
        <v>2124</v>
      </c>
      <c r="AZ657" s="153"/>
      <c r="BA657" s="153"/>
      <c r="BB657" s="153"/>
      <c r="BC657" s="153"/>
      <c r="BD657" s="151"/>
      <c r="BE657" s="152"/>
      <c r="BF657" s="151"/>
      <c r="BG657" s="94">
        <f>SUM($AV$4:AV657)</f>
        <v>3825.9388863231143</v>
      </c>
      <c r="BH657" s="95">
        <f>SUM($AU$4:AU657)</f>
        <v>50424.953506493737</v>
      </c>
      <c r="BI657" s="80">
        <f>SUMIFS($AU$3:AU658,$Q$3:Q658,"F")</f>
        <v>30835.69350649351</v>
      </c>
      <c r="BJ657" s="80">
        <f>SUMIFS($AU$3:AU658,$Q$3:Q658,"S")</f>
        <v>23488</v>
      </c>
      <c r="BK657" s="87">
        <f>SUMIFS($AU$3:AU658,$P$3:P658,"W")</f>
        <v>36124.873506493845</v>
      </c>
      <c r="BL657" s="87">
        <f>SUMIFS($AU$3:AU658,$P$3:P658,"R")</f>
        <v>11626.000000000158</v>
      </c>
      <c r="BM657" s="87">
        <f>SUMIFS($AU$3:AU658,$AQ$3:AQ658,"M")</f>
        <v>9793.3799999992334</v>
      </c>
      <c r="BN657" s="87">
        <f>SUMIFS($AU$3:AU658,$AQ$3:AQ658,"H")</f>
        <v>12363.200000000876</v>
      </c>
      <c r="BO657" s="87">
        <f>SUMIFS($AU$3:AU658,$AQ$3:AQ658,"D")</f>
        <v>11523.107142857021</v>
      </c>
      <c r="BP657" s="87">
        <f>SUMIFS($AS$3:AS1295,$AO$3:AO1295,"W")</f>
        <v>0</v>
      </c>
      <c r="BQ657" s="87">
        <f>SUMIFS($AU$3:AU658,$Q$3:Q658,"O")</f>
        <v>-5622.7399999997597</v>
      </c>
      <c r="BR657" s="87">
        <f>SUMIFS($AU$3:AU658,$AA$3:AA658,"*")</f>
        <v>36943.036363636376</v>
      </c>
      <c r="BS657" s="87">
        <f>SUMIFS($AU$3:AU658,$AB$3:AB658,"*")</f>
        <v>10383.860000000041</v>
      </c>
      <c r="BT657" s="87">
        <f>SUMIFS($AU$3:AU658,$AC$3:AC658,"*")</f>
        <v>34275.693506493677</v>
      </c>
      <c r="BU657" s="87">
        <f>SUMIFS($AU$3:AU658,$AA$3:AA658,"*",$AB$3:AB658,"*")</f>
        <v>5423.9999999998217</v>
      </c>
      <c r="BV657" s="87">
        <f>SUMIFS($AU$3:AU658,$AA$3:AA658,"*",$AC$3:AC658,"*")</f>
        <v>21913.636363636531</v>
      </c>
      <c r="BW657" s="87">
        <f>SUMIFS($AU$3:AU658,$AB$3:AB658,"*",$AC$3:AC658,"*")</f>
        <v>7119.9999999999982</v>
      </c>
      <c r="BX657" s="87">
        <f>SUMIFS($AV$3:AV658,$Q$3:Q658,"F")</f>
        <v>436.93967298904215</v>
      </c>
      <c r="BY657" s="87">
        <f>SUMIFS($AV$3:AV658,$Q$3:Q658,"S")</f>
        <v>768.03991333429894</v>
      </c>
      <c r="BZ657" s="87">
        <f>SUMIFS($AV$3:AV658,$Q$3:Q658,"O")</f>
        <v>372.95929999976715</v>
      </c>
    </row>
    <row r="658" spans="1:78" ht="15.75" customHeight="1">
      <c r="A658" s="45" t="s">
        <v>1819</v>
      </c>
      <c r="B658" s="59">
        <v>45435</v>
      </c>
      <c r="C658" s="46" t="s">
        <v>2099</v>
      </c>
      <c r="D658" s="46" t="s">
        <v>107</v>
      </c>
      <c r="E658" s="66"/>
      <c r="F658" s="47"/>
      <c r="G658" s="105" t="s">
        <v>295</v>
      </c>
      <c r="H658" s="49"/>
      <c r="I658" s="49"/>
      <c r="J658" s="49"/>
      <c r="K658" s="50"/>
      <c r="L658" s="49"/>
      <c r="M658" s="49"/>
      <c r="N658" s="49">
        <v>2</v>
      </c>
      <c r="O658" s="50" t="s">
        <v>100</v>
      </c>
      <c r="P658" s="50" t="s">
        <v>126</v>
      </c>
      <c r="Q658" s="50" t="s">
        <v>102</v>
      </c>
      <c r="R658" s="50">
        <v>20</v>
      </c>
      <c r="S658" s="50">
        <v>0</v>
      </c>
      <c r="T658" s="50">
        <v>20</v>
      </c>
      <c r="U658" s="50" t="s">
        <v>22</v>
      </c>
      <c r="V658" s="50"/>
      <c r="W658" s="50"/>
      <c r="X658" s="50"/>
      <c r="Y658" s="51">
        <f>IF(ISBLANK(O658),"",(IF(O658=UPPER("IB"),0.005,0.01)))</f>
        <v>0.01</v>
      </c>
      <c r="Z658" s="52">
        <f>IF(ISBLANK(O658),"",IF(O658="IB",8.63*200,IF(O658="IR",16*100,IF(O658="YT",20*100,IF(O658="YT-XT",24*200,IF(O658="TED",80*100,IF(O658="XT",29*200)))))))</f>
        <v>1600</v>
      </c>
      <c r="AA658" s="52" t="s">
        <v>1889</v>
      </c>
      <c r="AB658" s="52"/>
      <c r="AC658" s="52" t="s">
        <v>2100</v>
      </c>
      <c r="AD658" s="231">
        <v>-0.09</v>
      </c>
      <c r="AE658" s="49"/>
      <c r="AF658" s="84"/>
      <c r="AG658" s="49"/>
      <c r="AH658" s="49"/>
      <c r="AI658" s="49"/>
      <c r="AJ658" s="226"/>
      <c r="AK658" s="49"/>
      <c r="AL658" s="113">
        <f>-0.02*Z658</f>
        <v>-32</v>
      </c>
      <c r="AM658" s="113">
        <f t="shared" si="286"/>
        <v>-640</v>
      </c>
      <c r="AN658" s="218"/>
      <c r="AO658" s="49"/>
      <c r="AP658" s="49"/>
      <c r="AQ658" s="84" t="s">
        <v>155</v>
      </c>
      <c r="AR658" s="49"/>
      <c r="AS658" s="55">
        <v>-0.09</v>
      </c>
      <c r="AT658" s="55">
        <f>IF(ISBLANK(AS658),,IF(U658="S",AD658-AS658,AS658-AD658))</f>
        <v>0</v>
      </c>
      <c r="AU658" s="54">
        <f>AV658*R658</f>
        <v>0</v>
      </c>
      <c r="AV658" s="56">
        <f>IF(ISBLANK(AS658),,(AT658*Z658))</f>
        <v>0</v>
      </c>
      <c r="AW658" s="57" t="s">
        <v>155</v>
      </c>
      <c r="AX658" s="153"/>
      <c r="AY658" s="153"/>
      <c r="AZ658" s="153"/>
      <c r="BA658" s="153"/>
      <c r="BB658" s="153"/>
      <c r="BC658" s="153"/>
      <c r="BD658" s="151"/>
      <c r="BE658" s="152"/>
      <c r="BF658" s="151"/>
      <c r="BG658" s="94">
        <f>SUM($AV$4:AV658)</f>
        <v>3825.9388863231143</v>
      </c>
      <c r="BH658" s="95">
        <f>SUM($AU$4:AU658)</f>
        <v>50424.953506493737</v>
      </c>
      <c r="BI658" s="80">
        <f>SUMIFS($AU$3:AU659,$Q$3:Q659,"F")</f>
        <v>30835.69350649351</v>
      </c>
      <c r="BJ658" s="80">
        <f>SUMIFS($AU$3:AU659,$Q$3:Q659,"S")</f>
        <v>23488</v>
      </c>
      <c r="BK658" s="87">
        <f>SUMIFS($AU$3:AU659,$P$3:P659,"W")</f>
        <v>36124.873506493845</v>
      </c>
      <c r="BL658" s="87">
        <f>SUMIFS($AU$3:AU659,$P$3:P659,"R")</f>
        <v>11626.000000000158</v>
      </c>
      <c r="BM658" s="87">
        <f>SUMIFS($AU$3:AU659,$AQ$3:AQ659,"M")</f>
        <v>9793.3799999992334</v>
      </c>
      <c r="BN658" s="87">
        <f>SUMIFS($AU$3:AU659,$AQ$3:AQ659,"H")</f>
        <v>12363.200000000876</v>
      </c>
      <c r="BO658" s="87">
        <f>SUMIFS($AU$3:AU659,$AQ$3:AQ659,"D")</f>
        <v>11523.107142857021</v>
      </c>
      <c r="BP658" s="87">
        <f>SUMIFS($AS$3:AS1296,$AO$3:AO1296,"W")</f>
        <v>0</v>
      </c>
      <c r="BQ658" s="87">
        <f>SUMIFS($AU$3:AU659,$Q$3:Q659,"O")</f>
        <v>-5622.7399999997597</v>
      </c>
      <c r="BR658" s="87">
        <f>SUMIFS($AU$3:AU659,$AA$3:AA659,"*")</f>
        <v>36943.036363636376</v>
      </c>
      <c r="BS658" s="87">
        <f>SUMIFS($AU$3:AU659,$AB$3:AB659,"*")</f>
        <v>10383.860000000041</v>
      </c>
      <c r="BT658" s="87">
        <f>SUMIFS($AU$3:AU659,$AC$3:AC659,"*")</f>
        <v>34275.693506493677</v>
      </c>
      <c r="BU658" s="87">
        <f>SUMIFS($AU$3:AU659,$AA$3:AA659,"*",$AB$3:AB659,"*")</f>
        <v>5423.9999999998217</v>
      </c>
      <c r="BV658" s="87">
        <f>SUMIFS($AU$3:AU659,$AA$3:AA659,"*",$AC$3:AC659,"*")</f>
        <v>21913.636363636531</v>
      </c>
      <c r="BW658" s="87">
        <f>SUMIFS($AU$3:AU659,$AB$3:AB659,"*",$AC$3:AC659,"*")</f>
        <v>7119.9999999999982</v>
      </c>
      <c r="BX658" s="87">
        <f>SUMIFS($AV$3:AV659,$Q$3:Q659,"F")</f>
        <v>436.93967298904215</v>
      </c>
      <c r="BY658" s="87">
        <f>SUMIFS($AV$3:AV659,$Q$3:Q659,"S")</f>
        <v>768.03991333429894</v>
      </c>
      <c r="BZ658" s="87">
        <f>SUMIFS($AV$3:AV659,$Q$3:Q659,"O")</f>
        <v>372.95929999976715</v>
      </c>
    </row>
    <row r="659" spans="1:78" ht="15.75" customHeight="1">
      <c r="A659" s="45" t="s">
        <v>1819</v>
      </c>
      <c r="B659" s="59">
        <v>45435</v>
      </c>
      <c r="C659" s="46" t="s">
        <v>1378</v>
      </c>
      <c r="D659" s="46" t="s">
        <v>107</v>
      </c>
      <c r="E659" s="66"/>
      <c r="F659" s="47"/>
      <c r="G659" s="48" t="s">
        <v>111</v>
      </c>
      <c r="H659" s="49"/>
      <c r="I659" s="49"/>
      <c r="J659" s="49"/>
      <c r="K659" s="50"/>
      <c r="L659" s="49"/>
      <c r="M659" s="49"/>
      <c r="N659" s="49"/>
      <c r="O659" s="50"/>
      <c r="P659" s="50"/>
      <c r="Q659" s="50"/>
      <c r="R659" s="50"/>
      <c r="S659" s="50"/>
      <c r="T659" s="50"/>
      <c r="U659" s="50"/>
      <c r="V659" s="50"/>
      <c r="W659" s="50"/>
      <c r="X659" s="50"/>
      <c r="Y659" s="51"/>
      <c r="Z659" s="52"/>
      <c r="AA659" s="52"/>
      <c r="AB659" s="52"/>
      <c r="AC659" s="52"/>
      <c r="AD659" s="231"/>
      <c r="AE659" s="49"/>
      <c r="AF659" s="84"/>
      <c r="AG659" s="49"/>
      <c r="AH659" s="49"/>
      <c r="AI659" s="49"/>
      <c r="AJ659" s="226"/>
      <c r="AK659" s="49"/>
      <c r="AL659" s="113">
        <f>-0.02*Z659</f>
        <v>0</v>
      </c>
      <c r="AM659" s="113">
        <f t="shared" si="286"/>
        <v>0</v>
      </c>
      <c r="AN659" s="218"/>
      <c r="AO659" s="49"/>
      <c r="AP659" s="49"/>
      <c r="AQ659" s="84" t="str">
        <f>UPPER(RIGHT(Journal_Live[[#This Row],[DURATION ]]))</f>
        <v/>
      </c>
      <c r="AR659" s="49"/>
      <c r="AS659" s="55"/>
      <c r="AT659" s="55"/>
      <c r="AU659" s="54"/>
      <c r="AV659" s="56"/>
      <c r="AW659" s="57"/>
      <c r="AX659" s="153"/>
      <c r="AY659" s="153"/>
      <c r="AZ659" s="153"/>
      <c r="BA659" s="153"/>
      <c r="BB659" s="153"/>
      <c r="BC659" s="153"/>
      <c r="BD659" s="151"/>
      <c r="BE659" s="152"/>
      <c r="BF659" s="151"/>
      <c r="BG659" s="94">
        <f>SUM($AV$4:AV659)</f>
        <v>3825.9388863231143</v>
      </c>
      <c r="BH659" s="95">
        <f>SUM($AU$4:AU659)</f>
        <v>50424.953506493737</v>
      </c>
      <c r="BI659" s="80">
        <f>SUMIFS($AU$3:AU660,$Q$3:Q660,"F")</f>
        <v>30835.69350649351</v>
      </c>
      <c r="BJ659" s="80">
        <f>SUMIFS($AU$3:AU660,$Q$3:Q660,"S")</f>
        <v>23488</v>
      </c>
      <c r="BK659" s="87">
        <f>SUMIFS($AU$3:AU660,$P$3:P660,"W")</f>
        <v>36124.873506493845</v>
      </c>
      <c r="BL659" s="87">
        <f>SUMIFS($AU$3:AU660,$P$3:P660,"R")</f>
        <v>11626.000000000158</v>
      </c>
      <c r="BM659" s="87">
        <f>SUMIFS($AU$3:AU660,$AQ$3:AQ660,"M")</f>
        <v>9793.3799999992334</v>
      </c>
      <c r="BN659" s="87">
        <f>SUMIFS($AU$3:AU660,$AQ$3:AQ660,"H")</f>
        <v>12363.200000000876</v>
      </c>
      <c r="BO659" s="87">
        <f>SUMIFS($AU$3:AU660,$AQ$3:AQ660,"D")</f>
        <v>11523.107142857021</v>
      </c>
      <c r="BP659" s="87">
        <f>SUMIFS($AS$3:AS1297,$AO$3:AO1297,"W")</f>
        <v>0</v>
      </c>
      <c r="BQ659" s="87">
        <f>SUMIFS($AU$3:AU660,$Q$3:Q660,"O")</f>
        <v>-5622.7399999997597</v>
      </c>
      <c r="BR659" s="87">
        <f>SUMIFS($AU$3:AU660,$AA$3:AA660,"*")</f>
        <v>36943.036363636376</v>
      </c>
      <c r="BS659" s="87">
        <f>SUMIFS($AU$3:AU660,$AB$3:AB660,"*")</f>
        <v>10383.860000000041</v>
      </c>
      <c r="BT659" s="87">
        <f>SUMIFS($AU$3:AU660,$AC$3:AC660,"*")</f>
        <v>34275.693506493677</v>
      </c>
      <c r="BU659" s="87">
        <f>SUMIFS($AU$3:AU660,$AA$3:AA660,"*",$AB$3:AB660,"*")</f>
        <v>5423.9999999998217</v>
      </c>
      <c r="BV659" s="87">
        <f>SUMIFS($AU$3:AU660,$AA$3:AA660,"*",$AC$3:AC660,"*")</f>
        <v>21913.636363636531</v>
      </c>
      <c r="BW659" s="87">
        <f>SUMIFS($AU$3:AU660,$AB$3:AB660,"*",$AC$3:AC660,"*")</f>
        <v>7119.9999999999982</v>
      </c>
      <c r="BX659" s="87">
        <f>SUMIFS($AV$3:AV660,$Q$3:Q660,"F")</f>
        <v>436.93967298904215</v>
      </c>
      <c r="BY659" s="87">
        <f>SUMIFS($AV$3:AV660,$Q$3:Q660,"S")</f>
        <v>768.03991333429894</v>
      </c>
      <c r="BZ659" s="87">
        <f>SUMIFS($AV$3:AV660,$Q$3:Q660,"O")</f>
        <v>372.95929999976715</v>
      </c>
    </row>
    <row r="660" spans="1:78" ht="15.75" customHeight="1">
      <c r="A660" s="45" t="s">
        <v>1819</v>
      </c>
      <c r="B660" s="59">
        <v>45435</v>
      </c>
      <c r="C660" s="46" t="s">
        <v>1324</v>
      </c>
      <c r="D660" s="46" t="s">
        <v>107</v>
      </c>
      <c r="E660" s="66"/>
      <c r="F660" s="47"/>
      <c r="G660" s="104" t="s">
        <v>463</v>
      </c>
      <c r="H660" s="49"/>
      <c r="I660" s="49"/>
      <c r="J660" s="49"/>
      <c r="K660" s="50"/>
      <c r="L660" s="49"/>
      <c r="M660" s="49"/>
      <c r="N660" s="49">
        <v>2</v>
      </c>
      <c r="O660" s="50" t="s">
        <v>100</v>
      </c>
      <c r="P660" s="50" t="s">
        <v>126</v>
      </c>
      <c r="Q660" s="50" t="s">
        <v>102</v>
      </c>
      <c r="R660" s="50">
        <v>82</v>
      </c>
      <c r="S660" s="50">
        <v>0</v>
      </c>
      <c r="T660" s="50">
        <v>82</v>
      </c>
      <c r="U660" s="50" t="s">
        <v>22</v>
      </c>
      <c r="V660" s="50"/>
      <c r="W660" s="50"/>
      <c r="X660" s="50"/>
      <c r="Y660" s="51">
        <f>IF(ISBLANK(O660),"",(IF(O660=UPPER("IB"),0.005,0.01)))</f>
        <v>0.01</v>
      </c>
      <c r="Z660" s="52">
        <f>IF(ISBLANK(O660),"",IF(O660="IB",8.63*200,IF(O660="IR",16*100,IF(O660="YT",20*100,IF(O660="YT-XT",24*200,IF(O660="TED",80*100,IF(O660="XT",29*200)))))))</f>
        <v>1600</v>
      </c>
      <c r="AA660" s="52" t="s">
        <v>2125</v>
      </c>
      <c r="AB660" s="52"/>
      <c r="AC660" s="52"/>
      <c r="AD660" s="231">
        <v>-0.16</v>
      </c>
      <c r="AE660" s="49"/>
      <c r="AF660" s="84"/>
      <c r="AG660" s="49"/>
      <c r="AH660" s="49"/>
      <c r="AI660" s="49"/>
      <c r="AJ660" s="226" t="s">
        <v>2126</v>
      </c>
      <c r="AK660" s="49"/>
      <c r="AL660" s="113">
        <f t="shared" si="295"/>
        <v>-32</v>
      </c>
      <c r="AM660" s="113">
        <f t="shared" si="286"/>
        <v>-2624</v>
      </c>
      <c r="AN660" s="218"/>
      <c r="AO660" s="49"/>
      <c r="AP660" s="49"/>
      <c r="AQ660" s="84" t="s">
        <v>142</v>
      </c>
      <c r="AR660" s="49"/>
      <c r="AS660" s="55">
        <v>-0.16</v>
      </c>
      <c r="AT660" s="55">
        <f>IF(ISBLANK(AS660),,IF(U660="S",AD660-AS660,AS660-AD660))</f>
        <v>0</v>
      </c>
      <c r="AU660" s="54">
        <f>AV660*R660</f>
        <v>0</v>
      </c>
      <c r="AV660" s="56">
        <f t="shared" si="296"/>
        <v>0</v>
      </c>
      <c r="AW660" s="57" t="s">
        <v>155</v>
      </c>
      <c r="AX660" s="153" t="s">
        <v>419</v>
      </c>
      <c r="AY660" s="153" t="s">
        <v>2127</v>
      </c>
      <c r="AZ660" s="153"/>
      <c r="BA660" s="153"/>
      <c r="BB660" s="153"/>
      <c r="BC660" s="153"/>
      <c r="BD660" s="151"/>
      <c r="BE660" s="152"/>
      <c r="BF660" s="151"/>
      <c r="BG660" s="94">
        <f>SUM($AV$4:AV660)</f>
        <v>3825.9388863231143</v>
      </c>
      <c r="BH660" s="95">
        <f>SUM($AU$4:AU660)</f>
        <v>50424.953506493737</v>
      </c>
      <c r="BI660" s="80">
        <f>SUMIFS($AU$3:AU661,$Q$3:Q661,"F")</f>
        <v>30835.69350649351</v>
      </c>
      <c r="BJ660" s="80">
        <f>SUMIFS($AU$3:AU661,$Q$3:Q661,"S")</f>
        <v>23488</v>
      </c>
      <c r="BK660" s="87">
        <f>SUMIFS($AU$3:AU661,$P$3:P661,"W")</f>
        <v>36124.873506493845</v>
      </c>
      <c r="BL660" s="87">
        <f>SUMIFS($AU$3:AU661,$P$3:P661,"R")</f>
        <v>11626.000000000158</v>
      </c>
      <c r="BM660" s="87">
        <f>SUMIFS($AU$3:AU661,$AQ$3:AQ661,"M")</f>
        <v>9793.3799999992334</v>
      </c>
      <c r="BN660" s="87">
        <f>SUMIFS($AU$3:AU661,$AQ$3:AQ661,"H")</f>
        <v>12363.200000000876</v>
      </c>
      <c r="BO660" s="87">
        <f>SUMIFS($AU$3:AU661,$AQ$3:AQ661,"D")</f>
        <v>11523.107142857021</v>
      </c>
      <c r="BP660" s="87">
        <f>SUMIFS($AS$3:AS1298,$AO$3:AO1298,"W")</f>
        <v>0</v>
      </c>
      <c r="BQ660" s="87">
        <f>SUMIFS($AU$3:AU661,$Q$3:Q661,"O")</f>
        <v>-5622.7399999997597</v>
      </c>
      <c r="BR660" s="87">
        <f>SUMIFS($AU$3:AU661,$AA$3:AA661,"*")</f>
        <v>36943.036363636376</v>
      </c>
      <c r="BS660" s="87">
        <f>SUMIFS($AU$3:AU661,$AB$3:AB661,"*")</f>
        <v>10383.860000000041</v>
      </c>
      <c r="BT660" s="87">
        <f>SUMIFS($AU$3:AU661,$AC$3:AC661,"*")</f>
        <v>34275.693506493677</v>
      </c>
      <c r="BU660" s="87">
        <f>SUMIFS($AU$3:AU661,$AA$3:AA661,"*",$AB$3:AB661,"*")</f>
        <v>5423.9999999998217</v>
      </c>
      <c r="BV660" s="87">
        <f>SUMIFS($AU$3:AU661,$AA$3:AA661,"*",$AC$3:AC661,"*")</f>
        <v>21913.636363636531</v>
      </c>
      <c r="BW660" s="87">
        <f>SUMIFS($AU$3:AU661,$AB$3:AB661,"*",$AC$3:AC661,"*")</f>
        <v>7119.9999999999982</v>
      </c>
      <c r="BX660" s="87">
        <f>SUMIFS($AV$3:AV661,$Q$3:Q661,"F")</f>
        <v>436.93967298904215</v>
      </c>
      <c r="BY660" s="87">
        <f>SUMIFS($AV$3:AV661,$Q$3:Q661,"S")</f>
        <v>768.03991333429894</v>
      </c>
      <c r="BZ660" s="87">
        <f>SUMIFS($AV$3:AV661,$Q$3:Q661,"O")</f>
        <v>372.95929999976715</v>
      </c>
    </row>
    <row r="661" spans="1:78" ht="15.75" customHeight="1">
      <c r="A661" s="45" t="s">
        <v>1819</v>
      </c>
      <c r="B661" s="59">
        <v>45435</v>
      </c>
      <c r="C661" s="46" t="s">
        <v>2128</v>
      </c>
      <c r="D661" s="46" t="s">
        <v>107</v>
      </c>
      <c r="E661" s="66"/>
      <c r="F661" s="47"/>
      <c r="G661" s="48" t="s">
        <v>466</v>
      </c>
      <c r="H661" s="49"/>
      <c r="I661" s="49"/>
      <c r="J661" s="49"/>
      <c r="K661" s="50"/>
      <c r="L661" s="49"/>
      <c r="M661" s="49"/>
      <c r="N661" s="49"/>
      <c r="O661" s="50"/>
      <c r="P661" s="50"/>
      <c r="Q661" s="50"/>
      <c r="R661" s="50"/>
      <c r="S661" s="50"/>
      <c r="T661" s="50"/>
      <c r="U661" s="50"/>
      <c r="V661" s="50"/>
      <c r="W661" s="50"/>
      <c r="X661" s="50"/>
      <c r="Y661" s="51"/>
      <c r="Z661" s="52"/>
      <c r="AA661" s="52"/>
      <c r="AB661" s="52"/>
      <c r="AC661" s="52"/>
      <c r="AD661" s="231"/>
      <c r="AE661" s="49"/>
      <c r="AF661" s="84"/>
      <c r="AG661" s="49">
        <v>-0.09</v>
      </c>
      <c r="AH661" s="49"/>
      <c r="AI661" s="49"/>
      <c r="AJ661" s="226"/>
      <c r="AK661" s="49"/>
      <c r="AL661" s="113">
        <f t="shared" si="295"/>
        <v>0</v>
      </c>
      <c r="AM661" s="113">
        <f t="shared" si="286"/>
        <v>0</v>
      </c>
      <c r="AN661" s="218"/>
      <c r="AO661" s="49"/>
      <c r="AP661" s="49"/>
      <c r="AQ661" s="84" t="str">
        <f>UPPER(RIGHT(Journal_Live[[#This Row],[DURATION ]]))</f>
        <v/>
      </c>
      <c r="AR661" s="49"/>
      <c r="AS661" s="55"/>
      <c r="AT661" s="55"/>
      <c r="AU661" s="54"/>
      <c r="AV661" s="56"/>
      <c r="AW661" s="57"/>
      <c r="AX661" s="153" t="s">
        <v>2129</v>
      </c>
      <c r="AY661" s="153"/>
      <c r="AZ661" s="153"/>
      <c r="BA661" s="153"/>
      <c r="BB661" s="153"/>
      <c r="BC661" s="153"/>
      <c r="BD661" s="151"/>
      <c r="BE661" s="152"/>
      <c r="BF661" s="151"/>
      <c r="BG661" s="94">
        <f>SUM($AV$4:AV661)</f>
        <v>3825.9388863231143</v>
      </c>
      <c r="BH661" s="95">
        <f>SUM($AU$4:AU661)</f>
        <v>50424.953506493737</v>
      </c>
      <c r="BI661" s="80">
        <f>SUMIFS($AU$3:AU662,$Q$3:Q662,"F")</f>
        <v>30835.69350649351</v>
      </c>
      <c r="BJ661" s="80">
        <f>SUMIFS($AU$3:AU662,$Q$3:Q662,"S")</f>
        <v>23488</v>
      </c>
      <c r="BK661" s="87">
        <f>SUMIFS($AU$3:AU662,$P$3:P662,"W")</f>
        <v>36124.873506493845</v>
      </c>
      <c r="BL661" s="87">
        <f>SUMIFS($AU$3:AU662,$P$3:P662,"R")</f>
        <v>11626.000000000158</v>
      </c>
      <c r="BM661" s="87">
        <f>SUMIFS($AU$3:AU662,$AQ$3:AQ662,"M")</f>
        <v>9793.3799999992334</v>
      </c>
      <c r="BN661" s="87">
        <f>SUMIFS($AU$3:AU662,$AQ$3:AQ662,"H")</f>
        <v>12363.200000000876</v>
      </c>
      <c r="BO661" s="87">
        <f>SUMIFS($AU$3:AU662,$AQ$3:AQ662,"D")</f>
        <v>11523.107142857021</v>
      </c>
      <c r="BP661" s="87">
        <f>SUMIFS($AS$3:AS1299,$AO$3:AO1299,"W")</f>
        <v>0</v>
      </c>
      <c r="BQ661" s="87">
        <f>SUMIFS($AU$3:AU662,$Q$3:Q662,"O")</f>
        <v>-5622.7399999997597</v>
      </c>
      <c r="BR661" s="87">
        <f>SUMIFS($AU$3:AU662,$AA$3:AA662,"*")</f>
        <v>36943.036363636376</v>
      </c>
      <c r="BS661" s="87">
        <f>SUMIFS($AU$3:AU662,$AB$3:AB662,"*")</f>
        <v>10383.860000000041</v>
      </c>
      <c r="BT661" s="87">
        <f>SUMIFS($AU$3:AU662,$AC$3:AC662,"*")</f>
        <v>34275.693506493677</v>
      </c>
      <c r="BU661" s="87">
        <f>SUMIFS($AU$3:AU662,$AA$3:AA662,"*",$AB$3:AB662,"*")</f>
        <v>5423.9999999998217</v>
      </c>
      <c r="BV661" s="87">
        <f>SUMIFS($AU$3:AU662,$AA$3:AA662,"*",$AC$3:AC662,"*")</f>
        <v>21913.636363636531</v>
      </c>
      <c r="BW661" s="87">
        <f>SUMIFS($AU$3:AU662,$AB$3:AB662,"*",$AC$3:AC662,"*")</f>
        <v>7119.9999999999982</v>
      </c>
      <c r="BX661" s="87">
        <f>SUMIFS($AV$3:AV662,$Q$3:Q662,"F")</f>
        <v>436.93967298904215</v>
      </c>
      <c r="BY661" s="87">
        <f>SUMIFS($AV$3:AV662,$Q$3:Q662,"S")</f>
        <v>768.03991333429894</v>
      </c>
      <c r="BZ661" s="87">
        <f>SUMIFS($AV$3:AV662,$Q$3:Q662,"O")</f>
        <v>372.95929999976715</v>
      </c>
    </row>
    <row r="662" spans="1:78" ht="15.75" customHeight="1">
      <c r="A662" s="45" t="s">
        <v>1819</v>
      </c>
      <c r="B662" s="59"/>
      <c r="C662" s="46"/>
      <c r="D662" s="46"/>
      <c r="E662" s="66"/>
      <c r="F662" s="47"/>
      <c r="G662" s="48"/>
      <c r="H662" s="49"/>
      <c r="I662" s="49"/>
      <c r="J662" s="49"/>
      <c r="K662" s="50"/>
      <c r="L662" s="49"/>
      <c r="M662" s="49"/>
      <c r="N662" s="49"/>
      <c r="O662" s="50"/>
      <c r="P662" s="50"/>
      <c r="Q662" s="50"/>
      <c r="R662" s="50"/>
      <c r="S662" s="50"/>
      <c r="T662" s="50"/>
      <c r="U662" s="50"/>
      <c r="V662" s="50"/>
      <c r="W662" s="50"/>
      <c r="X662" s="50"/>
      <c r="Y662" s="50"/>
      <c r="Z662" s="50"/>
      <c r="AA662" s="52"/>
      <c r="AB662" s="52"/>
      <c r="AC662" s="52"/>
      <c r="AD662" s="231"/>
      <c r="AE662" s="49"/>
      <c r="AF662" s="84"/>
      <c r="AG662" s="49"/>
      <c r="AH662" s="49"/>
      <c r="AI662" s="49"/>
      <c r="AJ662" s="226"/>
      <c r="AK662" s="49"/>
      <c r="AL662" s="113">
        <f t="shared" si="295"/>
        <v>0</v>
      </c>
      <c r="AM662" s="113">
        <f t="shared" si="286"/>
        <v>0</v>
      </c>
      <c r="AN662" s="218"/>
      <c r="AO662" s="49"/>
      <c r="AP662" s="49"/>
      <c r="AQ662" s="84" t="str">
        <f>UPPER(RIGHT(Journal_Live[[#This Row],[DURATION ]]))</f>
        <v/>
      </c>
      <c r="AR662" s="49"/>
      <c r="AS662" s="55"/>
      <c r="AT662" s="55"/>
      <c r="AU662" s="54"/>
      <c r="AV662" s="56"/>
      <c r="AW662" s="57"/>
      <c r="AX662" s="153" t="s">
        <v>2130</v>
      </c>
      <c r="AY662" s="175" t="s">
        <v>2131</v>
      </c>
      <c r="AZ662" s="153"/>
      <c r="BA662" s="151" t="s">
        <v>2132</v>
      </c>
      <c r="BB662" s="153"/>
      <c r="BC662" s="153"/>
      <c r="BD662" s="151"/>
      <c r="BE662" s="152"/>
      <c r="BF662" s="151"/>
      <c r="BG662" s="94">
        <f>SUM($AV$4:AV662)</f>
        <v>3825.9388863231143</v>
      </c>
      <c r="BH662" s="95">
        <f>SUM($AU$4:AU662)</f>
        <v>50424.953506493737</v>
      </c>
      <c r="BI662" s="80">
        <f>SUMIFS($AU$3:AU663,$Q$3:Q663,"F")</f>
        <v>30835.69350649351</v>
      </c>
      <c r="BJ662" s="80">
        <f>SUMIFS($AU$3:AU663,$Q$3:Q663,"S")</f>
        <v>23488</v>
      </c>
      <c r="BK662" s="87">
        <f>SUMIFS($AU$3:AU663,$P$3:P663,"W")</f>
        <v>36124.873506493845</v>
      </c>
      <c r="BL662" s="87">
        <f>SUMIFS($AU$3:AU663,$P$3:P663,"R")</f>
        <v>11626.000000000158</v>
      </c>
      <c r="BM662" s="87">
        <f>SUMIFS($AU$3:AU663,$AQ$3:AQ663,"M")</f>
        <v>9793.3799999992334</v>
      </c>
      <c r="BN662" s="87">
        <f>SUMIFS($AU$3:AU663,$AQ$3:AQ663,"H")</f>
        <v>12363.200000000876</v>
      </c>
      <c r="BO662" s="87">
        <f>SUMIFS($AU$3:AU663,$AQ$3:AQ663,"D")</f>
        <v>11523.107142857021</v>
      </c>
      <c r="BP662" s="87">
        <f>SUMIFS($AS$3:AS1300,$AO$3:AO1300,"W")</f>
        <v>0</v>
      </c>
      <c r="BQ662" s="87">
        <f>SUMIFS($AU$3:AU663,$Q$3:Q663,"O")</f>
        <v>-5622.7399999997597</v>
      </c>
      <c r="BR662" s="87">
        <f>SUMIFS($AU$3:AU663,$AA$3:AA663,"*")</f>
        <v>36943.036363636376</v>
      </c>
      <c r="BS662" s="87">
        <f>SUMIFS($AU$3:AU663,$AB$3:AB663,"*")</f>
        <v>10383.860000000041</v>
      </c>
      <c r="BT662" s="87">
        <f>SUMIFS($AU$3:AU663,$AC$3:AC663,"*")</f>
        <v>34275.693506493677</v>
      </c>
      <c r="BU662" s="87">
        <f>SUMIFS($AU$3:AU663,$AA$3:AA663,"*",$AB$3:AB663,"*")</f>
        <v>5423.9999999998217</v>
      </c>
      <c r="BV662" s="87">
        <f>SUMIFS($AU$3:AU663,$AA$3:AA663,"*",$AC$3:AC663,"*")</f>
        <v>21913.636363636531</v>
      </c>
      <c r="BW662" s="87">
        <f>SUMIFS($AU$3:AU663,$AB$3:AB663,"*",$AC$3:AC663,"*")</f>
        <v>7119.9999999999982</v>
      </c>
      <c r="BX662" s="87">
        <f>SUMIFS($AV$3:AV663,$Q$3:Q663,"F")</f>
        <v>436.93967298904215</v>
      </c>
      <c r="BY662" s="87">
        <f>SUMIFS($AV$3:AV663,$Q$3:Q663,"S")</f>
        <v>768.03991333429894</v>
      </c>
      <c r="BZ662" s="87">
        <f>SUMIFS($AV$3:AV663,$Q$3:Q663,"O")</f>
        <v>372.95929999976715</v>
      </c>
    </row>
    <row r="663" spans="1:78" ht="15.75" customHeight="1">
      <c r="A663" s="45" t="s">
        <v>1819</v>
      </c>
      <c r="B663" s="59"/>
      <c r="C663" s="46"/>
      <c r="D663" s="46"/>
      <c r="E663" s="66"/>
      <c r="F663" s="47"/>
      <c r="G663" s="48"/>
      <c r="H663" s="49"/>
      <c r="I663" s="49"/>
      <c r="J663" s="49"/>
      <c r="K663" s="50"/>
      <c r="L663" s="49"/>
      <c r="M663" s="49"/>
      <c r="N663" s="49"/>
      <c r="O663" s="50"/>
      <c r="P663" s="50"/>
      <c r="Q663" s="50"/>
      <c r="R663" s="50"/>
      <c r="S663" s="50"/>
      <c r="T663" s="50"/>
      <c r="U663" s="50"/>
      <c r="V663" s="50"/>
      <c r="W663" s="50"/>
      <c r="X663" s="50"/>
      <c r="Y663" s="50"/>
      <c r="Z663" s="50"/>
      <c r="AA663" s="52"/>
      <c r="AB663" s="52"/>
      <c r="AC663" s="52"/>
      <c r="AD663" s="231"/>
      <c r="AE663" s="49"/>
      <c r="AF663" s="84"/>
      <c r="AG663" s="49"/>
      <c r="AH663" s="49"/>
      <c r="AI663" s="49"/>
      <c r="AJ663" s="226"/>
      <c r="AK663" s="49"/>
      <c r="AL663" s="113">
        <f t="shared" si="295"/>
        <v>0</v>
      </c>
      <c r="AM663" s="113">
        <f t="shared" si="286"/>
        <v>0</v>
      </c>
      <c r="AN663" s="218"/>
      <c r="AO663" s="49"/>
      <c r="AP663" s="49"/>
      <c r="AQ663" s="84" t="str">
        <f>UPPER(RIGHT(Journal_Live[[#This Row],[DURATION ]]))</f>
        <v/>
      </c>
      <c r="AR663" s="49"/>
      <c r="AS663" s="55"/>
      <c r="AT663" s="55"/>
      <c r="AU663" s="54"/>
      <c r="AV663" s="56"/>
      <c r="AW663" s="57"/>
      <c r="AX663" s="153" t="s">
        <v>2133</v>
      </c>
      <c r="AY663" s="151" t="s">
        <v>2134</v>
      </c>
      <c r="AZ663" s="151" t="s">
        <v>2135</v>
      </c>
      <c r="BA663" s="153"/>
      <c r="BB663" s="153"/>
      <c r="BC663" s="153"/>
      <c r="BD663" s="151"/>
      <c r="BE663" s="152"/>
      <c r="BF663" s="151"/>
      <c r="BG663" s="94">
        <f>SUM($AV$4:AV663)</f>
        <v>3825.9388863231143</v>
      </c>
      <c r="BH663" s="95">
        <f>SUM($AU$4:AU663)</f>
        <v>50424.953506493737</v>
      </c>
      <c r="BI663" s="80">
        <f>SUMIFS($AU$3:AU664,$Q$3:Q664,"F")</f>
        <v>30835.69350649351</v>
      </c>
      <c r="BJ663" s="80">
        <f>SUMIFS($AU$3:AU664,$Q$3:Q664,"S")</f>
        <v>23488</v>
      </c>
      <c r="BK663" s="87">
        <f>SUMIFS($AU$3:AU664,$P$3:P664,"W")</f>
        <v>36124.873506493845</v>
      </c>
      <c r="BL663" s="87">
        <f>SUMIFS($AU$3:AU664,$P$3:P664,"R")</f>
        <v>11626.000000000158</v>
      </c>
      <c r="BM663" s="87">
        <f>SUMIFS($AU$3:AU664,$AQ$3:AQ664,"M")</f>
        <v>9793.3799999992334</v>
      </c>
      <c r="BN663" s="87">
        <f>SUMIFS($AU$3:AU664,$AQ$3:AQ664,"H")</f>
        <v>12363.200000000876</v>
      </c>
      <c r="BO663" s="87">
        <f>SUMIFS($AU$3:AU664,$AQ$3:AQ664,"D")</f>
        <v>11523.107142857021</v>
      </c>
      <c r="BP663" s="87">
        <f>SUMIFS($AS$3:AS1301,$AO$3:AO1301,"W")</f>
        <v>0</v>
      </c>
      <c r="BQ663" s="87">
        <f>SUMIFS($AU$3:AU664,$Q$3:Q664,"O")</f>
        <v>-5622.7399999997597</v>
      </c>
      <c r="BR663" s="87">
        <f>SUMIFS($AU$3:AU664,$AA$3:AA664,"*")</f>
        <v>36943.036363636376</v>
      </c>
      <c r="BS663" s="87">
        <f>SUMIFS($AU$3:AU664,$AB$3:AB664,"*")</f>
        <v>10383.860000000041</v>
      </c>
      <c r="BT663" s="87">
        <f>SUMIFS($AU$3:AU664,$AC$3:AC664,"*")</f>
        <v>34275.693506493677</v>
      </c>
      <c r="BU663" s="87">
        <f>SUMIFS($AU$3:AU664,$AA$3:AA664,"*",$AB$3:AB664,"*")</f>
        <v>5423.9999999998217</v>
      </c>
      <c r="BV663" s="87">
        <f>SUMIFS($AU$3:AU664,$AA$3:AA664,"*",$AC$3:AC664,"*")</f>
        <v>21913.636363636531</v>
      </c>
      <c r="BW663" s="87">
        <f>SUMIFS($AU$3:AU664,$AB$3:AB664,"*",$AC$3:AC664,"*")</f>
        <v>7119.9999999999982</v>
      </c>
      <c r="BX663" s="87">
        <f>SUMIFS($AV$3:AV664,$Q$3:Q664,"F")</f>
        <v>436.93967298904215</v>
      </c>
      <c r="BY663" s="87">
        <f>SUMIFS($AV$3:AV664,$Q$3:Q664,"S")</f>
        <v>768.03991333429894</v>
      </c>
      <c r="BZ663" s="87">
        <f>SUMIFS($AV$3:AV664,$Q$3:Q664,"O")</f>
        <v>372.95929999976715</v>
      </c>
    </row>
    <row r="664" spans="1:78" ht="15.75" customHeight="1">
      <c r="A664" s="45" t="s">
        <v>1819</v>
      </c>
      <c r="B664" s="59">
        <v>45435</v>
      </c>
      <c r="C664" s="46" t="s">
        <v>1143</v>
      </c>
      <c r="D664" s="46" t="s">
        <v>107</v>
      </c>
      <c r="E664" s="66" t="s">
        <v>2136</v>
      </c>
      <c r="F664" s="47" t="s">
        <v>2137</v>
      </c>
      <c r="G664" s="48"/>
      <c r="H664" s="49">
        <v>1</v>
      </c>
      <c r="I664" s="49"/>
      <c r="J664" s="49"/>
      <c r="K664" s="50" t="s">
        <v>142</v>
      </c>
      <c r="L664" s="49"/>
      <c r="M664" s="49"/>
      <c r="N664" s="49"/>
      <c r="O664" s="50"/>
      <c r="P664" s="50"/>
      <c r="Q664" s="50"/>
      <c r="R664" s="50"/>
      <c r="S664" s="50"/>
      <c r="T664" s="50"/>
      <c r="U664" s="50"/>
      <c r="V664" s="50"/>
      <c r="W664" s="50"/>
      <c r="X664" s="50"/>
      <c r="Y664" s="50"/>
      <c r="Z664" s="50"/>
      <c r="AA664" s="52"/>
      <c r="AB664" s="52"/>
      <c r="AC664" s="52"/>
      <c r="AD664" s="231"/>
      <c r="AE664" s="49"/>
      <c r="AF664" s="84"/>
      <c r="AG664" s="49"/>
      <c r="AH664" s="49"/>
      <c r="AI664" s="49"/>
      <c r="AJ664" s="226"/>
      <c r="AK664" s="49"/>
      <c r="AL664" s="113">
        <f t="shared" si="295"/>
        <v>0</v>
      </c>
      <c r="AM664" s="113">
        <f t="shared" ref="AM664:AM695" si="297">AL664*(R664-S664)</f>
        <v>0</v>
      </c>
      <c r="AN664" s="218"/>
      <c r="AO664" s="49"/>
      <c r="AP664" s="49"/>
      <c r="AQ664" s="84" t="str">
        <f>UPPER(RIGHT(Journal_Live[[#This Row],[DURATION ]]))</f>
        <v/>
      </c>
      <c r="AR664" s="49"/>
      <c r="AS664" s="55"/>
      <c r="AT664" s="55"/>
      <c r="AU664" s="54"/>
      <c r="AV664" s="56"/>
      <c r="AW664" s="57"/>
      <c r="AX664" s="153"/>
      <c r="AY664" s="153"/>
      <c r="AZ664" s="153"/>
      <c r="BA664" s="153"/>
      <c r="BB664" s="153"/>
      <c r="BC664" s="153"/>
      <c r="BD664" s="151"/>
      <c r="BE664" s="152"/>
      <c r="BF664" s="151"/>
      <c r="BG664" s="94">
        <f>SUM($AV$4:AV664)</f>
        <v>3825.9388863231143</v>
      </c>
      <c r="BH664" s="95">
        <f>SUM($AU$4:AU664)</f>
        <v>50424.953506493737</v>
      </c>
      <c r="BI664" s="80">
        <f>SUMIFS($AU$3:AU665,$Q$3:Q665,"F")</f>
        <v>30835.69350649351</v>
      </c>
      <c r="BJ664" s="80">
        <f>SUMIFS($AU$3:AU665,$Q$3:Q665,"S")</f>
        <v>23488</v>
      </c>
      <c r="BK664" s="87">
        <f>SUMIFS($AU$3:AU665,$P$3:P665,"W")</f>
        <v>36124.873506493845</v>
      </c>
      <c r="BL664" s="87">
        <f>SUMIFS($AU$3:AU665,$P$3:P665,"R")</f>
        <v>11626.000000000158</v>
      </c>
      <c r="BM664" s="87">
        <f>SUMIFS($AU$3:AU665,$AQ$3:AQ665,"M")</f>
        <v>9793.3799999992334</v>
      </c>
      <c r="BN664" s="87">
        <f>SUMIFS($AU$3:AU665,$AQ$3:AQ665,"H")</f>
        <v>12363.200000000876</v>
      </c>
      <c r="BO664" s="87">
        <f>SUMIFS($AU$3:AU665,$AQ$3:AQ665,"D")</f>
        <v>11523.107142857021</v>
      </c>
      <c r="BP664" s="87">
        <f>SUMIFS($AS$3:AS1302,$AO$3:AO1302,"W")</f>
        <v>0</v>
      </c>
      <c r="BQ664" s="87">
        <f>SUMIFS($AU$3:AU665,$Q$3:Q665,"O")</f>
        <v>-5622.7399999997597</v>
      </c>
      <c r="BR664" s="87">
        <f>SUMIFS($AU$3:AU665,$AA$3:AA665,"*")</f>
        <v>36943.036363636376</v>
      </c>
      <c r="BS664" s="87">
        <f>SUMIFS($AU$3:AU665,$AB$3:AB665,"*")</f>
        <v>10383.860000000041</v>
      </c>
      <c r="BT664" s="87">
        <f>SUMIFS($AU$3:AU665,$AC$3:AC665,"*")</f>
        <v>34275.693506493677</v>
      </c>
      <c r="BU664" s="87">
        <f>SUMIFS($AU$3:AU665,$AA$3:AA665,"*",$AB$3:AB665,"*")</f>
        <v>5423.9999999998217</v>
      </c>
      <c r="BV664" s="87">
        <f>SUMIFS($AU$3:AU665,$AA$3:AA665,"*",$AC$3:AC665,"*")</f>
        <v>21913.636363636531</v>
      </c>
      <c r="BW664" s="87">
        <f>SUMIFS($AU$3:AU665,$AB$3:AB665,"*",$AC$3:AC665,"*")</f>
        <v>7119.9999999999982</v>
      </c>
      <c r="BX664" s="87">
        <f>SUMIFS($AV$3:AV665,$Q$3:Q665,"F")</f>
        <v>436.93967298904215</v>
      </c>
      <c r="BY664" s="87">
        <f>SUMIFS($AV$3:AV665,$Q$3:Q665,"S")</f>
        <v>768.03991333429894</v>
      </c>
      <c r="BZ664" s="87">
        <f>SUMIFS($AV$3:AV665,$Q$3:Q665,"O")</f>
        <v>372.95929999976715</v>
      </c>
    </row>
    <row r="665" spans="1:78" ht="15.75" customHeight="1">
      <c r="A665" s="45" t="s">
        <v>1819</v>
      </c>
      <c r="B665" s="59"/>
      <c r="C665" s="46"/>
      <c r="D665" s="46"/>
      <c r="E665" s="66" t="s">
        <v>2138</v>
      </c>
      <c r="F665" s="47"/>
      <c r="G665" s="48"/>
      <c r="H665" s="49">
        <v>1</v>
      </c>
      <c r="I665" s="49"/>
      <c r="J665" s="49"/>
      <c r="K665" s="50" t="s">
        <v>142</v>
      </c>
      <c r="L665" s="49"/>
      <c r="M665" s="49"/>
      <c r="N665" s="49"/>
      <c r="O665" s="50"/>
      <c r="P665" s="50"/>
      <c r="Q665" s="50"/>
      <c r="R665" s="50"/>
      <c r="S665" s="50"/>
      <c r="T665" s="50"/>
      <c r="U665" s="50"/>
      <c r="V665" s="50"/>
      <c r="W665" s="50"/>
      <c r="X665" s="50"/>
      <c r="Y665" s="50"/>
      <c r="Z665" s="50"/>
      <c r="AA665" s="52"/>
      <c r="AB665" s="52"/>
      <c r="AC665" s="52"/>
      <c r="AD665" s="231"/>
      <c r="AE665" s="49"/>
      <c r="AF665" s="84"/>
      <c r="AG665" s="49"/>
      <c r="AH665" s="49"/>
      <c r="AI665" s="49"/>
      <c r="AJ665" s="226"/>
      <c r="AK665" s="49"/>
      <c r="AL665" s="113">
        <f t="shared" si="295"/>
        <v>0</v>
      </c>
      <c r="AM665" s="113">
        <f t="shared" si="297"/>
        <v>0</v>
      </c>
      <c r="AN665" s="218"/>
      <c r="AO665" s="49"/>
      <c r="AP665" s="49"/>
      <c r="AQ665" s="84" t="str">
        <f>UPPER(RIGHT(Journal_Live[[#This Row],[DURATION ]]))</f>
        <v/>
      </c>
      <c r="AR665" s="49"/>
      <c r="AS665" s="55"/>
      <c r="AT665" s="55"/>
      <c r="AU665" s="54"/>
      <c r="AV665" s="56"/>
      <c r="AW665" s="57"/>
      <c r="AX665" s="153"/>
      <c r="AY665" s="153"/>
      <c r="AZ665" s="153"/>
      <c r="BA665" s="153"/>
      <c r="BB665" s="153"/>
      <c r="BC665" s="153"/>
      <c r="BD665" s="151"/>
      <c r="BE665" s="152"/>
      <c r="BF665" s="151"/>
      <c r="BG665" s="94">
        <f>SUM($AV$4:AV665)</f>
        <v>3825.9388863231143</v>
      </c>
      <c r="BH665" s="95">
        <f>SUM($AU$4:AU665)</f>
        <v>50424.953506493737</v>
      </c>
      <c r="BI665" s="80">
        <f>SUMIFS($AU$3:AU666,$Q$3:Q666,"F")</f>
        <v>30835.69350649351</v>
      </c>
      <c r="BJ665" s="80">
        <f>SUMIFS($AU$3:AU666,$Q$3:Q666,"S")</f>
        <v>23488</v>
      </c>
      <c r="BK665" s="87">
        <f>SUMIFS($AU$3:AU666,$P$3:P666,"W")</f>
        <v>36124.873506493845</v>
      </c>
      <c r="BL665" s="87">
        <f>SUMIFS($AU$3:AU666,$P$3:P666,"R")</f>
        <v>11626.000000000158</v>
      </c>
      <c r="BM665" s="87">
        <f>SUMIFS($AU$3:AU666,$AQ$3:AQ666,"M")</f>
        <v>9793.3799999992334</v>
      </c>
      <c r="BN665" s="87">
        <f>SUMIFS($AU$3:AU666,$AQ$3:AQ666,"H")</f>
        <v>12363.200000000876</v>
      </c>
      <c r="BO665" s="87">
        <f>SUMIFS($AU$3:AU666,$AQ$3:AQ666,"D")</f>
        <v>11523.107142857021</v>
      </c>
      <c r="BP665" s="87">
        <f>SUMIFS($AS$3:AS1303,$AO$3:AO1303,"W")</f>
        <v>0</v>
      </c>
      <c r="BQ665" s="87">
        <f>SUMIFS($AU$3:AU666,$Q$3:Q666,"O")</f>
        <v>-5622.7399999997597</v>
      </c>
      <c r="BR665" s="87">
        <f>SUMIFS($AU$3:AU666,$AA$3:AA666,"*")</f>
        <v>36943.036363636376</v>
      </c>
      <c r="BS665" s="87">
        <f>SUMIFS($AU$3:AU666,$AB$3:AB666,"*")</f>
        <v>10383.860000000041</v>
      </c>
      <c r="BT665" s="87">
        <f>SUMIFS($AU$3:AU666,$AC$3:AC666,"*")</f>
        <v>34275.693506493677</v>
      </c>
      <c r="BU665" s="87">
        <f>SUMIFS($AU$3:AU666,$AA$3:AA666,"*",$AB$3:AB666,"*")</f>
        <v>5423.9999999998217</v>
      </c>
      <c r="BV665" s="87">
        <f>SUMIFS($AU$3:AU666,$AA$3:AA666,"*",$AC$3:AC666,"*")</f>
        <v>21913.636363636531</v>
      </c>
      <c r="BW665" s="87">
        <f>SUMIFS($AU$3:AU666,$AB$3:AB666,"*",$AC$3:AC666,"*")</f>
        <v>7119.9999999999982</v>
      </c>
      <c r="BX665" s="87">
        <f>SUMIFS($AV$3:AV666,$Q$3:Q666,"F")</f>
        <v>436.93967298904215</v>
      </c>
      <c r="BY665" s="87">
        <f>SUMIFS($AV$3:AV666,$Q$3:Q666,"S")</f>
        <v>768.03991333429894</v>
      </c>
      <c r="BZ665" s="87">
        <f>SUMIFS($AV$3:AV666,$Q$3:Q666,"O")</f>
        <v>372.95929999976715</v>
      </c>
    </row>
    <row r="666" spans="1:78" ht="15.75" customHeight="1">
      <c r="A666" s="45" t="s">
        <v>1819</v>
      </c>
      <c r="B666" s="59"/>
      <c r="C666" s="46"/>
      <c r="D666" s="46"/>
      <c r="E666" s="66" t="s">
        <v>2139</v>
      </c>
      <c r="F666" s="47"/>
      <c r="G666" s="48"/>
      <c r="H666" s="49">
        <v>1</v>
      </c>
      <c r="I666" s="49"/>
      <c r="J666" s="49"/>
      <c r="K666" s="50" t="s">
        <v>142</v>
      </c>
      <c r="L666" s="49"/>
      <c r="M666" s="49"/>
      <c r="N666" s="49"/>
      <c r="O666" s="50"/>
      <c r="P666" s="50"/>
      <c r="Q666" s="50"/>
      <c r="R666" s="50"/>
      <c r="S666" s="50"/>
      <c r="T666" s="50"/>
      <c r="U666" s="50"/>
      <c r="V666" s="50"/>
      <c r="W666" s="50"/>
      <c r="X666" s="50"/>
      <c r="Y666" s="50"/>
      <c r="Z666" s="50"/>
      <c r="AA666" s="52"/>
      <c r="AB666" s="52"/>
      <c r="AC666" s="52"/>
      <c r="AD666" s="231"/>
      <c r="AE666" s="49"/>
      <c r="AF666" s="84"/>
      <c r="AG666" s="49"/>
      <c r="AH666" s="49"/>
      <c r="AI666" s="49"/>
      <c r="AJ666" s="226"/>
      <c r="AK666" s="49"/>
      <c r="AL666" s="113">
        <f t="shared" si="295"/>
        <v>0</v>
      </c>
      <c r="AM666" s="113">
        <f t="shared" si="297"/>
        <v>0</v>
      </c>
      <c r="AN666" s="218"/>
      <c r="AO666" s="49"/>
      <c r="AP666" s="49"/>
      <c r="AQ666" s="84" t="str">
        <f>UPPER(RIGHT(Journal_Live[[#This Row],[DURATION ]]))</f>
        <v/>
      </c>
      <c r="AR666" s="49"/>
      <c r="AS666" s="55"/>
      <c r="AT666" s="55"/>
      <c r="AU666" s="54"/>
      <c r="AV666" s="56"/>
      <c r="AW666" s="57"/>
      <c r="AX666" s="153"/>
      <c r="AY666" s="153"/>
      <c r="AZ666" s="153"/>
      <c r="BA666" s="153"/>
      <c r="BB666" s="153"/>
      <c r="BC666" s="153"/>
      <c r="BD666" s="151"/>
      <c r="BE666" s="152"/>
      <c r="BF666" s="151"/>
      <c r="BG666" s="94">
        <f>SUM($AV$4:AV666)</f>
        <v>3825.9388863231143</v>
      </c>
      <c r="BH666" s="95">
        <f>SUM($AU$4:AU666)</f>
        <v>50424.953506493737</v>
      </c>
      <c r="BI666" s="80">
        <f>SUMIFS($AU$3:AU667,$Q$3:Q667,"F")</f>
        <v>30835.69350649351</v>
      </c>
      <c r="BJ666" s="80">
        <f>SUMIFS($AU$3:AU667,$Q$3:Q667,"S")</f>
        <v>23488</v>
      </c>
      <c r="BK666" s="87">
        <f>SUMIFS($AU$3:AU667,$P$3:P667,"W")</f>
        <v>36124.873506493845</v>
      </c>
      <c r="BL666" s="87">
        <f>SUMIFS($AU$3:AU667,$P$3:P667,"R")</f>
        <v>11626.000000000158</v>
      </c>
      <c r="BM666" s="87">
        <f>SUMIFS($AU$3:AU667,$AQ$3:AQ667,"M")</f>
        <v>9567.1799999991417</v>
      </c>
      <c r="BN666" s="87">
        <f>SUMIFS($AU$3:AU667,$AQ$3:AQ667,"H")</f>
        <v>12363.200000000876</v>
      </c>
      <c r="BO666" s="87">
        <f>SUMIFS($AU$3:AU667,$AQ$3:AQ667,"D")</f>
        <v>11523.107142857021</v>
      </c>
      <c r="BP666" s="87">
        <f>SUMIFS($AS$3:AS1304,$AO$3:AO1304,"W")</f>
        <v>0</v>
      </c>
      <c r="BQ666" s="87">
        <f>SUMIFS($AU$3:AU667,$Q$3:Q667,"O")</f>
        <v>-5848.9399999998504</v>
      </c>
      <c r="BR666" s="87">
        <f>SUMIFS($AU$3:AU667,$AA$3:AA667,"*")</f>
        <v>36716.836363636285</v>
      </c>
      <c r="BS666" s="87">
        <f>SUMIFS($AU$3:AU667,$AB$3:AB667,"*")</f>
        <v>10383.860000000041</v>
      </c>
      <c r="BT666" s="87">
        <f>SUMIFS($AU$3:AU667,$AC$3:AC667,"*")</f>
        <v>34275.693506493677</v>
      </c>
      <c r="BU666" s="87">
        <f>SUMIFS($AU$3:AU667,$AA$3:AA667,"*",$AB$3:AB667,"*")</f>
        <v>5423.9999999998217</v>
      </c>
      <c r="BV666" s="87">
        <f>SUMIFS($AU$3:AU667,$AA$3:AA667,"*",$AC$3:AC667,"*")</f>
        <v>21913.636363636531</v>
      </c>
      <c r="BW666" s="87">
        <f>SUMIFS($AU$3:AU667,$AB$3:AB667,"*",$AC$3:AC667,"*")</f>
        <v>7119.9999999999982</v>
      </c>
      <c r="BX666" s="87">
        <f>SUMIFS($AV$3:AV667,$Q$3:Q667,"F")</f>
        <v>436.93967298904215</v>
      </c>
      <c r="BY666" s="87">
        <f>SUMIFS($AV$3:AV667,$Q$3:Q667,"S")</f>
        <v>768.03991333429894</v>
      </c>
      <c r="BZ666" s="87">
        <f>SUMIFS($AV$3:AV667,$Q$3:Q667,"O")</f>
        <v>297.55929999973682</v>
      </c>
    </row>
    <row r="667" spans="1:78" ht="15.75" customHeight="1">
      <c r="A667" s="45" t="s">
        <v>1819</v>
      </c>
      <c r="B667" s="59">
        <v>45435</v>
      </c>
      <c r="C667" s="46" t="s">
        <v>147</v>
      </c>
      <c r="D667" s="46" t="s">
        <v>107</v>
      </c>
      <c r="E667" s="66"/>
      <c r="F667" s="47"/>
      <c r="G667" s="48" t="s">
        <v>1169</v>
      </c>
      <c r="H667" s="49"/>
      <c r="I667" s="49"/>
      <c r="J667" s="49"/>
      <c r="K667" s="50"/>
      <c r="L667" s="49">
        <v>3</v>
      </c>
      <c r="M667" s="49"/>
      <c r="N667" s="49"/>
      <c r="O667" s="50" t="s">
        <v>196</v>
      </c>
      <c r="P667" s="50" t="s">
        <v>197</v>
      </c>
      <c r="Q667" s="50" t="s">
        <v>198</v>
      </c>
      <c r="R667" s="50">
        <v>3</v>
      </c>
      <c r="S667" s="50">
        <v>0</v>
      </c>
      <c r="T667" s="50">
        <v>3</v>
      </c>
      <c r="U667" s="50" t="s">
        <v>22</v>
      </c>
      <c r="V667" s="50"/>
      <c r="W667" s="50"/>
      <c r="X667" s="50"/>
      <c r="Y667" s="51">
        <f>IF(ISBLANK(O667),"",(IF(O667=UPPER("IB"),0.005,0.01)))</f>
        <v>0.01</v>
      </c>
      <c r="Z667" s="52">
        <f>IF(ISBLANK(O667),"",IF(O667="IB",8.63*200,IF(O667="IR",16*100,IF(O667="YT",20*100,IF(O667="YT-XT",24*200,IF(O667="TED",80*100,IF(O667="XT",29*200)))))))</f>
        <v>5800</v>
      </c>
      <c r="AA667" s="52" t="s">
        <v>2140</v>
      </c>
      <c r="AB667" s="52"/>
      <c r="AC667" s="52"/>
      <c r="AD667" s="231">
        <v>95.688000000000002</v>
      </c>
      <c r="AE667" s="49"/>
      <c r="AF667" s="84"/>
      <c r="AG667" s="49"/>
      <c r="AH667" s="49"/>
      <c r="AI667" s="49"/>
      <c r="AJ667" s="226"/>
      <c r="AK667" s="49"/>
      <c r="AL667" s="113">
        <f t="shared" si="295"/>
        <v>-116</v>
      </c>
      <c r="AM667" s="113">
        <f t="shared" si="297"/>
        <v>-348</v>
      </c>
      <c r="AN667" s="218"/>
      <c r="AO667" s="49"/>
      <c r="AP667" s="49"/>
      <c r="AQ667" s="84" t="s">
        <v>350</v>
      </c>
      <c r="AR667" s="49"/>
      <c r="AS667" s="55">
        <v>95.674999999999997</v>
      </c>
      <c r="AT667" s="55">
        <f>IF(ISBLANK(AS667),,IF(U667="S",AD667-AS667,AS667-AD667))</f>
        <v>-1.300000000000523E-2</v>
      </c>
      <c r="AU667" s="54">
        <f>AV667*R667</f>
        <v>-226.20000000009099</v>
      </c>
      <c r="AV667" s="56">
        <f t="shared" si="296"/>
        <v>-75.400000000030332</v>
      </c>
      <c r="AW667" s="57" t="s">
        <v>121</v>
      </c>
      <c r="AX667" s="153"/>
      <c r="AY667" s="153"/>
      <c r="AZ667" s="153"/>
      <c r="BA667" s="153"/>
      <c r="BB667" s="153"/>
      <c r="BC667" s="153"/>
      <c r="BD667" s="151"/>
      <c r="BE667" s="152"/>
      <c r="BF667" s="151"/>
      <c r="BG667" s="94">
        <f>SUM($AV$4:AV667)</f>
        <v>3750.5388863230837</v>
      </c>
      <c r="BH667" s="95">
        <f>SUM($AU$4:AU667)</f>
        <v>50198.753506493646</v>
      </c>
      <c r="BI667" s="80">
        <f>SUMIFS($AU$3:AU668,$Q$3:Q668,"F")</f>
        <v>30835.69350649351</v>
      </c>
      <c r="BJ667" s="80">
        <f>SUMIFS($AU$3:AU668,$Q$3:Q668,"S")</f>
        <v>22048</v>
      </c>
      <c r="BK667" s="87">
        <f>SUMIFS($AU$3:AU668,$P$3:P668,"W")</f>
        <v>34684.873506493845</v>
      </c>
      <c r="BL667" s="87">
        <f>SUMIFS($AU$3:AU668,$P$3:P668,"R")</f>
        <v>11626.000000000158</v>
      </c>
      <c r="BM667" s="87">
        <f>SUMIFS($AU$3:AU668,$AQ$3:AQ668,"M")</f>
        <v>9567.1799999991417</v>
      </c>
      <c r="BN667" s="87">
        <f>SUMIFS($AU$3:AU668,$AQ$3:AQ668,"H")</f>
        <v>12363.200000000876</v>
      </c>
      <c r="BO667" s="87">
        <f>SUMIFS($AU$3:AU668,$AQ$3:AQ668,"D")</f>
        <v>10083.107142857021</v>
      </c>
      <c r="BP667" s="87">
        <f>SUMIFS($AS$3:AS1305,$AO$3:AO1305,"W")</f>
        <v>0</v>
      </c>
      <c r="BQ667" s="87">
        <f>SUMIFS($AU$3:AU668,$Q$3:Q668,"O")</f>
        <v>-5848.9399999998504</v>
      </c>
      <c r="BR667" s="87">
        <f>SUMIFS($AU$3:AU668,$AA$3:AA668,"*")</f>
        <v>35276.836363636285</v>
      </c>
      <c r="BS667" s="87">
        <f>SUMIFS($AU$3:AU668,$AB$3:AB668,"*")</f>
        <v>10383.860000000041</v>
      </c>
      <c r="BT667" s="87">
        <f>SUMIFS($AU$3:AU668,$AC$3:AC668,"*")</f>
        <v>34275.693506493677</v>
      </c>
      <c r="BU667" s="87">
        <f>SUMIFS($AU$3:AU668,$AA$3:AA668,"*",$AB$3:AB668,"*")</f>
        <v>5423.9999999998217</v>
      </c>
      <c r="BV667" s="87">
        <f>SUMIFS($AU$3:AU668,$AA$3:AA668,"*",$AC$3:AC668,"*")</f>
        <v>21913.636363636531</v>
      </c>
      <c r="BW667" s="87">
        <f>SUMIFS($AU$3:AU668,$AB$3:AB668,"*",$AC$3:AC668,"*")</f>
        <v>7119.9999999999982</v>
      </c>
      <c r="BX667" s="87">
        <f>SUMIFS($AV$3:AV668,$Q$3:Q668,"F")</f>
        <v>436.93967298904215</v>
      </c>
      <c r="BY667" s="87">
        <f>SUMIFS($AV$3:AV668,$Q$3:Q668,"S")</f>
        <v>752.03991333429894</v>
      </c>
      <c r="BZ667" s="87">
        <f>SUMIFS($AV$3:AV668,$Q$3:Q668,"O")</f>
        <v>297.55929999973682</v>
      </c>
    </row>
    <row r="668" spans="1:78" ht="15.75" customHeight="1">
      <c r="A668" s="45" t="s">
        <v>1819</v>
      </c>
      <c r="B668" s="59">
        <v>45436</v>
      </c>
      <c r="C668" s="46"/>
      <c r="D668" s="46" t="s">
        <v>115</v>
      </c>
      <c r="E668" s="66"/>
      <c r="F668" s="47"/>
      <c r="G668" s="104" t="s">
        <v>227</v>
      </c>
      <c r="H668" s="49"/>
      <c r="I668" s="49"/>
      <c r="J668" s="49"/>
      <c r="K668" s="50"/>
      <c r="L668" s="49"/>
      <c r="M668" s="49">
        <v>2</v>
      </c>
      <c r="N668" s="49"/>
      <c r="O668" s="50" t="s">
        <v>100</v>
      </c>
      <c r="P668" s="50" t="s">
        <v>101</v>
      </c>
      <c r="Q668" s="50" t="s">
        <v>102</v>
      </c>
      <c r="R668" s="50">
        <v>90</v>
      </c>
      <c r="S668" s="50">
        <v>90</v>
      </c>
      <c r="T668" s="50">
        <v>90</v>
      </c>
      <c r="U668" s="50" t="s">
        <v>102</v>
      </c>
      <c r="V668" s="50"/>
      <c r="W668" s="50"/>
      <c r="X668" s="50"/>
      <c r="Y668" s="51">
        <f>IF(ISBLANK(O668),"",(IF(O668=UPPER("IB"),0.005,0.01)))</f>
        <v>0.01</v>
      </c>
      <c r="Z668" s="52">
        <f>IF(ISBLANK(O668),"",IF(O668="IB",8.63*200,IF(O668="IR",16*100,IF(O668="YT",20*100,IF(O668="YT-XT",24*200,IF(O668="TED",80*100,IF(O668="XT",29*200)))))))</f>
        <v>1600</v>
      </c>
      <c r="AA668" s="52" t="s">
        <v>2141</v>
      </c>
      <c r="AB668" s="52"/>
      <c r="AC668" s="52"/>
      <c r="AD668" s="231">
        <v>-0.03</v>
      </c>
      <c r="AE668" s="49"/>
      <c r="AF668" s="84"/>
      <c r="AG668" s="49"/>
      <c r="AH668" s="49"/>
      <c r="AI668" s="49"/>
      <c r="AJ668" s="226"/>
      <c r="AK668" s="49"/>
      <c r="AL668" s="113">
        <f t="shared" si="295"/>
        <v>-32</v>
      </c>
      <c r="AM668" s="113">
        <f t="shared" si="297"/>
        <v>0</v>
      </c>
      <c r="AN668" s="218"/>
      <c r="AO668" s="49"/>
      <c r="AP668" s="49"/>
      <c r="AQ668" s="84" t="s">
        <v>155</v>
      </c>
      <c r="AR668" s="49"/>
      <c r="AS668" s="55">
        <v>-0.02</v>
      </c>
      <c r="AT668" s="55">
        <f>IF(ISBLANK(AS668),,IF(U668="S",AD668-AS668,AS668-AD668))</f>
        <v>-9.9999999999999985E-3</v>
      </c>
      <c r="AU668" s="54">
        <f>AV668*R668</f>
        <v>-1439.9999999999998</v>
      </c>
      <c r="AV668" s="56">
        <f t="shared" si="296"/>
        <v>-15.999999999999998</v>
      </c>
      <c r="AW668" s="57" t="s">
        <v>121</v>
      </c>
      <c r="AX668" s="153" t="s">
        <v>2142</v>
      </c>
      <c r="AY668" s="153" t="s">
        <v>2077</v>
      </c>
      <c r="AZ668" s="153"/>
      <c r="BA668" s="153"/>
      <c r="BB668" s="153"/>
      <c r="BC668" s="153"/>
      <c r="BD668" s="151"/>
      <c r="BE668" s="152"/>
      <c r="BF668" s="151"/>
      <c r="BG668" s="94">
        <f>SUM($AV$4:AV668)</f>
        <v>3734.5388863230837</v>
      </c>
      <c r="BH668" s="95">
        <f>SUM($AU$4:AU668)</f>
        <v>48758.753506493646</v>
      </c>
      <c r="BI668" s="80">
        <f>SUMIFS($AU$3:AU669,$Q$3:Q669,"F")</f>
        <v>30835.69350649351</v>
      </c>
      <c r="BJ668" s="80">
        <f>SUMIFS($AU$3:AU669,$Q$3:Q669,"S")</f>
        <v>22048</v>
      </c>
      <c r="BK668" s="87">
        <f>SUMIFS($AU$3:AU669,$P$3:P669,"W")</f>
        <v>34684.873506493845</v>
      </c>
      <c r="BL668" s="87">
        <f>SUMIFS($AU$3:AU669,$P$3:P669,"R")</f>
        <v>11626.000000000158</v>
      </c>
      <c r="BM668" s="87">
        <f>SUMIFS($AU$3:AU669,$AQ$3:AQ669,"M")</f>
        <v>9567.1799999991417</v>
      </c>
      <c r="BN668" s="87">
        <f>SUMIFS($AU$3:AU669,$AQ$3:AQ669,"H")</f>
        <v>12363.200000000876</v>
      </c>
      <c r="BO668" s="87">
        <f>SUMIFS($AU$3:AU669,$AQ$3:AQ669,"D")</f>
        <v>10083.107142857021</v>
      </c>
      <c r="BP668" s="87">
        <f>SUMIFS($AS$3:AS1306,$AO$3:AO1306,"W")</f>
        <v>0</v>
      </c>
      <c r="BQ668" s="87">
        <f>SUMIFS($AU$3:AU669,$Q$3:Q669,"O")</f>
        <v>-5848.9399999998504</v>
      </c>
      <c r="BR668" s="87">
        <f>SUMIFS($AU$3:AU669,$AA$3:AA669,"*")</f>
        <v>35276.836363636285</v>
      </c>
      <c r="BS668" s="87">
        <f>SUMIFS($AU$3:AU669,$AB$3:AB669,"*")</f>
        <v>10383.860000000041</v>
      </c>
      <c r="BT668" s="87">
        <f>SUMIFS($AU$3:AU669,$AC$3:AC669,"*")</f>
        <v>34275.693506493677</v>
      </c>
      <c r="BU668" s="87">
        <f>SUMIFS($AU$3:AU669,$AA$3:AA669,"*",$AB$3:AB669,"*")</f>
        <v>5423.9999999998217</v>
      </c>
      <c r="BV668" s="87">
        <f>SUMIFS($AU$3:AU669,$AA$3:AA669,"*",$AC$3:AC669,"*")</f>
        <v>21913.636363636531</v>
      </c>
      <c r="BW668" s="87">
        <f>SUMIFS($AU$3:AU669,$AB$3:AB669,"*",$AC$3:AC669,"*")</f>
        <v>7119.9999999999982</v>
      </c>
      <c r="BX668" s="87">
        <f>SUMIFS($AV$3:AV669,$Q$3:Q669,"F")</f>
        <v>436.93967298904215</v>
      </c>
      <c r="BY668" s="87">
        <f>SUMIFS($AV$3:AV669,$Q$3:Q669,"S")</f>
        <v>752.03991333429894</v>
      </c>
      <c r="BZ668" s="87">
        <f>SUMIFS($AV$3:AV669,$Q$3:Q669,"O")</f>
        <v>297.55929999973682</v>
      </c>
    </row>
    <row r="669" spans="1:78" ht="15.75" customHeight="1">
      <c r="A669" s="45" t="s">
        <v>1819</v>
      </c>
      <c r="B669" s="59"/>
      <c r="C669" s="46"/>
      <c r="D669" s="46"/>
      <c r="E669" s="66"/>
      <c r="F669" s="47"/>
      <c r="G669" s="48" t="s">
        <v>181</v>
      </c>
      <c r="H669" s="49"/>
      <c r="I669" s="49"/>
      <c r="J669" s="49"/>
      <c r="K669" s="50"/>
      <c r="L669" s="49"/>
      <c r="M669" s="49"/>
      <c r="N669" s="49"/>
      <c r="O669" s="50"/>
      <c r="P669" s="50"/>
      <c r="Q669" s="50"/>
      <c r="R669" s="50"/>
      <c r="S669" s="50"/>
      <c r="T669" s="50"/>
      <c r="U669" s="50"/>
      <c r="V669" s="50"/>
      <c r="W669" s="50"/>
      <c r="X669" s="50"/>
      <c r="Y669" s="51"/>
      <c r="Z669" s="52"/>
      <c r="AA669" s="52"/>
      <c r="AB669" s="52"/>
      <c r="AC669" s="52"/>
      <c r="AD669" s="231"/>
      <c r="AE669" s="49"/>
      <c r="AF669" s="84"/>
      <c r="AG669" s="49"/>
      <c r="AH669" s="49"/>
      <c r="AI669" s="49"/>
      <c r="AJ669" s="226"/>
      <c r="AK669" s="49"/>
      <c r="AL669" s="113">
        <f t="shared" si="295"/>
        <v>0</v>
      </c>
      <c r="AM669" s="113">
        <f t="shared" si="297"/>
        <v>0</v>
      </c>
      <c r="AN669" s="218"/>
      <c r="AO669" s="49"/>
      <c r="AP669" s="49"/>
      <c r="AQ669" s="84" t="str">
        <f>UPPER(RIGHT(Journal_Live[[#This Row],[DURATION ]]))</f>
        <v/>
      </c>
      <c r="AR669" s="49"/>
      <c r="AS669" s="55"/>
      <c r="AT669" s="55"/>
      <c r="AU669" s="54"/>
      <c r="AV669" s="56"/>
      <c r="AW669" s="57"/>
      <c r="AX669" s="153"/>
      <c r="AY669" s="153"/>
      <c r="AZ669" s="153"/>
      <c r="BA669" s="153"/>
      <c r="BB669" s="153"/>
      <c r="BC669" s="153"/>
      <c r="BD669" s="151"/>
      <c r="BE669" s="152"/>
      <c r="BF669" s="151"/>
      <c r="BG669" s="94">
        <f>SUM($AV$4:AV669)</f>
        <v>3734.5388863230837</v>
      </c>
      <c r="BH669" s="95">
        <f>SUM($AU$4:AU669)</f>
        <v>48758.753506493646</v>
      </c>
      <c r="BI669" s="80">
        <f>SUMIFS($AU$3:AU670,$Q$3:Q670,"F")</f>
        <v>30835.69350649351</v>
      </c>
      <c r="BJ669" s="80">
        <f>SUMIFS($AU$3:AU670,$Q$3:Q670,"S")</f>
        <v>22048</v>
      </c>
      <c r="BK669" s="87">
        <f>SUMIFS($AU$3:AU670,$P$3:P670,"W")</f>
        <v>34684.873506493845</v>
      </c>
      <c r="BL669" s="87">
        <f>SUMIFS($AU$3:AU670,$P$3:P670,"R")</f>
        <v>11626.000000000158</v>
      </c>
      <c r="BM669" s="87">
        <f>SUMIFS($AU$3:AU670,$AQ$3:AQ670,"M")</f>
        <v>9567.1799999991417</v>
      </c>
      <c r="BN669" s="87">
        <f>SUMIFS($AU$3:AU670,$AQ$3:AQ670,"H")</f>
        <v>12363.200000000876</v>
      </c>
      <c r="BO669" s="87">
        <f>SUMIFS($AU$3:AU670,$AQ$3:AQ670,"D")</f>
        <v>10083.107142857021</v>
      </c>
      <c r="BP669" s="87">
        <f>SUMIFS($AS$3:AS1307,$AO$3:AO1307,"W")</f>
        <v>0</v>
      </c>
      <c r="BQ669" s="87">
        <f>SUMIFS($AU$3:AU670,$Q$3:Q670,"O")</f>
        <v>-5848.9399999998504</v>
      </c>
      <c r="BR669" s="87">
        <f>SUMIFS($AU$3:AU670,$AA$3:AA670,"*")</f>
        <v>35276.836363636285</v>
      </c>
      <c r="BS669" s="87">
        <f>SUMIFS($AU$3:AU670,$AB$3:AB670,"*")</f>
        <v>10383.860000000041</v>
      </c>
      <c r="BT669" s="87">
        <f>SUMIFS($AU$3:AU670,$AC$3:AC670,"*")</f>
        <v>34275.693506493677</v>
      </c>
      <c r="BU669" s="87">
        <f>SUMIFS($AU$3:AU670,$AA$3:AA670,"*",$AB$3:AB670,"*")</f>
        <v>5423.9999999998217</v>
      </c>
      <c r="BV669" s="87">
        <f>SUMIFS($AU$3:AU670,$AA$3:AA670,"*",$AC$3:AC670,"*")</f>
        <v>21913.636363636531</v>
      </c>
      <c r="BW669" s="87">
        <f>SUMIFS($AU$3:AU670,$AB$3:AB670,"*",$AC$3:AC670,"*")</f>
        <v>7119.9999999999982</v>
      </c>
      <c r="BX669" s="87">
        <f>SUMIFS($AV$3:AV670,$Q$3:Q670,"F")</f>
        <v>436.93967298904215</v>
      </c>
      <c r="BY669" s="87">
        <f>SUMIFS($AV$3:AV670,$Q$3:Q670,"S")</f>
        <v>752.03991333429894</v>
      </c>
      <c r="BZ669" s="87">
        <f>SUMIFS($AV$3:AV670,$Q$3:Q670,"O")</f>
        <v>297.55929999973682</v>
      </c>
    </row>
    <row r="670" spans="1:78" ht="15.75" customHeight="1">
      <c r="A670" s="45" t="s">
        <v>1819</v>
      </c>
      <c r="B670" s="59"/>
      <c r="C670" s="46"/>
      <c r="D670" s="46"/>
      <c r="E670" s="66"/>
      <c r="F670" s="47"/>
      <c r="G670" s="104" t="s">
        <v>227</v>
      </c>
      <c r="H670" s="49"/>
      <c r="I670" s="49"/>
      <c r="J670" s="49"/>
      <c r="K670" s="50"/>
      <c r="L670" s="49"/>
      <c r="M670" s="49">
        <v>2</v>
      </c>
      <c r="N670" s="49"/>
      <c r="O670" s="50" t="s">
        <v>100</v>
      </c>
      <c r="P670" s="50" t="s">
        <v>101</v>
      </c>
      <c r="Q670" s="50" t="s">
        <v>102</v>
      </c>
      <c r="R670" s="50">
        <v>120</v>
      </c>
      <c r="S670" s="50">
        <v>100</v>
      </c>
      <c r="T670" s="50">
        <v>90</v>
      </c>
      <c r="U670" s="50" t="s">
        <v>102</v>
      </c>
      <c r="V670" s="50"/>
      <c r="W670" s="50"/>
      <c r="X670" s="50"/>
      <c r="Y670" s="51">
        <f>IF(ISBLANK(O670),"",(IF(O670=UPPER("IB"),0.005,0.01)))</f>
        <v>0.01</v>
      </c>
      <c r="Z670" s="52">
        <f>IF(ISBLANK(O670),"",IF(O670="IB",8.63*200,IF(O670="IR",16*100,IF(O670="YT",20*100,IF(O670="YT-XT",24*200,IF(O670="TED",80*100,IF(O670="XT",29*200)))))))</f>
        <v>1600</v>
      </c>
      <c r="AA670" s="52" t="s">
        <v>2143</v>
      </c>
      <c r="AB670" s="52"/>
      <c r="AC670" s="52"/>
      <c r="AD670" s="231">
        <v>-0.02</v>
      </c>
      <c r="AE670" s="49"/>
      <c r="AF670" s="84"/>
      <c r="AG670" s="49"/>
      <c r="AH670" s="49"/>
      <c r="AI670" s="49"/>
      <c r="AJ670" s="226"/>
      <c r="AK670" s="49"/>
      <c r="AL670" s="113">
        <f t="shared" ref="AL670:AL736" si="298">-0.02*Z670</f>
        <v>-32</v>
      </c>
      <c r="AM670" s="113">
        <f t="shared" si="297"/>
        <v>-640</v>
      </c>
      <c r="AN670" s="218"/>
      <c r="AO670" s="49"/>
      <c r="AP670" s="49"/>
      <c r="AQ670" s="84" t="str">
        <f>UPPER(RIGHT(Journal_Live[[#This Row],[DURATION ]]))</f>
        <v/>
      </c>
      <c r="AR670" s="49"/>
      <c r="AS670" s="55">
        <f>((-0.02*100)+(-0.02*20))/120</f>
        <v>-0.02</v>
      </c>
      <c r="AT670" s="55">
        <f>IF(ISBLANK(AS670),,IF(U670="S",AD670-AS670,AS670-AD670))</f>
        <v>0</v>
      </c>
      <c r="AU670" s="54">
        <f>AV670*R670</f>
        <v>0</v>
      </c>
      <c r="AV670" s="56">
        <f t="shared" ref="AV670:AV682" si="299">IF(ISBLANK(AS670),,(AT670*Z670))</f>
        <v>0</v>
      </c>
      <c r="AW670" s="57" t="s">
        <v>155</v>
      </c>
      <c r="AX670" s="153"/>
      <c r="AY670" s="153"/>
      <c r="AZ670" s="153"/>
      <c r="BA670" s="153"/>
      <c r="BB670" s="153"/>
      <c r="BC670" s="153"/>
      <c r="BD670" s="151"/>
      <c r="BE670" s="152"/>
      <c r="BF670" s="151"/>
      <c r="BG670" s="94">
        <f>SUM($AV$4:AV670)</f>
        <v>3734.5388863230837</v>
      </c>
      <c r="BH670" s="95">
        <f>SUM($AU$4:AU670)</f>
        <v>48758.753506493646</v>
      </c>
      <c r="BI670" s="80">
        <f>SUMIFS($AU$3:AU671,$Q$3:Q671,"F")</f>
        <v>30835.69350649351</v>
      </c>
      <c r="BJ670" s="80">
        <f>SUMIFS($AU$3:AU671,$Q$3:Q671,"S")</f>
        <v>22048</v>
      </c>
      <c r="BK670" s="87">
        <f>SUMIFS($AU$3:AU671,$P$3:P671,"W")</f>
        <v>34684.873506493845</v>
      </c>
      <c r="BL670" s="87">
        <f>SUMIFS($AU$3:AU671,$P$3:P671,"R")</f>
        <v>11626.000000000158</v>
      </c>
      <c r="BM670" s="87">
        <f>SUMIFS($AU$3:AU671,$AQ$3:AQ671,"M")</f>
        <v>9567.1799999991417</v>
      </c>
      <c r="BN670" s="87">
        <f>SUMIFS($AU$3:AU671,$AQ$3:AQ671,"H")</f>
        <v>12363.200000000876</v>
      </c>
      <c r="BO670" s="87">
        <f>SUMIFS($AU$3:AU671,$AQ$3:AQ671,"D")</f>
        <v>10083.107142857021</v>
      </c>
      <c r="BP670" s="87">
        <f>SUMIFS($AS$3:AS1308,$AO$3:AO1308,"W")</f>
        <v>0</v>
      </c>
      <c r="BQ670" s="87">
        <f>SUMIFS($AU$3:AU671,$Q$3:Q671,"O")</f>
        <v>-5848.9399999998504</v>
      </c>
      <c r="BR670" s="87">
        <f>SUMIFS($AU$3:AU671,$AA$3:AA671,"*")</f>
        <v>35276.836363636285</v>
      </c>
      <c r="BS670" s="87">
        <f>SUMIFS($AU$3:AU671,$AB$3:AB671,"*")</f>
        <v>10383.860000000041</v>
      </c>
      <c r="BT670" s="87">
        <f>SUMIFS($AU$3:AU671,$AC$3:AC671,"*")</f>
        <v>34275.693506493677</v>
      </c>
      <c r="BU670" s="87">
        <f>SUMIFS($AU$3:AU671,$AA$3:AA671,"*",$AB$3:AB671,"*")</f>
        <v>5423.9999999998217</v>
      </c>
      <c r="BV670" s="87">
        <f>SUMIFS($AU$3:AU671,$AA$3:AA671,"*",$AC$3:AC671,"*")</f>
        <v>21913.636363636531</v>
      </c>
      <c r="BW670" s="87">
        <f>SUMIFS($AU$3:AU671,$AB$3:AB671,"*",$AC$3:AC671,"*")</f>
        <v>7119.9999999999982</v>
      </c>
      <c r="BX670" s="87">
        <f>SUMIFS($AV$3:AV671,$Q$3:Q671,"F")</f>
        <v>436.93967298904215</v>
      </c>
      <c r="BY670" s="87">
        <f>SUMIFS($AV$3:AV671,$Q$3:Q671,"S")</f>
        <v>752.03991333429894</v>
      </c>
      <c r="BZ670" s="87">
        <f>SUMIFS($AV$3:AV671,$Q$3:Q671,"O")</f>
        <v>297.55929999973682</v>
      </c>
    </row>
    <row r="671" spans="1:78" ht="15.75" customHeight="1">
      <c r="A671" s="45" t="s">
        <v>1819</v>
      </c>
      <c r="B671" s="59"/>
      <c r="C671" s="46"/>
      <c r="D671" s="46"/>
      <c r="E671" s="66"/>
      <c r="F671" s="47"/>
      <c r="G671" s="48" t="s">
        <v>181</v>
      </c>
      <c r="H671" s="49"/>
      <c r="I671" s="49"/>
      <c r="J671" s="49"/>
      <c r="K671" s="50"/>
      <c r="L671" s="49"/>
      <c r="M671" s="49"/>
      <c r="N671" s="49"/>
      <c r="O671" s="50"/>
      <c r="P671" s="50"/>
      <c r="Q671" s="50"/>
      <c r="R671" s="50"/>
      <c r="S671" s="50"/>
      <c r="T671" s="50"/>
      <c r="U671" s="50"/>
      <c r="V671" s="50"/>
      <c r="W671" s="50"/>
      <c r="X671" s="50"/>
      <c r="Y671" s="51"/>
      <c r="Z671" s="52"/>
      <c r="AA671" s="52"/>
      <c r="AB671" s="52"/>
      <c r="AC671" s="52"/>
      <c r="AD671" s="231"/>
      <c r="AE671" s="49"/>
      <c r="AF671" s="84"/>
      <c r="AG671" s="49"/>
      <c r="AH671" s="49"/>
      <c r="AI671" s="49"/>
      <c r="AJ671" s="226"/>
      <c r="AK671" s="49"/>
      <c r="AL671" s="113">
        <f t="shared" si="298"/>
        <v>0</v>
      </c>
      <c r="AM671" s="113">
        <f t="shared" si="297"/>
        <v>0</v>
      </c>
      <c r="AN671" s="218"/>
      <c r="AO671" s="49"/>
      <c r="AP671" s="49"/>
      <c r="AQ671" s="84" t="str">
        <f>UPPER(RIGHT(Journal_Live[[#This Row],[DURATION ]]))</f>
        <v/>
      </c>
      <c r="AR671" s="49"/>
      <c r="AS671" s="55"/>
      <c r="AT671" s="55"/>
      <c r="AU671" s="54"/>
      <c r="AV671" s="56"/>
      <c r="AW671" s="57"/>
      <c r="AX671" s="153"/>
      <c r="AY671" s="153"/>
      <c r="AZ671" s="153"/>
      <c r="BA671" s="153"/>
      <c r="BB671" s="153"/>
      <c r="BC671" s="153"/>
      <c r="BD671" s="151"/>
      <c r="BE671" s="152"/>
      <c r="BF671" s="151"/>
      <c r="BG671" s="94">
        <f>SUM($AV$4:AV671)</f>
        <v>3734.5388863230837</v>
      </c>
      <c r="BH671" s="95">
        <f>SUM($AU$4:AU671)</f>
        <v>48758.753506493646</v>
      </c>
      <c r="BI671" s="80">
        <f>SUMIFS($AU$3:AU672,$Q$3:Q672,"F")</f>
        <v>30835.69350649351</v>
      </c>
      <c r="BJ671" s="80">
        <f>SUMIFS($AU$3:AU672,$Q$3:Q672,"S")</f>
        <v>22048</v>
      </c>
      <c r="BK671" s="87">
        <f>SUMIFS($AU$3:AU672,$P$3:P672,"W")</f>
        <v>34684.873506493845</v>
      </c>
      <c r="BL671" s="87">
        <f>SUMIFS($AU$3:AU672,$P$3:P672,"R")</f>
        <v>11626.000000000158</v>
      </c>
      <c r="BM671" s="87">
        <f>SUMIFS($AU$3:AU672,$AQ$3:AQ672,"M")</f>
        <v>9567.1799999991417</v>
      </c>
      <c r="BN671" s="87">
        <f>SUMIFS($AU$3:AU672,$AQ$3:AQ672,"H")</f>
        <v>12363.200000000876</v>
      </c>
      <c r="BO671" s="87">
        <f>SUMIFS($AU$3:AU672,$AQ$3:AQ672,"D")</f>
        <v>10083.107142857021</v>
      </c>
      <c r="BP671" s="87">
        <f>SUMIFS($AS$3:AS1309,$AO$3:AO1309,"W")</f>
        <v>0</v>
      </c>
      <c r="BQ671" s="87">
        <f>SUMIFS($AU$3:AU672,$Q$3:Q672,"O")</f>
        <v>-5848.9399999998504</v>
      </c>
      <c r="BR671" s="87">
        <f>SUMIFS($AU$3:AU672,$AA$3:AA672,"*")</f>
        <v>35276.836363636285</v>
      </c>
      <c r="BS671" s="87">
        <f>SUMIFS($AU$3:AU672,$AB$3:AB672,"*")</f>
        <v>10383.860000000041</v>
      </c>
      <c r="BT671" s="87">
        <f>SUMIFS($AU$3:AU672,$AC$3:AC672,"*")</f>
        <v>34275.693506493677</v>
      </c>
      <c r="BU671" s="87">
        <f>SUMIFS($AU$3:AU672,$AA$3:AA672,"*",$AB$3:AB672,"*")</f>
        <v>5423.9999999998217</v>
      </c>
      <c r="BV671" s="87">
        <f>SUMIFS($AU$3:AU672,$AA$3:AA672,"*",$AC$3:AC672,"*")</f>
        <v>21913.636363636531</v>
      </c>
      <c r="BW671" s="87">
        <f>SUMIFS($AU$3:AU672,$AB$3:AB672,"*",$AC$3:AC672,"*")</f>
        <v>7119.9999999999982</v>
      </c>
      <c r="BX671" s="87">
        <f>SUMIFS($AV$3:AV672,$Q$3:Q672,"F")</f>
        <v>436.93967298904215</v>
      </c>
      <c r="BY671" s="87">
        <f>SUMIFS($AV$3:AV672,$Q$3:Q672,"S")</f>
        <v>752.03991333429894</v>
      </c>
      <c r="BZ671" s="87">
        <f>SUMIFS($AV$3:AV672,$Q$3:Q672,"O")</f>
        <v>297.55929999973682</v>
      </c>
    </row>
    <row r="672" spans="1:78" ht="15.75" customHeight="1">
      <c r="A672" s="45" t="s">
        <v>1819</v>
      </c>
      <c r="B672" s="59"/>
      <c r="C672" s="46"/>
      <c r="D672" s="46"/>
      <c r="E672" s="66"/>
      <c r="F672" s="47"/>
      <c r="G672" s="48" t="s">
        <v>181</v>
      </c>
      <c r="H672" s="49"/>
      <c r="I672" s="49"/>
      <c r="J672" s="49"/>
      <c r="K672" s="50"/>
      <c r="L672" s="49"/>
      <c r="M672" s="49"/>
      <c r="N672" s="49"/>
      <c r="O672" s="50"/>
      <c r="P672" s="50"/>
      <c r="Q672" s="50"/>
      <c r="R672" s="50"/>
      <c r="S672" s="50"/>
      <c r="T672" s="50"/>
      <c r="U672" s="50"/>
      <c r="V672" s="50"/>
      <c r="W672" s="50"/>
      <c r="X672" s="50"/>
      <c r="Y672" s="51"/>
      <c r="Z672" s="52"/>
      <c r="AA672" s="52"/>
      <c r="AB672" s="52"/>
      <c r="AC672" s="52"/>
      <c r="AD672" s="231"/>
      <c r="AE672" s="49"/>
      <c r="AF672" s="84"/>
      <c r="AG672" s="49"/>
      <c r="AH672" s="49"/>
      <c r="AI672" s="49"/>
      <c r="AJ672" s="226"/>
      <c r="AK672" s="49"/>
      <c r="AL672" s="113">
        <f t="shared" si="298"/>
        <v>0</v>
      </c>
      <c r="AM672" s="113">
        <f t="shared" si="297"/>
        <v>0</v>
      </c>
      <c r="AN672" s="218"/>
      <c r="AO672" s="49"/>
      <c r="AP672" s="49"/>
      <c r="AQ672" s="84" t="str">
        <f>UPPER(RIGHT(Journal_Live[[#This Row],[DURATION ]]))</f>
        <v/>
      </c>
      <c r="AR672" s="49"/>
      <c r="AS672" s="55"/>
      <c r="AT672" s="55"/>
      <c r="AU672" s="54"/>
      <c r="AV672" s="56"/>
      <c r="AW672" s="57"/>
      <c r="AX672" s="153"/>
      <c r="AY672" s="153"/>
      <c r="AZ672" s="153"/>
      <c r="BA672" s="153"/>
      <c r="BB672" s="153"/>
      <c r="BC672" s="153"/>
      <c r="BD672" s="151"/>
      <c r="BE672" s="152"/>
      <c r="BF672" s="151"/>
      <c r="BG672" s="94">
        <f>SUM($AV$4:AV672)</f>
        <v>3734.5388863230837</v>
      </c>
      <c r="BH672" s="95">
        <f>SUM($AU$4:AU672)</f>
        <v>48758.753506493646</v>
      </c>
      <c r="BI672" s="80">
        <f>SUMIFS($AU$3:AU673,$Q$3:Q673,"F")</f>
        <v>30835.69350649351</v>
      </c>
      <c r="BJ672" s="80">
        <f>SUMIFS($AU$3:AU673,$Q$3:Q673,"S")</f>
        <v>18162.285714285714</v>
      </c>
      <c r="BK672" s="87">
        <f>SUMIFS($AU$3:AU673,$P$3:P673,"W")</f>
        <v>30799.159220779558</v>
      </c>
      <c r="BL672" s="87">
        <f>SUMIFS($AU$3:AU673,$P$3:P673,"R")</f>
        <v>11626.000000000158</v>
      </c>
      <c r="BM672" s="87">
        <f>SUMIFS($AU$3:AU673,$AQ$3:AQ673,"M")</f>
        <v>9567.1799999991417</v>
      </c>
      <c r="BN672" s="87">
        <f>SUMIFS($AU$3:AU673,$AQ$3:AQ673,"H")</f>
        <v>12363.200000000876</v>
      </c>
      <c r="BO672" s="87">
        <f>SUMIFS($AU$3:AU673,$AQ$3:AQ673,"D")</f>
        <v>6197.3928571427359</v>
      </c>
      <c r="BP672" s="87">
        <f>SUMIFS($AS$3:AS1310,$AO$3:AO1310,"W")</f>
        <v>0</v>
      </c>
      <c r="BQ672" s="87">
        <f>SUMIFS($AU$3:AU673,$Q$3:Q673,"O")</f>
        <v>-5848.9399999998504</v>
      </c>
      <c r="BR672" s="87">
        <f>SUMIFS($AU$3:AU673,$AA$3:AA673,"*")</f>
        <v>31391.122077921998</v>
      </c>
      <c r="BS672" s="87">
        <f>SUMIFS($AU$3:AU673,$AB$3:AB673,"*")</f>
        <v>10383.860000000041</v>
      </c>
      <c r="BT672" s="87">
        <f>SUMIFS($AU$3:AU673,$AC$3:AC673,"*")</f>
        <v>34275.693506493677</v>
      </c>
      <c r="BU672" s="87">
        <f>SUMIFS($AU$3:AU673,$AA$3:AA673,"*",$AB$3:AB673,"*")</f>
        <v>5423.9999999998217</v>
      </c>
      <c r="BV672" s="87">
        <f>SUMIFS($AU$3:AU673,$AA$3:AA673,"*",$AC$3:AC673,"*")</f>
        <v>21913.636363636531</v>
      </c>
      <c r="BW672" s="87">
        <f>SUMIFS($AU$3:AU673,$AB$3:AB673,"*",$AC$3:AC673,"*")</f>
        <v>7119.9999999999982</v>
      </c>
      <c r="BX672" s="87">
        <f>SUMIFS($AV$3:AV673,$Q$3:Q673,"F")</f>
        <v>436.93967298904215</v>
      </c>
      <c r="BY672" s="87">
        <f>SUMIFS($AV$3:AV673,$Q$3:Q673,"S")</f>
        <v>706.32562762001328</v>
      </c>
      <c r="BZ672" s="87">
        <f>SUMIFS($AV$3:AV673,$Q$3:Q673,"O")</f>
        <v>297.55929999973682</v>
      </c>
    </row>
    <row r="673" spans="1:78" ht="15.75" customHeight="1">
      <c r="A673" s="45" t="s">
        <v>1819</v>
      </c>
      <c r="B673" s="59">
        <v>45436</v>
      </c>
      <c r="C673" s="46"/>
      <c r="D673" s="46"/>
      <c r="E673" s="66"/>
      <c r="F673" s="47"/>
      <c r="G673" s="178" t="s">
        <v>181</v>
      </c>
      <c r="H673" s="49"/>
      <c r="I673" s="49"/>
      <c r="J673" s="49"/>
      <c r="K673" s="50"/>
      <c r="L673" s="49"/>
      <c r="M673" s="49">
        <v>2</v>
      </c>
      <c r="N673" s="49"/>
      <c r="O673" s="50" t="s">
        <v>100</v>
      </c>
      <c r="P673" s="50" t="s">
        <v>101</v>
      </c>
      <c r="Q673" s="50" t="s">
        <v>102</v>
      </c>
      <c r="R673" s="50">
        <v>85</v>
      </c>
      <c r="S673" s="50">
        <v>0</v>
      </c>
      <c r="T673" s="50">
        <v>15</v>
      </c>
      <c r="U673" s="50" t="s">
        <v>102</v>
      </c>
      <c r="V673" s="50"/>
      <c r="W673" s="50"/>
      <c r="X673" s="50"/>
      <c r="Y673" s="51">
        <f>IF(ISBLANK(O673),"",(IF(O673=UPPER("IB"),0.005,0.01)))</f>
        <v>0.01</v>
      </c>
      <c r="Z673" s="52">
        <f>IF(ISBLANK(O673),"",IF(O673="IB",8.63*200,IF(O673="IR",16*100,IF(O673="YT",20*100,IF(O673="YT-XT",24*200,IF(O673="TED",80*100,IF(O673="XT",29*200)))))))</f>
        <v>1600</v>
      </c>
      <c r="AA673" s="52" t="s">
        <v>2144</v>
      </c>
      <c r="AB673" s="52"/>
      <c r="AC673" s="52"/>
      <c r="AD673" s="231">
        <f>((-0.09*15)+(-0.1*90))/105</f>
        <v>-9.8571428571428574E-2</v>
      </c>
      <c r="AE673" s="49"/>
      <c r="AF673" s="84"/>
      <c r="AG673" s="49"/>
      <c r="AH673" s="49"/>
      <c r="AI673" s="49"/>
      <c r="AJ673" s="226"/>
      <c r="AK673" s="49"/>
      <c r="AL673" s="113">
        <f t="shared" si="298"/>
        <v>-32</v>
      </c>
      <c r="AM673" s="113">
        <f t="shared" si="297"/>
        <v>-2720</v>
      </c>
      <c r="AN673" s="218"/>
      <c r="AO673" s="49"/>
      <c r="AP673" s="49"/>
      <c r="AQ673" s="84" t="s">
        <v>155</v>
      </c>
      <c r="AR673" s="49"/>
      <c r="AS673" s="55">
        <v>-7.0000000000000007E-2</v>
      </c>
      <c r="AT673" s="55">
        <f>IF(ISBLANK(AS673),,IF(U673="S",AD673-AS673,AS673-AD673))</f>
        <v>-2.8571428571428567E-2</v>
      </c>
      <c r="AU673" s="54">
        <f>AV673*R673</f>
        <v>-3885.7142857142853</v>
      </c>
      <c r="AV673" s="56">
        <f t="shared" si="299"/>
        <v>-45.714285714285708</v>
      </c>
      <c r="AW673" s="57" t="s">
        <v>121</v>
      </c>
      <c r="AX673" s="153" t="s">
        <v>2145</v>
      </c>
      <c r="AY673" s="153" t="s">
        <v>2146</v>
      </c>
      <c r="AZ673" s="153"/>
      <c r="BA673" s="153"/>
      <c r="BB673" s="153"/>
      <c r="BC673" s="153"/>
      <c r="BD673" s="151"/>
      <c r="BE673" s="152"/>
      <c r="BF673" s="151"/>
      <c r="BG673" s="94">
        <f>SUM($AV$4:AV673)</f>
        <v>3688.8246006087979</v>
      </c>
      <c r="BH673" s="95">
        <f>SUM($AU$4:AU673)</f>
        <v>44873.039220779363</v>
      </c>
      <c r="BI673" s="80">
        <f>SUMIFS($AU$3:AU674,$Q$3:Q674,"F")</f>
        <v>30835.69350649351</v>
      </c>
      <c r="BJ673" s="80">
        <f>SUMIFS($AU$3:AU674,$Q$3:Q674,"S")</f>
        <v>16242.285714285714</v>
      </c>
      <c r="BK673" s="87">
        <f>SUMIFS($AU$3:AU674,$P$3:P674,"W")</f>
        <v>28879.159220779558</v>
      </c>
      <c r="BL673" s="87">
        <f>SUMIFS($AU$3:AU674,$P$3:P674,"R")</f>
        <v>11626.000000000158</v>
      </c>
      <c r="BM673" s="87">
        <f>SUMIFS($AU$3:AU674,$AQ$3:AQ674,"M")</f>
        <v>9567.1799999991417</v>
      </c>
      <c r="BN673" s="87">
        <f>SUMIFS($AU$3:AU674,$AQ$3:AQ674,"H")</f>
        <v>12363.200000000876</v>
      </c>
      <c r="BO673" s="87">
        <f>SUMIFS($AU$3:AU674,$AQ$3:AQ674,"D")</f>
        <v>4277.3928571427368</v>
      </c>
      <c r="BP673" s="87">
        <f>SUMIFS($AS$3:AS1311,$AO$3:AO1311,"W")</f>
        <v>0</v>
      </c>
      <c r="BQ673" s="87">
        <f>SUMIFS($AU$3:AU674,$Q$3:Q674,"O")</f>
        <v>-5848.9399999998504</v>
      </c>
      <c r="BR673" s="87">
        <f>SUMIFS($AU$3:AU674,$AA$3:AA674,"*")</f>
        <v>29471.122077921998</v>
      </c>
      <c r="BS673" s="87">
        <f>SUMIFS($AU$3:AU674,$AB$3:AB674,"*")</f>
        <v>10383.860000000041</v>
      </c>
      <c r="BT673" s="87">
        <f>SUMIFS($AU$3:AU674,$AC$3:AC674,"*")</f>
        <v>34275.693506493677</v>
      </c>
      <c r="BU673" s="87">
        <f>SUMIFS($AU$3:AU674,$AA$3:AA674,"*",$AB$3:AB674,"*")</f>
        <v>5423.9999999998217</v>
      </c>
      <c r="BV673" s="87">
        <f>SUMIFS($AU$3:AU674,$AA$3:AA674,"*",$AC$3:AC674,"*")</f>
        <v>21913.636363636531</v>
      </c>
      <c r="BW673" s="87">
        <f>SUMIFS($AU$3:AU674,$AB$3:AB674,"*",$AC$3:AC674,"*")</f>
        <v>7119.9999999999982</v>
      </c>
      <c r="BX673" s="87">
        <f>SUMIFS($AV$3:AV674,$Q$3:Q674,"F")</f>
        <v>436.93967298904215</v>
      </c>
      <c r="BY673" s="87">
        <f>SUMIFS($AV$3:AV674,$Q$3:Q674,"S")</f>
        <v>690.32562762001328</v>
      </c>
      <c r="BZ673" s="87">
        <f>SUMIFS($AV$3:AV674,$Q$3:Q674,"O")</f>
        <v>297.55929999973682</v>
      </c>
    </row>
    <row r="674" spans="1:78" ht="15.75" customHeight="1">
      <c r="A674" s="45" t="s">
        <v>1819</v>
      </c>
      <c r="B674" s="59">
        <v>45436</v>
      </c>
      <c r="C674" s="46"/>
      <c r="D674" s="46"/>
      <c r="E674" s="66"/>
      <c r="F674" s="47"/>
      <c r="G674" s="104" t="s">
        <v>276</v>
      </c>
      <c r="H674" s="49"/>
      <c r="I674" s="49"/>
      <c r="J674" s="49"/>
      <c r="K674" s="50"/>
      <c r="L674" s="49"/>
      <c r="M674" s="49">
        <v>2</v>
      </c>
      <c r="N674" s="49"/>
      <c r="O674" s="50" t="s">
        <v>100</v>
      </c>
      <c r="P674" s="50" t="s">
        <v>101</v>
      </c>
      <c r="Q674" s="50" t="s">
        <v>102</v>
      </c>
      <c r="R674" s="50">
        <v>120</v>
      </c>
      <c r="S674" s="50">
        <v>0</v>
      </c>
      <c r="T674" s="50">
        <v>25</v>
      </c>
      <c r="U674" s="50" t="s">
        <v>102</v>
      </c>
      <c r="V674" s="50"/>
      <c r="W674" s="50"/>
      <c r="X674" s="50"/>
      <c r="Y674" s="51">
        <f>IF(ISBLANK(O674),"",(IF(O674=UPPER("IB"),0.005,0.01)))</f>
        <v>0.01</v>
      </c>
      <c r="Z674" s="52">
        <f>IF(ISBLANK(O674),"",IF(O674="IB",8.63*200,IF(O674="IR",16*100,IF(O674="YT",20*100,IF(O674="YT-XT",24*200,IF(O674="TED",80*100,IF(O674="XT",29*200)))))))</f>
        <v>1600</v>
      </c>
      <c r="AA674" s="52" t="s">
        <v>2144</v>
      </c>
      <c r="AB674" s="52"/>
      <c r="AC674" s="52"/>
      <c r="AD674" s="231">
        <v>-0.11</v>
      </c>
      <c r="AE674" s="49"/>
      <c r="AF674" s="84"/>
      <c r="AG674" s="49"/>
      <c r="AH674" s="49"/>
      <c r="AI674" s="49"/>
      <c r="AJ674" s="226"/>
      <c r="AK674" s="49"/>
      <c r="AL674" s="113">
        <f t="shared" si="298"/>
        <v>-32</v>
      </c>
      <c r="AM674" s="113">
        <f t="shared" si="297"/>
        <v>-3840</v>
      </c>
      <c r="AN674" s="218"/>
      <c r="AO674" s="49"/>
      <c r="AP674" s="49"/>
      <c r="AQ674" s="84" t="s">
        <v>155</v>
      </c>
      <c r="AR674" s="49"/>
      <c r="AS674" s="55">
        <v>-0.1</v>
      </c>
      <c r="AT674" s="55">
        <f>IF(ISBLANK(AS674),,IF(U674="S",AD674-AS674,AS674-AD674))</f>
        <v>-9.999999999999995E-3</v>
      </c>
      <c r="AU674" s="54">
        <f>AV674*R674</f>
        <v>-1919.9999999999991</v>
      </c>
      <c r="AV674" s="56">
        <f t="shared" si="299"/>
        <v>-15.999999999999993</v>
      </c>
      <c r="AW674" s="57" t="s">
        <v>121</v>
      </c>
      <c r="AX674" s="153" t="s">
        <v>2147</v>
      </c>
      <c r="AY674" s="153" t="s">
        <v>2148</v>
      </c>
      <c r="AZ674" s="153" t="s">
        <v>2149</v>
      </c>
      <c r="BA674" s="153">
        <v>800</v>
      </c>
      <c r="BB674" s="153"/>
      <c r="BC674" s="153"/>
      <c r="BD674" s="151"/>
      <c r="BE674" s="152"/>
      <c r="BF674" s="151"/>
      <c r="BG674" s="94">
        <f>SUM($AV$4:AV674)</f>
        <v>3672.8246006087979</v>
      </c>
      <c r="BH674" s="95">
        <f>SUM($AU$4:AU674)</f>
        <v>42953.039220779363</v>
      </c>
      <c r="BI674" s="80">
        <f>SUMIFS($AU$3:AU735,$Q$3:Q735,"F")</f>
        <v>32973.293506493508</v>
      </c>
      <c r="BJ674" s="80">
        <f>SUMIFS($AU$3:AU735,$Q$3:Q735,"S")</f>
        <v>20002.285714285714</v>
      </c>
      <c r="BK674" s="87">
        <f>SUMIFS($AU$3:AU735,$P$3:P735,"W")</f>
        <v>31576.759220779561</v>
      </c>
      <c r="BL674" s="87">
        <f>SUMIFS($AU$3:AU735,$P$3:P735,"R")</f>
        <v>15726.00000000016</v>
      </c>
      <c r="BM674" s="87">
        <f>SUMIFS($AU$3:AU735,$AQ$3:AQ735,"M")</f>
        <v>10931.179999998967</v>
      </c>
      <c r="BN674" s="87">
        <f>SUMIFS($AU$3:AU735,$AQ$3:AQ735,"H")</f>
        <v>14523.200000000877</v>
      </c>
      <c r="BO674" s="87">
        <f>SUMIFS($AU$3:AU735,$AQ$3:AQ735,"D")</f>
        <v>8014.9928571427408</v>
      </c>
      <c r="BP674" s="87">
        <f>SUMIFS($AS$3:AS1312,$AO$3:AO1312,"W")</f>
        <v>0</v>
      </c>
      <c r="BQ674" s="87">
        <f>SUMIFS($AU$3:AU735,$Q$3:Q735,"O")</f>
        <v>-5384.9400000000251</v>
      </c>
      <c r="BR674" s="87">
        <f>SUMIFS($AU$3:AU735,$AA$3:AA735,"*")</f>
        <v>37075.122077921827</v>
      </c>
      <c r="BS674" s="87">
        <f>SUMIFS($AU$3:AU735,$AB$3:AB735,"*")</f>
        <v>12971.859999999973</v>
      </c>
      <c r="BT674" s="87">
        <f>SUMIFS($AU$3:AU735,$AC$3:AC735,"*")</f>
        <v>40173.293506493676</v>
      </c>
      <c r="BU674" s="87">
        <f>SUMIFS($AU$3:AU735,$AA$3:AA735,"*",$AB$3:AB735,"*")</f>
        <v>8011.9999999997544</v>
      </c>
      <c r="BV674" s="87">
        <f>SUMIFS($AU$3:AU735,$AA$3:AA735,"*",$AC$3:AC735,"*")</f>
        <v>28153.636363636531</v>
      </c>
      <c r="BW674" s="87">
        <f>SUMIFS($AU$3:AU735,$AB$3:AB735,"*",$AC$3:AC735,"*")</f>
        <v>9360</v>
      </c>
      <c r="BX674" s="87">
        <f>SUMIFS($AV$3:AV735,$Q$3:Q735,"F")</f>
        <v>462.72914667325267</v>
      </c>
      <c r="BY674" s="87">
        <f>SUMIFS($AV$3:AV735,$Q$3:Q735,"S")</f>
        <v>738.32562762001328</v>
      </c>
      <c r="BZ674" s="87">
        <f>SUMIFS($AV$3:AV735,$Q$3:Q735,"O")</f>
        <v>471.55929999966099</v>
      </c>
    </row>
    <row r="675" spans="1:78" ht="15.75" customHeight="1">
      <c r="A675" s="45" t="s">
        <v>1819</v>
      </c>
      <c r="B675" s="59">
        <v>45436</v>
      </c>
      <c r="C675" s="46"/>
      <c r="D675" s="46" t="s">
        <v>115</v>
      </c>
      <c r="E675" s="66"/>
      <c r="F675" s="47"/>
      <c r="G675" s="104" t="s">
        <v>2150</v>
      </c>
      <c r="H675" s="49"/>
      <c r="I675" s="49"/>
      <c r="J675" s="49"/>
      <c r="K675" s="50"/>
      <c r="L675" s="49"/>
      <c r="M675" s="49">
        <v>2</v>
      </c>
      <c r="N675" s="49"/>
      <c r="O675" s="50" t="s">
        <v>100</v>
      </c>
      <c r="P675" s="50" t="s">
        <v>101</v>
      </c>
      <c r="Q675" s="50" t="s">
        <v>127</v>
      </c>
      <c r="R675" s="50">
        <v>190</v>
      </c>
      <c r="S675" s="50">
        <v>0</v>
      </c>
      <c r="T675" s="50">
        <v>25</v>
      </c>
      <c r="U675" s="50" t="s">
        <v>102</v>
      </c>
      <c r="V675" s="50"/>
      <c r="W675" s="50"/>
      <c r="X675" s="50"/>
      <c r="Y675" s="51">
        <f>IF(ISBLANK(O675),"",(IF(O675=UPPER("IB"),0.005,0.01)))</f>
        <v>0.01</v>
      </c>
      <c r="Z675" s="52">
        <f>IF(ISBLANK(O675),"",IF(O675="IB",8.63*200,IF(O675="IR",16*100,IF(O675="YT",20*100,IF(O675="YT-XT",24*200,IF(O675="TED",80*100,IF(O675="XT",29*200)))))))</f>
        <v>1600</v>
      </c>
      <c r="AA675" s="52"/>
      <c r="AB675" s="52"/>
      <c r="AC675" s="52" t="s">
        <v>2151</v>
      </c>
      <c r="AD675" s="231">
        <f>(0.02*45+0.01*45+0.01*100)/190</f>
        <v>1.2368421052631579E-2</v>
      </c>
      <c r="AE675" s="49"/>
      <c r="AF675" s="84"/>
      <c r="AG675" s="49"/>
      <c r="AH675" s="49"/>
      <c r="AI675" s="49"/>
      <c r="AJ675" s="226"/>
      <c r="AK675" s="49"/>
      <c r="AL675" s="113">
        <f>-0.02*Z675</f>
        <v>-32</v>
      </c>
      <c r="AM675" s="113">
        <f t="shared" si="297"/>
        <v>-6080</v>
      </c>
      <c r="AN675" s="218"/>
      <c r="AO675" s="49"/>
      <c r="AP675" s="49"/>
      <c r="AQ675" s="84" t="s">
        <v>155</v>
      </c>
      <c r="AR675" s="49"/>
      <c r="AS675" s="55">
        <f>(0.03*105+0.03*85)/190</f>
        <v>2.9999999999999995E-2</v>
      </c>
      <c r="AT675" s="55">
        <f>IF(ISBLANK(AS675),,IF(U675="S",AD675-AS675,AS675-AD675))</f>
        <v>-1.7631578947368415E-2</v>
      </c>
      <c r="AU675" s="54">
        <f>AV675*R675</f>
        <v>-5359.9999999999982</v>
      </c>
      <c r="AV675" s="56">
        <f t="shared" si="299"/>
        <v>-28.210526315789465</v>
      </c>
      <c r="AW675" s="57" t="s">
        <v>121</v>
      </c>
      <c r="AX675" s="153" t="s">
        <v>2152</v>
      </c>
      <c r="AY675" s="153" t="s">
        <v>2153</v>
      </c>
      <c r="AZ675" s="153" t="s">
        <v>2154</v>
      </c>
      <c r="BA675" s="153"/>
      <c r="BB675" s="153"/>
      <c r="BC675" s="153"/>
      <c r="BD675" s="151"/>
      <c r="BE675" s="152"/>
      <c r="BF675" s="151"/>
      <c r="BG675" s="94">
        <f>SUM($AV$4:AV675)</f>
        <v>3644.6140742930083</v>
      </c>
      <c r="BH675" s="95">
        <f>SUM($AU$4:AU675)</f>
        <v>37593.039220779363</v>
      </c>
      <c r="BI675" s="80">
        <f>SUMIFS($AU$3:AU676,$Q$3:Q676,"F")</f>
        <v>25475.69350649351</v>
      </c>
      <c r="BJ675" s="80">
        <f>SUMIFS($AU$3:AU676,$Q$3:Q676,"S")</f>
        <v>16242.285714285714</v>
      </c>
      <c r="BK675" s="87">
        <f>SUMIFS($AU$3:AU676,$P$3:P676,"W")</f>
        <v>23519.159220779562</v>
      </c>
      <c r="BL675" s="87">
        <f>SUMIFS($AU$3:AU676,$P$3:P676,"R")</f>
        <v>11626.000000000158</v>
      </c>
      <c r="BM675" s="87">
        <f>SUMIFS($AU$3:AU676,$AQ$3:AQ676,"M")</f>
        <v>9567.1799999991417</v>
      </c>
      <c r="BN675" s="87">
        <f>SUMIFS($AU$3:AU676,$AQ$3:AQ676,"H")</f>
        <v>12363.200000000876</v>
      </c>
      <c r="BO675" s="87">
        <f>SUMIFS($AU$3:AU676,$AQ$3:AQ676,"D")</f>
        <v>-1082.6071428572614</v>
      </c>
      <c r="BP675" s="87">
        <f>SUMIFS($AS$3:AS1307,$AO$3:AO1307,"W")</f>
        <v>0</v>
      </c>
      <c r="BQ675" s="87">
        <f>SUMIFS($AU$3:AU676,$Q$3:Q676,"O")</f>
        <v>-5848.9399999998504</v>
      </c>
      <c r="BR675" s="87">
        <f>SUMIFS($AU$3:AU676,$AA$3:AA676,"*")</f>
        <v>29471.122077921998</v>
      </c>
      <c r="BS675" s="87">
        <f>SUMIFS($AU$3:AU676,$AB$3:AB676,"*")</f>
        <v>10383.860000000041</v>
      </c>
      <c r="BT675" s="87">
        <f>SUMIFS($AU$3:AU676,$AC$3:AC676,"*")</f>
        <v>28915.693506493677</v>
      </c>
      <c r="BU675" s="87">
        <f>SUMIFS($AU$3:AU676,$AA$3:AA676,"*",$AB$3:AB676,"*")</f>
        <v>5423.9999999998217</v>
      </c>
      <c r="BV675" s="87">
        <f>SUMIFS($AU$3:AU676,$AA$3:AA676,"*",$AC$3:AC676,"*")</f>
        <v>21913.636363636531</v>
      </c>
      <c r="BW675" s="87">
        <f>SUMIFS($AU$3:AU676,$AB$3:AB676,"*",$AC$3:AC676,"*")</f>
        <v>7119.9999999999982</v>
      </c>
      <c r="BX675" s="87">
        <f>SUMIFS($AV$3:AV676,$Q$3:Q676,"F")</f>
        <v>408.72914667325267</v>
      </c>
      <c r="BY675" s="87">
        <f>SUMIFS($AV$3:AV676,$Q$3:Q676,"S")</f>
        <v>690.32562762001328</v>
      </c>
      <c r="BZ675" s="87">
        <f>SUMIFS($AV$3:AV676,$Q$3:Q676,"O")</f>
        <v>297.55929999973682</v>
      </c>
    </row>
    <row r="676" spans="1:78" ht="15.75" customHeight="1">
      <c r="A676" s="45" t="s">
        <v>1819</v>
      </c>
      <c r="B676" s="59"/>
      <c r="C676" s="46"/>
      <c r="D676" s="46"/>
      <c r="E676" s="66"/>
      <c r="F676" s="47"/>
      <c r="G676" s="48"/>
      <c r="H676" s="49"/>
      <c r="I676" s="49"/>
      <c r="J676" s="49"/>
      <c r="K676" s="50"/>
      <c r="L676" s="49"/>
      <c r="M676" s="49"/>
      <c r="N676" s="49"/>
      <c r="O676" s="50"/>
      <c r="P676" s="50"/>
      <c r="Q676" s="50"/>
      <c r="R676" s="50"/>
      <c r="S676" s="50"/>
      <c r="T676" s="50"/>
      <c r="U676" s="50"/>
      <c r="V676" s="50"/>
      <c r="W676" s="50"/>
      <c r="X676" s="50"/>
      <c r="Y676" s="51"/>
      <c r="Z676" s="52"/>
      <c r="AA676" s="52"/>
      <c r="AB676" s="52"/>
      <c r="AC676" s="52"/>
      <c r="AD676" s="231"/>
      <c r="AE676" s="49"/>
      <c r="AF676" s="84"/>
      <c r="AG676" s="49"/>
      <c r="AH676" s="49"/>
      <c r="AI676" s="49"/>
      <c r="AJ676" s="226"/>
      <c r="AK676" s="49"/>
      <c r="AL676" s="113">
        <f t="shared" si="298"/>
        <v>0</v>
      </c>
      <c r="AM676" s="113">
        <f t="shared" si="297"/>
        <v>0</v>
      </c>
      <c r="AN676" s="218"/>
      <c r="AO676" s="49"/>
      <c r="AP676" s="49"/>
      <c r="AQ676" s="84" t="str">
        <f>UPPER(RIGHT(Journal_Live[[#This Row],[DURATION ]]))</f>
        <v/>
      </c>
      <c r="AR676" s="49"/>
      <c r="AS676" s="55"/>
      <c r="AT676" s="55"/>
      <c r="AU676" s="54"/>
      <c r="AV676" s="56"/>
      <c r="AW676" s="57"/>
      <c r="AX676" s="153" t="s">
        <v>2155</v>
      </c>
      <c r="AY676" s="153" t="s">
        <v>2156</v>
      </c>
      <c r="AZ676" s="153" t="s">
        <v>2157</v>
      </c>
      <c r="BA676" s="153" t="s">
        <v>2158</v>
      </c>
      <c r="BB676" s="153" t="s">
        <v>2159</v>
      </c>
      <c r="BC676" s="153" t="s">
        <v>2160</v>
      </c>
      <c r="BD676" s="151"/>
      <c r="BE676" s="152"/>
      <c r="BF676" s="151"/>
      <c r="BG676" s="94">
        <f>SUM($AV$4:AV676)</f>
        <v>3644.6140742930083</v>
      </c>
      <c r="BH676" s="95">
        <f>SUM($AU$4:AU676)</f>
        <v>37593.039220779363</v>
      </c>
      <c r="BI676" s="80">
        <f>SUMIFS($AU$3:AU677,$Q$3:Q677,"F")</f>
        <v>25475.69350649351</v>
      </c>
      <c r="BJ676" s="80">
        <f>SUMIFS($AU$3:AU677,$Q$3:Q677,"S")</f>
        <v>16242.285714285714</v>
      </c>
      <c r="BK676" s="87">
        <f>SUMIFS($AU$3:AU677,$P$3:P677,"W")</f>
        <v>23519.159220779562</v>
      </c>
      <c r="BL676" s="87">
        <f>SUMIFS($AU$3:AU677,$P$3:P677,"R")</f>
        <v>11626.000000000158</v>
      </c>
      <c r="BM676" s="87">
        <f>SUMIFS($AU$3:AU677,$AQ$3:AQ677,"M")</f>
        <v>9567.1799999991417</v>
      </c>
      <c r="BN676" s="87">
        <f>SUMIFS($AU$3:AU677,$AQ$3:AQ677,"H")</f>
        <v>12363.200000000876</v>
      </c>
      <c r="BO676" s="87">
        <f>SUMIFS($AU$3:AU677,$AQ$3:AQ677,"D")</f>
        <v>-1082.6071428572614</v>
      </c>
      <c r="BP676" s="87">
        <f>SUMIFS($AS$3:AS1308,$AO$3:AO1308,"W")</f>
        <v>0</v>
      </c>
      <c r="BQ676" s="87">
        <f>SUMIFS($AU$3:AU677,$Q$3:Q677,"O")</f>
        <v>-5848.9399999998504</v>
      </c>
      <c r="BR676" s="87">
        <f>SUMIFS($AU$3:AU677,$AA$3:AA677,"*")</f>
        <v>29471.122077921998</v>
      </c>
      <c r="BS676" s="87">
        <f>SUMIFS($AU$3:AU677,$AB$3:AB677,"*")</f>
        <v>10383.860000000041</v>
      </c>
      <c r="BT676" s="87">
        <f>SUMIFS($AU$3:AU677,$AC$3:AC677,"*")</f>
        <v>28915.693506493677</v>
      </c>
      <c r="BU676" s="87">
        <f>SUMIFS($AU$3:AU677,$AA$3:AA677,"*",$AB$3:AB677,"*")</f>
        <v>5423.9999999998217</v>
      </c>
      <c r="BV676" s="87">
        <f>SUMIFS($AU$3:AU677,$AA$3:AA677,"*",$AC$3:AC677,"*")</f>
        <v>21913.636363636531</v>
      </c>
      <c r="BW676" s="87">
        <f>SUMIFS($AU$3:AU677,$AB$3:AB677,"*",$AC$3:AC677,"*")</f>
        <v>7119.9999999999982</v>
      </c>
      <c r="BX676" s="87">
        <f>SUMIFS($AV$3:AV677,$Q$3:Q677,"F")</f>
        <v>408.72914667325267</v>
      </c>
      <c r="BY676" s="87">
        <f>SUMIFS($AV$3:AV677,$Q$3:Q677,"S")</f>
        <v>690.32562762001328</v>
      </c>
      <c r="BZ676" s="87">
        <f>SUMIFS($AV$3:AV677,$Q$3:Q677,"O")</f>
        <v>297.55929999973682</v>
      </c>
    </row>
    <row r="677" spans="1:78" ht="15.75" customHeight="1">
      <c r="A677" s="45" t="s">
        <v>1819</v>
      </c>
      <c r="B677" s="59"/>
      <c r="C677" s="46"/>
      <c r="D677" s="46"/>
      <c r="E677" s="66"/>
      <c r="F677" s="47"/>
      <c r="G677" s="48"/>
      <c r="H677" s="49"/>
      <c r="I677" s="49"/>
      <c r="J677" s="49"/>
      <c r="K677" s="50"/>
      <c r="L677" s="49"/>
      <c r="M677" s="49"/>
      <c r="N677" s="49"/>
      <c r="O677" s="50"/>
      <c r="P677" s="50"/>
      <c r="Q677" s="50"/>
      <c r="R677" s="50"/>
      <c r="S677" s="50"/>
      <c r="T677" s="50"/>
      <c r="U677" s="50"/>
      <c r="V677" s="50"/>
      <c r="W677" s="50"/>
      <c r="X677" s="50"/>
      <c r="Y677" s="51"/>
      <c r="Z677" s="52"/>
      <c r="AA677" s="52"/>
      <c r="AB677" s="52"/>
      <c r="AC677" s="52"/>
      <c r="AD677" s="231"/>
      <c r="AE677" s="49"/>
      <c r="AF677" s="84"/>
      <c r="AG677" s="49"/>
      <c r="AH677" s="49"/>
      <c r="AI677" s="49"/>
      <c r="AJ677" s="226"/>
      <c r="AK677" s="49"/>
      <c r="AL677" s="113">
        <f t="shared" si="298"/>
        <v>0</v>
      </c>
      <c r="AM677" s="113">
        <f t="shared" si="297"/>
        <v>0</v>
      </c>
      <c r="AN677" s="218"/>
      <c r="AO677" s="49"/>
      <c r="AP677" s="49"/>
      <c r="AQ677" s="84" t="str">
        <f>UPPER(RIGHT(Journal_Live[[#This Row],[DURATION ]]))</f>
        <v/>
      </c>
      <c r="AR677" s="49"/>
      <c r="AS677" s="55"/>
      <c r="AT677" s="55"/>
      <c r="AU677" s="54"/>
      <c r="AV677" s="56"/>
      <c r="AW677" s="57"/>
      <c r="AX677" s="177" t="s">
        <v>2161</v>
      </c>
      <c r="AY677" s="153" t="s">
        <v>2162</v>
      </c>
      <c r="AZ677" s="153" t="s">
        <v>2163</v>
      </c>
      <c r="BA677" s="153" t="s">
        <v>2164</v>
      </c>
      <c r="BB677" s="153" t="s">
        <v>2165</v>
      </c>
      <c r="BC677" s="153" t="s">
        <v>2166</v>
      </c>
      <c r="BD677" s="151" t="s">
        <v>2167</v>
      </c>
      <c r="BE677" s="152" t="s">
        <v>2168</v>
      </c>
      <c r="BF677" s="151" t="s">
        <v>2169</v>
      </c>
      <c r="BG677" s="94">
        <f>SUM($AV$4:AV677)</f>
        <v>3644.6140742930083</v>
      </c>
      <c r="BH677" s="95">
        <f>SUM($AU$4:AU677)</f>
        <v>37593.039220779363</v>
      </c>
      <c r="BI677" s="80">
        <f>SUMIFS($AU$3:AU678,$Q$3:Q678,"F")</f>
        <v>25475.69350649351</v>
      </c>
      <c r="BJ677" s="80">
        <f>SUMIFS($AU$3:AU678,$Q$3:Q678,"S")</f>
        <v>17842.285714285714</v>
      </c>
      <c r="BK677" s="87">
        <f>SUMIFS($AU$3:AU678,$P$3:P678,"W")</f>
        <v>23519.159220779562</v>
      </c>
      <c r="BL677" s="87">
        <f>SUMIFS($AU$3:AU678,$P$3:P678,"R")</f>
        <v>13226.00000000016</v>
      </c>
      <c r="BM677" s="87">
        <f>SUMIFS($AU$3:AU678,$AQ$3:AQ678,"M")</f>
        <v>9567.1799999991417</v>
      </c>
      <c r="BN677" s="87">
        <f>SUMIFS($AU$3:AU678,$AQ$3:AQ678,"H")</f>
        <v>12363.200000000876</v>
      </c>
      <c r="BO677" s="87">
        <f>SUMIFS($AU$3:AU678,$AQ$3:AQ678,"D")</f>
        <v>517.39285714274001</v>
      </c>
      <c r="BP677" s="87">
        <f>SUMIFS($AS$3:AS1309,$AO$3:AO1309,"W")</f>
        <v>0</v>
      </c>
      <c r="BQ677" s="87">
        <f>SUMIFS($AU$3:AU678,$Q$3:Q678,"O")</f>
        <v>-5848.9399999998504</v>
      </c>
      <c r="BR677" s="87">
        <f>SUMIFS($AU$3:AU678,$AA$3:AA678,"*")</f>
        <v>29471.122077921998</v>
      </c>
      <c r="BS677" s="87">
        <f>SUMIFS($AU$3:AU678,$AB$3:AB678,"*")</f>
        <v>10383.860000000041</v>
      </c>
      <c r="BT677" s="87">
        <f>SUMIFS($AU$3:AU678,$AC$3:AC678,"*")</f>
        <v>30515.693506493677</v>
      </c>
      <c r="BU677" s="87">
        <f>SUMIFS($AU$3:AU678,$AA$3:AA678,"*",$AB$3:AB678,"*")</f>
        <v>5423.9999999998217</v>
      </c>
      <c r="BV677" s="87">
        <f>SUMIFS($AU$3:AU678,$AA$3:AA678,"*",$AC$3:AC678,"*")</f>
        <v>21913.636363636531</v>
      </c>
      <c r="BW677" s="87">
        <f>SUMIFS($AU$3:AU678,$AB$3:AB678,"*",$AC$3:AC678,"*")</f>
        <v>7119.9999999999982</v>
      </c>
      <c r="BX677" s="87">
        <f>SUMIFS($AV$3:AV678,$Q$3:Q678,"F")</f>
        <v>408.72914667325267</v>
      </c>
      <c r="BY677" s="87">
        <f>SUMIFS($AV$3:AV678,$Q$3:Q678,"S")</f>
        <v>706.32562762001328</v>
      </c>
      <c r="BZ677" s="87">
        <f>SUMIFS($AV$3:AV678,$Q$3:Q678,"O")</f>
        <v>297.55929999973682</v>
      </c>
    </row>
    <row r="678" spans="1:78" ht="15.75" customHeight="1">
      <c r="A678" s="45" t="s">
        <v>1819</v>
      </c>
      <c r="B678" s="59">
        <v>45436</v>
      </c>
      <c r="C678" s="46" t="s">
        <v>2170</v>
      </c>
      <c r="D678" s="46" t="s">
        <v>115</v>
      </c>
      <c r="E678" s="66"/>
      <c r="F678" s="47"/>
      <c r="G678" s="104" t="s">
        <v>2171</v>
      </c>
      <c r="H678" s="49"/>
      <c r="I678" s="49"/>
      <c r="J678" s="49"/>
      <c r="K678" s="50"/>
      <c r="L678" s="49"/>
      <c r="M678" s="49">
        <v>2</v>
      </c>
      <c r="N678" s="49"/>
      <c r="O678" s="50" t="s">
        <v>100</v>
      </c>
      <c r="P678" s="50" t="s">
        <v>126</v>
      </c>
      <c r="Q678" s="50" t="s">
        <v>102</v>
      </c>
      <c r="R678" s="50">
        <v>100</v>
      </c>
      <c r="S678" s="50">
        <v>85</v>
      </c>
      <c r="T678" s="50">
        <v>100</v>
      </c>
      <c r="U678" s="50" t="s">
        <v>102</v>
      </c>
      <c r="V678" s="50"/>
      <c r="W678" s="50"/>
      <c r="X678" s="50"/>
      <c r="Y678" s="51">
        <f>IF(ISBLANK(O678),"",(IF(O678=UPPER("IB"),0.005,0.01)))</f>
        <v>0.01</v>
      </c>
      <c r="Z678" s="52">
        <f>IF(ISBLANK(O678),"",IF(O678="IB",8.63*200,IF(O678="IR",16*100,IF(O678="YT",20*100,IF(O678="YT-XT",24*200,IF(O678="TED",80*100,IF(O678="XT",29*200)))))))</f>
        <v>1600</v>
      </c>
      <c r="AA678" s="52"/>
      <c r="AB678" s="52"/>
      <c r="AC678" s="52" t="s">
        <v>2172</v>
      </c>
      <c r="AD678" s="231">
        <v>-0.09</v>
      </c>
      <c r="AE678" s="49"/>
      <c r="AF678" s="84"/>
      <c r="AG678" s="49"/>
      <c r="AH678" s="49">
        <v>-10</v>
      </c>
      <c r="AI678" s="49"/>
      <c r="AJ678" s="226"/>
      <c r="AK678" s="49"/>
      <c r="AL678" s="113">
        <f>-0.01*Z678</f>
        <v>-16</v>
      </c>
      <c r="AM678" s="113">
        <f t="shared" si="297"/>
        <v>-240</v>
      </c>
      <c r="AN678" s="218"/>
      <c r="AO678" s="49"/>
      <c r="AP678" s="49" t="s">
        <v>1369</v>
      </c>
      <c r="AQ678" s="84" t="s">
        <v>155</v>
      </c>
      <c r="AR678" s="49" t="s">
        <v>2173</v>
      </c>
      <c r="AS678" s="55">
        <f>((-0.1*95)+(-0.1*5))/100</f>
        <v>-0.1</v>
      </c>
      <c r="AT678" s="55">
        <f>IF(ISBLANK(AS678),,IF(U678="S",AD678-AS678,AS678-AD678))</f>
        <v>1.0000000000000009E-2</v>
      </c>
      <c r="AU678" s="54">
        <f>AV678*R678</f>
        <v>1600.0000000000014</v>
      </c>
      <c r="AV678" s="56">
        <f t="shared" si="299"/>
        <v>16.000000000000014</v>
      </c>
      <c r="AW678" s="57" t="s">
        <v>101</v>
      </c>
      <c r="AX678" s="153"/>
      <c r="AY678" s="153"/>
      <c r="AZ678" s="153"/>
      <c r="BA678" s="153"/>
      <c r="BB678" s="153"/>
      <c r="BC678" s="153"/>
      <c r="BD678" s="151"/>
      <c r="BE678" s="152"/>
      <c r="BF678" s="151"/>
      <c r="BG678" s="94">
        <f>SUM($AV$4:AV678)</f>
        <v>3660.6140742930083</v>
      </c>
      <c r="BH678" s="95">
        <f>SUM($AU$4:AU678)</f>
        <v>39193.039220779363</v>
      </c>
      <c r="BI678" s="80">
        <f>SUMIFS($AU$3:AU710,$Q$3:Q710,"F")</f>
        <v>29133.293506493508</v>
      </c>
      <c r="BJ678" s="80">
        <f>SUMIFS($AU$3:AU710,$Q$3:Q710,"S")</f>
        <v>17842.285714285714</v>
      </c>
      <c r="BK678" s="87">
        <f>SUMIFS($AU$3:AU710,$P$3:P710,"W")</f>
        <v>25576.759220779561</v>
      </c>
      <c r="BL678" s="87">
        <f>SUMIFS($AU$3:AU710,$P$3:P710,"R")</f>
        <v>14826.00000000016</v>
      </c>
      <c r="BM678" s="87">
        <f>SUMIFS($AU$3:AU710,$AQ$3:AQ710,"M")</f>
        <v>9567.1799999991417</v>
      </c>
      <c r="BN678" s="87">
        <f>SUMIFS($AU$3:AU710,$AQ$3:AQ710,"H")</f>
        <v>12363.200000000876</v>
      </c>
      <c r="BO678" s="87">
        <f>SUMIFS($AU$3:AU710,$AQ$3:AQ710,"D")</f>
        <v>4174.9928571427417</v>
      </c>
      <c r="BP678" s="87">
        <f>SUMIFS($AS$3:AS1310,$AO$3:AO1310,"W")</f>
        <v>0</v>
      </c>
      <c r="BQ678" s="87">
        <f>SUMIFS($AU$3:AU710,$Q$3:Q710,"O")</f>
        <v>-5848.9399999998504</v>
      </c>
      <c r="BR678" s="87">
        <f>SUMIFS($AU$3:AU710,$AA$3:AA710,"*")</f>
        <v>33311.122077922002</v>
      </c>
      <c r="BS678" s="87">
        <f>SUMIFS($AU$3:AU710,$AB$3:AB710,"*")</f>
        <v>12623.860000000042</v>
      </c>
      <c r="BT678" s="87">
        <f>SUMIFS($AU$3:AU710,$AC$3:AC710,"*")</f>
        <v>34173.293506493676</v>
      </c>
      <c r="BU678" s="87">
        <f>SUMIFS($AU$3:AU710,$AA$3:AA710,"*",$AB$3:AB710,"*")</f>
        <v>7663.9999999998236</v>
      </c>
      <c r="BV678" s="87">
        <f>SUMIFS($AU$3:AU710,$AA$3:AA710,"*",$AC$3:AC710,"*")</f>
        <v>25753.636363636531</v>
      </c>
      <c r="BW678" s="87">
        <f>SUMIFS($AU$3:AU710,$AB$3:AB710,"*",$AC$3:AC710,"*")</f>
        <v>9360</v>
      </c>
      <c r="BX678" s="87">
        <f>SUMIFS($AV$3:AV710,$Q$3:Q710,"F")</f>
        <v>416.72914667325267</v>
      </c>
      <c r="BY678" s="87">
        <f>SUMIFS($AV$3:AV710,$Q$3:Q710,"S")</f>
        <v>706.32562762001328</v>
      </c>
      <c r="BZ678" s="87">
        <f>SUMIFS($AV$3:AV710,$Q$3:Q710,"O")</f>
        <v>297.55929999973682</v>
      </c>
    </row>
    <row r="679" spans="1:78" ht="15.75" customHeight="1">
      <c r="A679" s="45" t="s">
        <v>1819</v>
      </c>
      <c r="B679" s="59">
        <v>45436</v>
      </c>
      <c r="C679" s="46"/>
      <c r="D679" s="46" t="s">
        <v>115</v>
      </c>
      <c r="E679" s="66"/>
      <c r="F679" s="47"/>
      <c r="G679" s="114" t="s">
        <v>527</v>
      </c>
      <c r="H679" s="49"/>
      <c r="I679" s="49"/>
      <c r="J679" s="49"/>
      <c r="K679" s="50"/>
      <c r="L679" s="49"/>
      <c r="M679" s="49">
        <v>2</v>
      </c>
      <c r="N679" s="49"/>
      <c r="O679" s="50" t="s">
        <v>100</v>
      </c>
      <c r="P679" s="50" t="s">
        <v>101</v>
      </c>
      <c r="Q679" s="50" t="s">
        <v>127</v>
      </c>
      <c r="R679" s="50">
        <v>20</v>
      </c>
      <c r="S679" s="50">
        <v>20</v>
      </c>
      <c r="T679" s="50">
        <v>20</v>
      </c>
      <c r="U679" s="50" t="s">
        <v>102</v>
      </c>
      <c r="V679" s="50"/>
      <c r="W679" s="50"/>
      <c r="X679" s="50"/>
      <c r="Y679" s="51">
        <f>IF(ISBLANK(O679),"",(IF(O679=UPPER("IB"),0.005,0.01)))</f>
        <v>0.01</v>
      </c>
      <c r="Z679" s="52">
        <f>IF(ISBLANK(O679),"",IF(O679="IB",8.63*200,IF(O679="IR",16*100,IF(O679="YT",20*100,IF(O679="YT-XT",24*200,IF(O679="TED",80*100,IF(O679="XT",29*200)))))))</f>
        <v>1600</v>
      </c>
      <c r="AA679" s="52"/>
      <c r="AB679" s="52"/>
      <c r="AC679" s="52" t="s">
        <v>2174</v>
      </c>
      <c r="AD679" s="231">
        <v>5.33E-2</v>
      </c>
      <c r="AE679" s="49"/>
      <c r="AF679" s="84"/>
      <c r="AG679" s="49"/>
      <c r="AH679" s="49"/>
      <c r="AI679" s="49"/>
      <c r="AJ679" s="226"/>
      <c r="AK679" s="49"/>
      <c r="AL679" s="113">
        <f t="shared" si="298"/>
        <v>-32</v>
      </c>
      <c r="AM679" s="113">
        <f t="shared" si="297"/>
        <v>0</v>
      </c>
      <c r="AN679" s="218"/>
      <c r="AO679" s="49"/>
      <c r="AP679" s="49"/>
      <c r="AQ679" s="84" t="s">
        <v>155</v>
      </c>
      <c r="AR679" s="49"/>
      <c r="AS679" s="55">
        <v>0.08</v>
      </c>
      <c r="AT679" s="55">
        <f>IF(ISBLANK(AS679),,IF(U679="S",AD679-AS679,AS679-AD679))</f>
        <v>-2.6700000000000002E-2</v>
      </c>
      <c r="AU679" s="54">
        <f>AV679*R679</f>
        <v>-854.4</v>
      </c>
      <c r="AV679" s="56">
        <f t="shared" si="299"/>
        <v>-42.72</v>
      </c>
      <c r="AW679" s="57" t="s">
        <v>121</v>
      </c>
      <c r="AX679" s="153"/>
      <c r="AY679" s="153"/>
      <c r="AZ679" s="153"/>
      <c r="BA679" s="153"/>
      <c r="BB679" s="153"/>
      <c r="BC679" s="153"/>
      <c r="BD679" s="151"/>
      <c r="BE679" s="152"/>
      <c r="BF679" s="151"/>
      <c r="BG679" s="94">
        <f>SUM($AV$4:AV679)</f>
        <v>3617.8940742930085</v>
      </c>
      <c r="BH679" s="95">
        <f>SUM($AU$4:AU679)</f>
        <v>38338.639220779361</v>
      </c>
      <c r="BI679" s="80">
        <f>SUMIFS($AU$3:AU680,$Q$3:Q680,"F")</f>
        <v>24621.293506493508</v>
      </c>
      <c r="BJ679" s="80">
        <f>SUMIFS($AU$3:AU680,$Q$3:Q680,"S")</f>
        <v>17842.285714285714</v>
      </c>
      <c r="BK679" s="87">
        <f>SUMIFS($AU$3:AU680,$P$3:P680,"W")</f>
        <v>22664.759220779561</v>
      </c>
      <c r="BL679" s="87">
        <f>SUMIFS($AU$3:AU680,$P$3:P680,"R")</f>
        <v>13226.00000000016</v>
      </c>
      <c r="BM679" s="87">
        <f>SUMIFS($AU$3:AU680,$AQ$3:AQ680,"M")</f>
        <v>9567.1799999991417</v>
      </c>
      <c r="BN679" s="87">
        <f>SUMIFS($AU$3:AU680,$AQ$3:AQ680,"H")</f>
        <v>12363.200000000876</v>
      </c>
      <c r="BO679" s="87">
        <f>SUMIFS($AU$3:AU680,$AQ$3:AQ680,"D")</f>
        <v>-337.00714285725996</v>
      </c>
      <c r="BP679" s="87">
        <f>SUMIFS($AS$3:AS1307,$AO$3:AO1307,"W")</f>
        <v>0</v>
      </c>
      <c r="BQ679" s="87">
        <f>SUMIFS($AU$3:AU680,$Q$3:Q680,"O")</f>
        <v>-5848.9399999998504</v>
      </c>
      <c r="BR679" s="87">
        <f>SUMIFS($AU$3:AU680,$AA$3:AA680,"*")</f>
        <v>29471.122077921998</v>
      </c>
      <c r="BS679" s="87">
        <f>SUMIFS($AU$3:AU680,$AB$3:AB680,"*")</f>
        <v>10383.860000000041</v>
      </c>
      <c r="BT679" s="87">
        <f>SUMIFS($AU$3:AU680,$AC$3:AC680,"*")</f>
        <v>29661.293506493676</v>
      </c>
      <c r="BU679" s="87">
        <f>SUMIFS($AU$3:AU680,$AA$3:AA680,"*",$AB$3:AB680,"*")</f>
        <v>5423.9999999998217</v>
      </c>
      <c r="BV679" s="87">
        <f>SUMIFS($AU$3:AU680,$AA$3:AA680,"*",$AC$3:AC680,"*")</f>
        <v>21913.636363636531</v>
      </c>
      <c r="BW679" s="87">
        <f>SUMIFS($AU$3:AU680,$AB$3:AB680,"*",$AC$3:AC680,"*")</f>
        <v>7119.9999999999982</v>
      </c>
      <c r="BX679" s="87">
        <f>SUMIFS($AV$3:AV680,$Q$3:Q680,"F")</f>
        <v>366.00914667325264</v>
      </c>
      <c r="BY679" s="87">
        <f>SUMIFS($AV$3:AV680,$Q$3:Q680,"S")</f>
        <v>706.32562762001328</v>
      </c>
      <c r="BZ679" s="87">
        <f>SUMIFS($AV$3:AV680,$Q$3:Q680,"O")</f>
        <v>297.55929999973682</v>
      </c>
    </row>
    <row r="680" spans="1:78" ht="15.75" customHeight="1">
      <c r="A680" s="45" t="s">
        <v>1819</v>
      </c>
      <c r="B680" s="59">
        <v>45436</v>
      </c>
      <c r="C680" s="46"/>
      <c r="D680" s="46" t="s">
        <v>115</v>
      </c>
      <c r="E680" s="66"/>
      <c r="F680" s="47"/>
      <c r="G680" s="48" t="s">
        <v>2175</v>
      </c>
      <c r="H680" s="49"/>
      <c r="I680" s="49"/>
      <c r="J680" s="49"/>
      <c r="K680" s="50"/>
      <c r="L680" s="49"/>
      <c r="M680" s="49"/>
      <c r="N680" s="49"/>
      <c r="O680" s="50"/>
      <c r="P680" s="50"/>
      <c r="Q680" s="50"/>
      <c r="R680" s="50"/>
      <c r="S680" s="50"/>
      <c r="T680" s="50"/>
      <c r="U680" s="50"/>
      <c r="V680" s="50"/>
      <c r="W680" s="50"/>
      <c r="X680" s="50"/>
      <c r="Y680" s="51"/>
      <c r="Z680" s="52"/>
      <c r="AA680" s="52"/>
      <c r="AB680" s="52"/>
      <c r="AC680" s="52"/>
      <c r="AD680" s="231"/>
      <c r="AE680" s="49"/>
      <c r="AF680" s="84"/>
      <c r="AG680" s="49"/>
      <c r="AH680" s="49"/>
      <c r="AI680" s="49"/>
      <c r="AJ680" s="226" t="s">
        <v>2176</v>
      </c>
      <c r="AK680" s="49"/>
      <c r="AL680" s="113">
        <f t="shared" si="298"/>
        <v>0</v>
      </c>
      <c r="AM680" s="113">
        <f t="shared" si="297"/>
        <v>0</v>
      </c>
      <c r="AN680" s="218"/>
      <c r="AO680" s="49"/>
      <c r="AP680" s="49"/>
      <c r="AQ680" s="84" t="str">
        <f>UPPER(RIGHT(Journal_Live[[#This Row],[DURATION ]]))</f>
        <v/>
      </c>
      <c r="AR680" s="49"/>
      <c r="AS680" s="55"/>
      <c r="AT680" s="55"/>
      <c r="AU680" s="54"/>
      <c r="AV680" s="56"/>
      <c r="AW680" s="57"/>
      <c r="AX680" s="153" t="s">
        <v>2177</v>
      </c>
      <c r="AY680" s="153"/>
      <c r="AZ680" s="153"/>
      <c r="BA680" s="153"/>
      <c r="BB680" s="153"/>
      <c r="BC680" s="153"/>
      <c r="BD680" s="151"/>
      <c r="BE680" s="152"/>
      <c r="BF680" s="151"/>
      <c r="BG680" s="94">
        <f>SUM($AV$4:AV680)</f>
        <v>3617.8940742930085</v>
      </c>
      <c r="BH680" s="95">
        <f>SUM($AU$4:AU680)</f>
        <v>38338.639220779361</v>
      </c>
      <c r="BI680" s="80">
        <f>SUMIFS($AU$3:AU681,$Q$3:Q681,"F")</f>
        <v>24621.293506493508</v>
      </c>
      <c r="BJ680" s="80">
        <f>SUMIFS($AU$3:AU681,$Q$3:Q681,"S")</f>
        <v>17842.285714285714</v>
      </c>
      <c r="BK680" s="87">
        <f>SUMIFS($AU$3:AU681,$P$3:P681,"W")</f>
        <v>22664.759220779561</v>
      </c>
      <c r="BL680" s="87">
        <f>SUMIFS($AU$3:AU681,$P$3:P681,"R")</f>
        <v>13226.00000000016</v>
      </c>
      <c r="BM680" s="87">
        <f>SUMIFS($AU$3:AU681,$AQ$3:AQ681,"M")</f>
        <v>9567.1799999991417</v>
      </c>
      <c r="BN680" s="87">
        <f>SUMIFS($AU$3:AU681,$AQ$3:AQ681,"H")</f>
        <v>12363.200000000876</v>
      </c>
      <c r="BO680" s="87">
        <f>SUMIFS($AU$3:AU681,$AQ$3:AQ681,"D")</f>
        <v>-337.00714285725996</v>
      </c>
      <c r="BP680" s="87">
        <f>SUMIFS($AS$3:AS1308,$AO$3:AO1308,"W")</f>
        <v>0</v>
      </c>
      <c r="BQ680" s="87">
        <f>SUMIFS($AU$3:AU681,$Q$3:Q681,"O")</f>
        <v>-5848.9399999998504</v>
      </c>
      <c r="BR680" s="87">
        <f>SUMIFS($AU$3:AU681,$AA$3:AA681,"*")</f>
        <v>29471.122077921998</v>
      </c>
      <c r="BS680" s="87">
        <f>SUMIFS($AU$3:AU681,$AB$3:AB681,"*")</f>
        <v>10383.860000000041</v>
      </c>
      <c r="BT680" s="87">
        <f>SUMIFS($AU$3:AU681,$AC$3:AC681,"*")</f>
        <v>29661.293506493676</v>
      </c>
      <c r="BU680" s="87">
        <f>SUMIFS($AU$3:AU681,$AA$3:AA681,"*",$AB$3:AB681,"*")</f>
        <v>5423.9999999998217</v>
      </c>
      <c r="BV680" s="87">
        <f>SUMIFS($AU$3:AU681,$AA$3:AA681,"*",$AC$3:AC681,"*")</f>
        <v>21913.636363636531</v>
      </c>
      <c r="BW680" s="87">
        <f>SUMIFS($AU$3:AU681,$AB$3:AB681,"*",$AC$3:AC681,"*")</f>
        <v>7119.9999999999982</v>
      </c>
      <c r="BX680" s="87">
        <f>SUMIFS($AV$3:AV681,$Q$3:Q681,"F")</f>
        <v>366.00914667325264</v>
      </c>
      <c r="BY680" s="87">
        <f>SUMIFS($AV$3:AV681,$Q$3:Q681,"S")</f>
        <v>706.32562762001328</v>
      </c>
      <c r="BZ680" s="87">
        <f>SUMIFS($AV$3:AV681,$Q$3:Q681,"O")</f>
        <v>297.55929999973682</v>
      </c>
    </row>
    <row r="681" spans="1:78" ht="15.75" customHeight="1">
      <c r="A681" s="45" t="s">
        <v>1819</v>
      </c>
      <c r="B681" s="59">
        <v>45436</v>
      </c>
      <c r="C681" s="46"/>
      <c r="D681" s="46" t="s">
        <v>115</v>
      </c>
      <c r="E681" s="66"/>
      <c r="F681" s="47"/>
      <c r="G681" s="104" t="s">
        <v>276</v>
      </c>
      <c r="H681" s="49"/>
      <c r="I681" s="49"/>
      <c r="J681" s="49"/>
      <c r="K681" s="50"/>
      <c r="L681" s="49"/>
      <c r="M681" s="49">
        <v>2</v>
      </c>
      <c r="N681" s="49"/>
      <c r="O681" s="50" t="s">
        <v>100</v>
      </c>
      <c r="P681" s="50" t="s">
        <v>101</v>
      </c>
      <c r="Q681" s="50" t="s">
        <v>102</v>
      </c>
      <c r="R681" s="50">
        <v>85</v>
      </c>
      <c r="S681" s="50">
        <v>20</v>
      </c>
      <c r="T681" s="50">
        <v>85</v>
      </c>
      <c r="U681" s="50" t="s">
        <v>22</v>
      </c>
      <c r="V681" s="50"/>
      <c r="W681" s="50"/>
      <c r="X681" s="50"/>
      <c r="Y681" s="51">
        <f>IF(ISBLANK(O681),"",(IF(O681=UPPER("IB"),0.005,0.01)))</f>
        <v>0.01</v>
      </c>
      <c r="Z681" s="52">
        <f>IF(ISBLANK(O681),"",IF(O681="IB",8.63*200,IF(O681="IR",16*100,IF(O681="YT",20*100,IF(O681="YT-XT",24*200,IF(O681="TED",80*100,IF(O681="XT",29*200)))))))</f>
        <v>1600</v>
      </c>
      <c r="AA681" s="52" t="s">
        <v>1251</v>
      </c>
      <c r="AB681" s="52" t="s">
        <v>2178</v>
      </c>
      <c r="AC681" s="52"/>
      <c r="AD681" s="231">
        <v>-0.1</v>
      </c>
      <c r="AE681" s="49"/>
      <c r="AF681" s="84">
        <v>-11</v>
      </c>
      <c r="AG681" s="49" t="s">
        <v>2179</v>
      </c>
      <c r="AH681" s="49">
        <v>-9</v>
      </c>
      <c r="AI681" s="49"/>
      <c r="AJ681" s="226"/>
      <c r="AK681" s="49"/>
      <c r="AL681" s="113">
        <f>-0.01*Z681</f>
        <v>-16</v>
      </c>
      <c r="AM681" s="113">
        <f t="shared" si="297"/>
        <v>-1040</v>
      </c>
      <c r="AN681" s="218"/>
      <c r="AO681" s="49"/>
      <c r="AP681" s="49"/>
      <c r="AQ681" s="84" t="s">
        <v>155</v>
      </c>
      <c r="AR681" s="49" t="s">
        <v>2180</v>
      </c>
      <c r="AS681" s="55">
        <v>-0.1</v>
      </c>
      <c r="AT681" s="55">
        <f>IF(ISBLANK(AS681),,IF(U681="S",AD681-AS681,AS681-AD681))</f>
        <v>0</v>
      </c>
      <c r="AU681" s="54">
        <f>AV681*R681</f>
        <v>0</v>
      </c>
      <c r="AV681" s="56">
        <f t="shared" si="299"/>
        <v>0</v>
      </c>
      <c r="AW681" s="57" t="s">
        <v>155</v>
      </c>
      <c r="AX681" s="153" t="s">
        <v>2031</v>
      </c>
      <c r="AY681" s="153" t="s">
        <v>2181</v>
      </c>
      <c r="AZ681" s="153" t="s">
        <v>1709</v>
      </c>
      <c r="BA681" s="153" t="s">
        <v>2182</v>
      </c>
      <c r="BB681" s="153"/>
      <c r="BC681" s="153"/>
      <c r="BD681" s="151"/>
      <c r="BE681" s="152"/>
      <c r="BF681" s="151"/>
      <c r="BG681" s="94">
        <f>SUM($AV$4:AV681)</f>
        <v>3617.8940742930085</v>
      </c>
      <c r="BH681" s="95">
        <f>SUM($AU$4:AU681)</f>
        <v>38338.639220779361</v>
      </c>
      <c r="BI681" s="80">
        <f>SUMIFS($AU$3:AU682,$Q$3:Q682,"F")</f>
        <v>25293.293506493508</v>
      </c>
      <c r="BJ681" s="80">
        <f>SUMIFS($AU$3:AU682,$Q$3:Q682,"S")</f>
        <v>17842.285714285714</v>
      </c>
      <c r="BK681" s="87">
        <f>SUMIFS($AU$3:AU682,$P$3:P682,"W")</f>
        <v>23336.759220779561</v>
      </c>
      <c r="BL681" s="87">
        <f>SUMIFS($AU$3:AU682,$P$3:P682,"R")</f>
        <v>13226.00000000016</v>
      </c>
      <c r="BM681" s="87">
        <f>SUMIFS($AU$3:AU682,$AQ$3:AQ682,"M")</f>
        <v>9567.1799999991417</v>
      </c>
      <c r="BN681" s="87">
        <f>SUMIFS($AU$3:AU682,$AQ$3:AQ682,"H")</f>
        <v>12363.200000000876</v>
      </c>
      <c r="BO681" s="87">
        <f>SUMIFS($AU$3:AU682,$AQ$3:AQ682,"D")</f>
        <v>334.99285714273992</v>
      </c>
      <c r="BP681" s="87">
        <f>SUMIFS($AS$3:AS1309,$AO$3:AO1309,"W")</f>
        <v>0</v>
      </c>
      <c r="BQ681" s="87">
        <f>SUMIFS($AU$3:AU682,$Q$3:Q682,"O")</f>
        <v>-5848.9399999998504</v>
      </c>
      <c r="BR681" s="87">
        <f>SUMIFS($AU$3:AU682,$AA$3:AA682,"*")</f>
        <v>29471.122077921998</v>
      </c>
      <c r="BS681" s="87">
        <f>SUMIFS($AU$3:AU682,$AB$3:AB682,"*")</f>
        <v>10383.860000000041</v>
      </c>
      <c r="BT681" s="87">
        <f>SUMIFS($AU$3:AU682,$AC$3:AC682,"*")</f>
        <v>30333.293506493676</v>
      </c>
      <c r="BU681" s="87">
        <f>SUMIFS($AU$3:AU682,$AA$3:AA682,"*",$AB$3:AB682,"*")</f>
        <v>5423.9999999998217</v>
      </c>
      <c r="BV681" s="87">
        <f>SUMIFS($AU$3:AU682,$AA$3:AA682,"*",$AC$3:AC682,"*")</f>
        <v>21913.636363636531</v>
      </c>
      <c r="BW681" s="87">
        <f>SUMIFS($AU$3:AU682,$AB$3:AB682,"*",$AC$3:AC682,"*")</f>
        <v>7119.9999999999982</v>
      </c>
      <c r="BX681" s="87">
        <f>SUMIFS($AV$3:AV682,$Q$3:Q682,"F")</f>
        <v>382.80914667325266</v>
      </c>
      <c r="BY681" s="87">
        <f>SUMIFS($AV$3:AV682,$Q$3:Q682,"S")</f>
        <v>706.32562762001328</v>
      </c>
      <c r="BZ681" s="87">
        <f>SUMIFS($AV$3:AV682,$Q$3:Q682,"O")</f>
        <v>297.55929999973682</v>
      </c>
    </row>
    <row r="682" spans="1:78" ht="15.75" customHeight="1">
      <c r="A682" s="45" t="s">
        <v>1819</v>
      </c>
      <c r="B682" s="59">
        <v>45436</v>
      </c>
      <c r="C682" s="46"/>
      <c r="D682" s="46" t="s">
        <v>115</v>
      </c>
      <c r="E682" s="66"/>
      <c r="F682" s="47"/>
      <c r="G682" s="155" t="s">
        <v>804</v>
      </c>
      <c r="H682" s="49"/>
      <c r="I682" s="49"/>
      <c r="J682" s="49"/>
      <c r="K682" s="50"/>
      <c r="L682" s="49">
        <v>1</v>
      </c>
      <c r="M682" s="49">
        <v>1</v>
      </c>
      <c r="N682" s="49"/>
      <c r="O682" s="50" t="s">
        <v>100</v>
      </c>
      <c r="P682" s="50" t="s">
        <v>101</v>
      </c>
      <c r="Q682" s="50" t="s">
        <v>127</v>
      </c>
      <c r="R682" s="50">
        <v>40</v>
      </c>
      <c r="S682" s="50">
        <v>10</v>
      </c>
      <c r="T682" s="50">
        <v>40</v>
      </c>
      <c r="U682" s="50" t="s">
        <v>22</v>
      </c>
      <c r="V682" s="50"/>
      <c r="W682" s="50"/>
      <c r="X682" s="50"/>
      <c r="Y682" s="51">
        <f>IF(ISBLANK(O682),"",(IF(O682=UPPER("IB"),0.005,0.01)))</f>
        <v>0.01</v>
      </c>
      <c r="Z682" s="52">
        <f>IF(ISBLANK(O682),"",IF(O682="IB",8.63*200,IF(O682="IR",16*100,IF(O682="YT",20*100,IF(O682="YT-XT",24*200,IF(O682="TED",80*100))))))</f>
        <v>1600</v>
      </c>
      <c r="AA682" s="52"/>
      <c r="AB682" s="52"/>
      <c r="AC682" s="52" t="s">
        <v>2120</v>
      </c>
      <c r="AD682" s="231">
        <v>-1.2999999999999999E-2</v>
      </c>
      <c r="AE682" s="49"/>
      <c r="AF682" s="84"/>
      <c r="AG682" s="49"/>
      <c r="AH682" s="96" t="s">
        <v>2183</v>
      </c>
      <c r="AI682" s="49"/>
      <c r="AJ682" s="226" t="s">
        <v>2184</v>
      </c>
      <c r="AK682" s="49"/>
      <c r="AL682" s="113">
        <f>-0.03*Z682</f>
        <v>-48</v>
      </c>
      <c r="AM682" s="113">
        <f t="shared" si="297"/>
        <v>-1440</v>
      </c>
      <c r="AN682" s="218" t="s">
        <v>2185</v>
      </c>
      <c r="AO682" s="49"/>
      <c r="AP682" s="49"/>
      <c r="AQ682" s="84" t="s">
        <v>155</v>
      </c>
      <c r="AR682" s="49" t="s">
        <v>2186</v>
      </c>
      <c r="AS682" s="55">
        <f>((-0.01*10)+(0*30))/40</f>
        <v>-2.5000000000000001E-3</v>
      </c>
      <c r="AT682" s="55">
        <f>IF(ISBLANK(AS682),,IF(U682="S",AD682-AS682,AS682-AD682))</f>
        <v>1.0499999999999999E-2</v>
      </c>
      <c r="AU682" s="54">
        <f>AV682*R682</f>
        <v>671.99999999999989</v>
      </c>
      <c r="AV682" s="56">
        <f t="shared" si="299"/>
        <v>16.799999999999997</v>
      </c>
      <c r="AW682" s="57" t="s">
        <v>101</v>
      </c>
      <c r="AX682" s="153" t="s">
        <v>2187</v>
      </c>
      <c r="AY682" s="153" t="s">
        <v>2188</v>
      </c>
      <c r="AZ682" s="153" t="s">
        <v>2189</v>
      </c>
      <c r="BA682" s="153" t="s">
        <v>2190</v>
      </c>
      <c r="BB682" s="153" t="s">
        <v>2191</v>
      </c>
      <c r="BC682" s="153" t="s">
        <v>2192</v>
      </c>
      <c r="BD682" s="151"/>
      <c r="BE682" s="152"/>
      <c r="BF682" s="151"/>
      <c r="BG682" s="94">
        <f>SUM($AV$4:AV682)</f>
        <v>3634.6940742930087</v>
      </c>
      <c r="BH682" s="95">
        <f>SUM($AU$4:AU682)</f>
        <v>39010.639220779361</v>
      </c>
      <c r="BI682" s="80">
        <f>SUMIFS($AU$3:AU710,$Q$3:Q710,"F")</f>
        <v>29133.293506493508</v>
      </c>
      <c r="BJ682" s="80">
        <f>SUMIFS($AU$3:AU710,$Q$3:Q710,"S")</f>
        <v>17842.285714285714</v>
      </c>
      <c r="BK682" s="87">
        <f>SUMIFS($AU$3:AU710,$P$3:P710,"W")</f>
        <v>25576.759220779561</v>
      </c>
      <c r="BL682" s="87">
        <f>SUMIFS($AU$3:AU710,$P$3:P710,"R")</f>
        <v>14826.00000000016</v>
      </c>
      <c r="BM682" s="87">
        <f>SUMIFS($AU$3:AU710,$AQ$3:AQ710,"M")</f>
        <v>9567.1799999991417</v>
      </c>
      <c r="BN682" s="87">
        <f>SUMIFS($AU$3:AU710,$AQ$3:AQ710,"H")</f>
        <v>12363.200000000876</v>
      </c>
      <c r="BO682" s="87">
        <f>SUMIFS($AU$3:AU710,$AQ$3:AQ710,"D")</f>
        <v>4174.9928571427417</v>
      </c>
      <c r="BP682" s="87">
        <f>SUMIFS($AS$3:AS1310,$AO$3:AO1310,"W")</f>
        <v>0</v>
      </c>
      <c r="BQ682" s="87">
        <f>SUMIFS($AU$3:AU710,$Q$3:Q710,"O")</f>
        <v>-5848.9399999998504</v>
      </c>
      <c r="BR682" s="87">
        <f>SUMIFS($AU$3:AU710,$AA$3:AA710,"*")</f>
        <v>33311.122077922002</v>
      </c>
      <c r="BS682" s="87">
        <f>SUMIFS($AU$3:AU710,$AB$3:AB710,"*")</f>
        <v>12623.860000000042</v>
      </c>
      <c r="BT682" s="87">
        <f>SUMIFS($AU$3:AU710,$AC$3:AC710,"*")</f>
        <v>34173.293506493676</v>
      </c>
      <c r="BU682" s="87">
        <f>SUMIFS($AU$3:AU710,$AA$3:AA710,"*",$AB$3:AB710,"*")</f>
        <v>7663.9999999998236</v>
      </c>
      <c r="BV682" s="87">
        <f>SUMIFS($AU$3:AU710,$AA$3:AA710,"*",$AC$3:AC710,"*")</f>
        <v>25753.636363636531</v>
      </c>
      <c r="BW682" s="87">
        <f>SUMIFS($AU$3:AU710,$AB$3:AB710,"*",$AC$3:AC710,"*")</f>
        <v>9360</v>
      </c>
      <c r="BX682" s="87">
        <f>SUMIFS($AV$3:AV710,$Q$3:Q710,"F")</f>
        <v>416.72914667325267</v>
      </c>
      <c r="BY682" s="87">
        <f>SUMIFS($AV$3:AV710,$Q$3:Q710,"S")</f>
        <v>706.32562762001328</v>
      </c>
      <c r="BZ682" s="87">
        <f>SUMIFS($AV$3:AV710,$Q$3:Q710,"O")</f>
        <v>297.55929999973682</v>
      </c>
    </row>
    <row r="683" spans="1:78" ht="15.75" customHeight="1">
      <c r="A683" s="45" t="s">
        <v>1819</v>
      </c>
      <c r="B683" s="59">
        <v>45436</v>
      </c>
      <c r="C683" s="46"/>
      <c r="D683" s="46" t="s">
        <v>115</v>
      </c>
      <c r="E683" s="66"/>
      <c r="F683" s="47"/>
      <c r="G683" s="48" t="s">
        <v>227</v>
      </c>
      <c r="H683" s="49"/>
      <c r="I683" s="49"/>
      <c r="J683" s="49"/>
      <c r="K683" s="50"/>
      <c r="L683" s="49"/>
      <c r="M683" s="49"/>
      <c r="N683" s="49"/>
      <c r="O683" s="50"/>
      <c r="P683" s="50"/>
      <c r="Q683" s="50"/>
      <c r="R683" s="50"/>
      <c r="S683" s="50"/>
      <c r="T683" s="50"/>
      <c r="U683" s="50"/>
      <c r="V683" s="50"/>
      <c r="W683" s="50"/>
      <c r="X683" s="50"/>
      <c r="Y683" s="51"/>
      <c r="Z683" s="52"/>
      <c r="AA683" s="52"/>
      <c r="AB683" s="52"/>
      <c r="AC683" s="52"/>
      <c r="AD683" s="231"/>
      <c r="AE683" s="49"/>
      <c r="AF683" s="84"/>
      <c r="AG683" s="49"/>
      <c r="AH683" s="49">
        <v>-2</v>
      </c>
      <c r="AI683" s="49"/>
      <c r="AJ683" s="226" t="s">
        <v>2193</v>
      </c>
      <c r="AK683" s="49"/>
      <c r="AL683" s="113">
        <f t="shared" ref="AL683:AL689" si="300">-0.02*Z683</f>
        <v>0</v>
      </c>
      <c r="AM683" s="113">
        <f t="shared" si="297"/>
        <v>0</v>
      </c>
      <c r="AN683" s="218"/>
      <c r="AO683" s="49"/>
      <c r="AP683" s="49"/>
      <c r="AQ683" s="84" t="str">
        <f>UPPER(RIGHT(Journal_Live[[#This Row],[DURATION ]]))</f>
        <v/>
      </c>
      <c r="AR683" s="49"/>
      <c r="AS683" s="55"/>
      <c r="AT683" s="55"/>
      <c r="AU683" s="54"/>
      <c r="AV683" s="56"/>
      <c r="AW683" s="57"/>
      <c r="AX683" s="153" t="s">
        <v>2194</v>
      </c>
      <c r="AY683" s="153"/>
      <c r="AZ683" s="153"/>
      <c r="BA683" s="153"/>
      <c r="BB683" s="153"/>
      <c r="BC683" s="153"/>
      <c r="BD683" s="151"/>
      <c r="BE683" s="152"/>
      <c r="BF683" s="151"/>
      <c r="BG683" s="94">
        <f>SUM($AV$4:AV683)</f>
        <v>3634.6940742930087</v>
      </c>
      <c r="BH683" s="95">
        <f>SUM($AU$4:AU683)</f>
        <v>39010.639220779361</v>
      </c>
      <c r="BI683" s="80">
        <f>SUMIFS($AU$3:AU684,$Q$3:Q684,"F")</f>
        <v>25293.293506493508</v>
      </c>
      <c r="BJ683" s="80">
        <f>SUMIFS($AU$3:AU684,$Q$3:Q684,"S")</f>
        <v>17842.285714285714</v>
      </c>
      <c r="BK683" s="87">
        <f>SUMIFS($AU$3:AU684,$P$3:P684,"W")</f>
        <v>23336.759220779561</v>
      </c>
      <c r="BL683" s="87">
        <f>SUMIFS($AU$3:AU684,$P$3:P684,"R")</f>
        <v>13226.00000000016</v>
      </c>
      <c r="BM683" s="87">
        <f>SUMIFS($AU$3:AU684,$AQ$3:AQ684,"M")</f>
        <v>9567.1799999991417</v>
      </c>
      <c r="BN683" s="87">
        <f>SUMIFS($AU$3:AU684,$AQ$3:AQ684,"H")</f>
        <v>12363.200000000876</v>
      </c>
      <c r="BO683" s="87">
        <f>SUMIFS($AU$3:AU684,$AQ$3:AQ684,"D")</f>
        <v>334.99285714273992</v>
      </c>
      <c r="BP683" s="87">
        <f>SUMIFS($AS$3:AS1301,$AO$3:AO1301,"W")</f>
        <v>0</v>
      </c>
      <c r="BQ683" s="87">
        <f>SUMIFS($AU$3:AU684,$Q$3:Q684,"O")</f>
        <v>-5848.9399999998504</v>
      </c>
      <c r="BR683" s="87">
        <f>SUMIFS($AU$3:AU684,$AA$3:AA684,"*")</f>
        <v>29471.122077921998</v>
      </c>
      <c r="BS683" s="87">
        <f>SUMIFS($AU$3:AU684,$AB$3:AB684,"*")</f>
        <v>10383.860000000041</v>
      </c>
      <c r="BT683" s="87">
        <f>SUMIFS($AU$3:AU684,$AC$3:AC684,"*")</f>
        <v>30333.293506493676</v>
      </c>
      <c r="BU683" s="87">
        <f>SUMIFS($AU$3:AU684,$AA$3:AA684,"*",$AB$3:AB684,"*")</f>
        <v>5423.9999999998217</v>
      </c>
      <c r="BV683" s="87">
        <f>SUMIFS($AU$3:AU684,$AA$3:AA684,"*",$AC$3:AC684,"*")</f>
        <v>21913.636363636531</v>
      </c>
      <c r="BW683" s="87">
        <f>SUMIFS($AU$3:AU684,$AB$3:AB684,"*",$AC$3:AC684,"*")</f>
        <v>7119.9999999999982</v>
      </c>
      <c r="BX683" s="87">
        <f>SUMIFS($AV$3:AV684,$Q$3:Q684,"F")</f>
        <v>382.80914667325266</v>
      </c>
      <c r="BY683" s="87">
        <f>SUMIFS($AV$3:AV684,$Q$3:Q684,"S")</f>
        <v>706.32562762001328</v>
      </c>
      <c r="BZ683" s="87">
        <f>SUMIFS($AV$3:AV684,$Q$3:Q684,"O")</f>
        <v>297.55929999973682</v>
      </c>
    </row>
    <row r="684" spans="1:78" ht="15.75" customHeight="1">
      <c r="A684" s="45" t="s">
        <v>1819</v>
      </c>
      <c r="B684" s="59"/>
      <c r="C684" s="46"/>
      <c r="D684" s="46"/>
      <c r="E684" s="66"/>
      <c r="F684" s="47"/>
      <c r="G684" s="48"/>
      <c r="H684" s="49"/>
      <c r="I684" s="49"/>
      <c r="J684" s="49"/>
      <c r="K684" s="50"/>
      <c r="L684" s="49"/>
      <c r="M684" s="49"/>
      <c r="N684" s="49"/>
      <c r="O684" s="50"/>
      <c r="P684" s="50"/>
      <c r="Q684" s="50"/>
      <c r="R684" s="50"/>
      <c r="S684" s="50"/>
      <c r="T684" s="50"/>
      <c r="U684" s="50"/>
      <c r="V684" s="50"/>
      <c r="W684" s="50"/>
      <c r="X684" s="50"/>
      <c r="Y684" s="50"/>
      <c r="Z684" s="50"/>
      <c r="AA684" s="52"/>
      <c r="AB684" s="52"/>
      <c r="AC684" s="52"/>
      <c r="AD684" s="231"/>
      <c r="AE684" s="49"/>
      <c r="AF684" s="84"/>
      <c r="AG684" s="49"/>
      <c r="AH684" s="49"/>
      <c r="AI684" s="49"/>
      <c r="AJ684" s="226"/>
      <c r="AK684" s="49"/>
      <c r="AL684" s="113">
        <f t="shared" si="300"/>
        <v>0</v>
      </c>
      <c r="AM684" s="113">
        <f t="shared" si="297"/>
        <v>0</v>
      </c>
      <c r="AN684" s="218"/>
      <c r="AO684" s="49"/>
      <c r="AP684" s="49"/>
      <c r="AQ684" s="84" t="str">
        <f>UPPER(RIGHT(Journal_Live[[#This Row],[DURATION ]]))</f>
        <v/>
      </c>
      <c r="AR684" s="49"/>
      <c r="AS684" s="55"/>
      <c r="AT684" s="55"/>
      <c r="AU684" s="54"/>
      <c r="AV684" s="56"/>
      <c r="AW684" s="57"/>
      <c r="AX684" s="153"/>
      <c r="AY684" s="153"/>
      <c r="AZ684" s="153"/>
      <c r="BA684" s="153"/>
      <c r="BB684" s="153"/>
      <c r="BC684" s="153"/>
      <c r="BD684" s="151"/>
      <c r="BE684" s="152"/>
      <c r="BF684" s="151"/>
      <c r="BG684" s="94">
        <f>SUM($AV$4:AV684)</f>
        <v>3634.6940742930087</v>
      </c>
      <c r="BH684" s="95">
        <f>SUM($AU$4:AU684)</f>
        <v>39010.639220779361</v>
      </c>
      <c r="BI684" s="80">
        <f>SUMIFS($AU$3:AU685,$Q$3:Q685,"F")</f>
        <v>25293.293506493508</v>
      </c>
      <c r="BJ684" s="80">
        <f>SUMIFS($AU$3:AU685,$Q$3:Q685,"S")</f>
        <v>17842.285714285714</v>
      </c>
      <c r="BK684" s="87">
        <f>SUMIFS($AU$3:AU685,$P$3:P685,"W")</f>
        <v>23336.759220779561</v>
      </c>
      <c r="BL684" s="87">
        <f>SUMIFS($AU$3:AU685,$P$3:P685,"R")</f>
        <v>13226.00000000016</v>
      </c>
      <c r="BM684" s="87">
        <f>SUMIFS($AU$3:AU685,$AQ$3:AQ685,"M")</f>
        <v>9567.1799999991417</v>
      </c>
      <c r="BN684" s="87">
        <f>SUMIFS($AU$3:AU685,$AQ$3:AQ685,"H")</f>
        <v>12363.200000000876</v>
      </c>
      <c r="BO684" s="87">
        <f>SUMIFS($AU$3:AU685,$AQ$3:AQ685,"D")</f>
        <v>334.99285714273992</v>
      </c>
      <c r="BP684" s="87">
        <f>SUMIFS($AS$3:AS1302,$AO$3:AO1302,"W")</f>
        <v>0</v>
      </c>
      <c r="BQ684" s="87">
        <f>SUMIFS($AU$3:AU685,$Q$3:Q685,"O")</f>
        <v>-5848.9399999998504</v>
      </c>
      <c r="BR684" s="87">
        <f>SUMIFS($AU$3:AU685,$AA$3:AA685,"*")</f>
        <v>29471.122077921998</v>
      </c>
      <c r="BS684" s="87">
        <f>SUMIFS($AU$3:AU685,$AB$3:AB685,"*")</f>
        <v>10383.860000000041</v>
      </c>
      <c r="BT684" s="87">
        <f>SUMIFS($AU$3:AU685,$AC$3:AC685,"*")</f>
        <v>30333.293506493676</v>
      </c>
      <c r="BU684" s="87">
        <f>SUMIFS($AU$3:AU685,$AA$3:AA685,"*",$AB$3:AB685,"*")</f>
        <v>5423.9999999998217</v>
      </c>
      <c r="BV684" s="87">
        <f>SUMIFS($AU$3:AU685,$AA$3:AA685,"*",$AC$3:AC685,"*")</f>
        <v>21913.636363636531</v>
      </c>
      <c r="BW684" s="87">
        <f>SUMIFS($AU$3:AU685,$AB$3:AB685,"*",$AC$3:AC685,"*")</f>
        <v>7119.9999999999982</v>
      </c>
      <c r="BX684" s="87">
        <f>SUMIFS($AV$3:AV685,$Q$3:Q685,"F")</f>
        <v>382.80914667325266</v>
      </c>
      <c r="BY684" s="87">
        <f>SUMIFS($AV$3:AV685,$Q$3:Q685,"S")</f>
        <v>706.32562762001328</v>
      </c>
      <c r="BZ684" s="87">
        <f>SUMIFS($AV$3:AV685,$Q$3:Q685,"O")</f>
        <v>297.55929999973682</v>
      </c>
    </row>
    <row r="685" spans="1:78" ht="15.75" customHeight="1">
      <c r="A685" s="45" t="s">
        <v>1819</v>
      </c>
      <c r="B685" s="59"/>
      <c r="C685" s="46"/>
      <c r="D685" s="46"/>
      <c r="E685" s="66"/>
      <c r="F685" s="47"/>
      <c r="G685" s="48"/>
      <c r="H685" s="49"/>
      <c r="I685" s="49"/>
      <c r="J685" s="49"/>
      <c r="K685" s="50"/>
      <c r="L685" s="49"/>
      <c r="M685" s="49"/>
      <c r="N685" s="49"/>
      <c r="O685" s="50"/>
      <c r="P685" s="50"/>
      <c r="Q685" s="50"/>
      <c r="R685" s="50"/>
      <c r="S685" s="50"/>
      <c r="T685" s="50"/>
      <c r="U685" s="50"/>
      <c r="V685" s="50"/>
      <c r="W685" s="50"/>
      <c r="X685" s="50"/>
      <c r="Y685" s="50"/>
      <c r="Z685" s="50"/>
      <c r="AA685" s="52"/>
      <c r="AB685" s="52"/>
      <c r="AC685" s="52"/>
      <c r="AD685" s="231"/>
      <c r="AE685" s="49"/>
      <c r="AF685" s="84"/>
      <c r="AG685" s="49"/>
      <c r="AH685" s="49"/>
      <c r="AI685" s="49"/>
      <c r="AJ685" s="226"/>
      <c r="AK685" s="49"/>
      <c r="AL685" s="113">
        <f t="shared" si="300"/>
        <v>0</v>
      </c>
      <c r="AM685" s="113">
        <f t="shared" si="297"/>
        <v>0</v>
      </c>
      <c r="AN685" s="218"/>
      <c r="AO685" s="49"/>
      <c r="AP685" s="49"/>
      <c r="AQ685" s="84" t="str">
        <f>UPPER(RIGHT(Journal_Live[[#This Row],[DURATION ]]))</f>
        <v/>
      </c>
      <c r="AR685" s="49"/>
      <c r="AS685" s="55"/>
      <c r="AT685" s="55"/>
      <c r="AU685" s="54"/>
      <c r="AV685" s="56"/>
      <c r="AW685" s="57"/>
      <c r="AX685" s="153" t="s">
        <v>2195</v>
      </c>
      <c r="AY685" s="153" t="s">
        <v>2196</v>
      </c>
      <c r="AZ685" s="153" t="s">
        <v>2197</v>
      </c>
      <c r="BA685" s="153" t="s">
        <v>2198</v>
      </c>
      <c r="BB685" s="153" t="s">
        <v>2199</v>
      </c>
      <c r="BC685" s="153" t="s">
        <v>2200</v>
      </c>
      <c r="BD685" s="153" t="s">
        <v>2201</v>
      </c>
      <c r="BE685" s="151" t="s">
        <v>2202</v>
      </c>
      <c r="BF685" s="151"/>
      <c r="BG685" s="94">
        <f>SUM($AV$4:AV685)</f>
        <v>3634.6940742930087</v>
      </c>
      <c r="BH685" s="95">
        <f>SUM($AU$4:AU685)</f>
        <v>39010.639220779361</v>
      </c>
      <c r="BI685" s="80">
        <f>SUMIFS($AU$3:AU686,$Q$3:Q686,"F")</f>
        <v>25293.293506493508</v>
      </c>
      <c r="BJ685" s="80">
        <f>SUMIFS($AU$3:AU686,$Q$3:Q686,"S")</f>
        <v>17842.285714285714</v>
      </c>
      <c r="BK685" s="87">
        <f>SUMIFS($AU$3:AU686,$P$3:P686,"W")</f>
        <v>23336.759220779561</v>
      </c>
      <c r="BL685" s="87">
        <f>SUMIFS($AU$3:AU686,$P$3:P686,"R")</f>
        <v>13226.00000000016</v>
      </c>
      <c r="BM685" s="87">
        <f>SUMIFS($AU$3:AU686,$AQ$3:AQ686,"M")</f>
        <v>9567.1799999991417</v>
      </c>
      <c r="BN685" s="87">
        <f>SUMIFS($AU$3:AU686,$AQ$3:AQ686,"H")</f>
        <v>12363.200000000876</v>
      </c>
      <c r="BO685" s="87">
        <f>SUMIFS($AU$3:AU686,$AQ$3:AQ686,"D")</f>
        <v>334.99285714273992</v>
      </c>
      <c r="BP685" s="87">
        <f>SUMIFS($AS$3:AS1303,$AO$3:AO1303,"W")</f>
        <v>0</v>
      </c>
      <c r="BQ685" s="87">
        <f>SUMIFS($AU$3:AU686,$Q$3:Q686,"O")</f>
        <v>-5848.9399999998504</v>
      </c>
      <c r="BR685" s="87">
        <f>SUMIFS($AU$3:AU686,$AA$3:AA686,"*")</f>
        <v>29471.122077921998</v>
      </c>
      <c r="BS685" s="87">
        <f>SUMIFS($AU$3:AU686,$AB$3:AB686,"*")</f>
        <v>10383.860000000041</v>
      </c>
      <c r="BT685" s="87">
        <f>SUMIFS($AU$3:AU686,$AC$3:AC686,"*")</f>
        <v>30333.293506493676</v>
      </c>
      <c r="BU685" s="87">
        <f>SUMIFS($AU$3:AU686,$AA$3:AA686,"*",$AB$3:AB686,"*")</f>
        <v>5423.9999999998217</v>
      </c>
      <c r="BV685" s="87">
        <f>SUMIFS($AU$3:AU686,$AA$3:AA686,"*",$AC$3:AC686,"*")</f>
        <v>21913.636363636531</v>
      </c>
      <c r="BW685" s="87">
        <f>SUMIFS($AU$3:AU686,$AB$3:AB686,"*",$AC$3:AC686,"*")</f>
        <v>7119.9999999999982</v>
      </c>
      <c r="BX685" s="87">
        <f>SUMIFS($AV$3:AV686,$Q$3:Q686,"F")</f>
        <v>382.80914667325266</v>
      </c>
      <c r="BY685" s="87">
        <f>SUMIFS($AV$3:AV686,$Q$3:Q686,"S")</f>
        <v>706.32562762001328</v>
      </c>
      <c r="BZ685" s="87">
        <f>SUMIFS($AV$3:AV686,$Q$3:Q686,"O")</f>
        <v>297.55929999973682</v>
      </c>
    </row>
    <row r="686" spans="1:78" ht="15.75" customHeight="1">
      <c r="A686" s="45" t="s">
        <v>1819</v>
      </c>
      <c r="B686" s="59"/>
      <c r="C686" s="46"/>
      <c r="D686" s="46"/>
      <c r="E686" s="66"/>
      <c r="F686" s="47"/>
      <c r="G686" s="48"/>
      <c r="H686" s="49"/>
      <c r="I686" s="49"/>
      <c r="J686" s="49"/>
      <c r="K686" s="50"/>
      <c r="L686" s="49"/>
      <c r="M686" s="49"/>
      <c r="N686" s="49"/>
      <c r="O686" s="50"/>
      <c r="P686" s="50"/>
      <c r="Q686" s="50"/>
      <c r="R686" s="50"/>
      <c r="S686" s="50"/>
      <c r="T686" s="50"/>
      <c r="U686" s="50"/>
      <c r="V686" s="50"/>
      <c r="W686" s="50"/>
      <c r="X686" s="50"/>
      <c r="Y686" s="50"/>
      <c r="Z686" s="50"/>
      <c r="AA686" s="52"/>
      <c r="AB686" s="52"/>
      <c r="AC686" s="52"/>
      <c r="AD686" s="231"/>
      <c r="AE686" s="49"/>
      <c r="AF686" s="84"/>
      <c r="AG686" s="49"/>
      <c r="AH686" s="49"/>
      <c r="AI686" s="49"/>
      <c r="AJ686" s="226"/>
      <c r="AK686" s="49"/>
      <c r="AL686" s="113">
        <f t="shared" si="300"/>
        <v>0</v>
      </c>
      <c r="AM686" s="113">
        <f t="shared" si="297"/>
        <v>0</v>
      </c>
      <c r="AN686" s="218"/>
      <c r="AO686" s="49"/>
      <c r="AP686" s="49"/>
      <c r="AQ686" s="84" t="str">
        <f>UPPER(RIGHT(Journal_Live[[#This Row],[DURATION ]]))</f>
        <v/>
      </c>
      <c r="AR686" s="49"/>
      <c r="AS686" s="55"/>
      <c r="AT686" s="55"/>
      <c r="AU686" s="54"/>
      <c r="AV686" s="56"/>
      <c r="AW686" s="57"/>
      <c r="AX686" s="99" t="s">
        <v>2203</v>
      </c>
      <c r="AY686" s="153" t="s">
        <v>2204</v>
      </c>
      <c r="AZ686" s="151" t="s">
        <v>2205</v>
      </c>
      <c r="BA686" s="151" t="s">
        <v>2206</v>
      </c>
      <c r="BB686" s="151"/>
      <c r="BC686" s="153"/>
      <c r="BD686" s="151"/>
      <c r="BE686" s="152"/>
      <c r="BF686" s="151"/>
      <c r="BG686" s="94">
        <f>SUM($AV$4:AV686)</f>
        <v>3634.6940742930087</v>
      </c>
      <c r="BH686" s="95">
        <f>SUM($AU$4:AU686)</f>
        <v>39010.639220779361</v>
      </c>
      <c r="BI686" s="80">
        <f>SUMIFS($AU$3:AU687,$Q$3:Q687,"F")</f>
        <v>25293.293506493508</v>
      </c>
      <c r="BJ686" s="80">
        <f>SUMIFS($AU$3:AU687,$Q$3:Q687,"S")</f>
        <v>17842.285714285714</v>
      </c>
      <c r="BK686" s="87">
        <f>SUMIFS($AU$3:AU687,$P$3:P687,"W")</f>
        <v>23336.759220779561</v>
      </c>
      <c r="BL686" s="87">
        <f>SUMIFS($AU$3:AU687,$P$3:P687,"R")</f>
        <v>13226.00000000016</v>
      </c>
      <c r="BM686" s="87">
        <f>SUMIFS($AU$3:AU687,$AQ$3:AQ687,"M")</f>
        <v>9567.1799999991417</v>
      </c>
      <c r="BN686" s="87">
        <f>SUMIFS($AU$3:AU687,$AQ$3:AQ687,"H")</f>
        <v>12363.200000000876</v>
      </c>
      <c r="BO686" s="87">
        <f>SUMIFS($AU$3:AU687,$AQ$3:AQ687,"D")</f>
        <v>334.99285714273992</v>
      </c>
      <c r="BP686" s="87">
        <f>SUMIFS($AS$3:AS1304,$AO$3:AO1304,"W")</f>
        <v>0</v>
      </c>
      <c r="BQ686" s="87">
        <f>SUMIFS($AU$3:AU687,$Q$3:Q687,"O")</f>
        <v>-5848.9399999998504</v>
      </c>
      <c r="BR686" s="87">
        <f>SUMIFS($AU$3:AU687,$AA$3:AA687,"*")</f>
        <v>29471.122077921998</v>
      </c>
      <c r="BS686" s="87">
        <f>SUMIFS($AU$3:AU687,$AB$3:AB687,"*")</f>
        <v>10383.860000000041</v>
      </c>
      <c r="BT686" s="87">
        <f>SUMIFS($AU$3:AU687,$AC$3:AC687,"*")</f>
        <v>30333.293506493676</v>
      </c>
      <c r="BU686" s="87">
        <f>SUMIFS($AU$3:AU687,$AA$3:AA687,"*",$AB$3:AB687,"*")</f>
        <v>5423.9999999998217</v>
      </c>
      <c r="BV686" s="87">
        <f>SUMIFS($AU$3:AU687,$AA$3:AA687,"*",$AC$3:AC687,"*")</f>
        <v>21913.636363636531</v>
      </c>
      <c r="BW686" s="87">
        <f>SUMIFS($AU$3:AU687,$AB$3:AB687,"*",$AC$3:AC687,"*")</f>
        <v>7119.9999999999982</v>
      </c>
      <c r="BX686" s="87">
        <f>SUMIFS($AV$3:AV687,$Q$3:Q687,"F")</f>
        <v>382.80914667325266</v>
      </c>
      <c r="BY686" s="87">
        <f>SUMIFS($AV$3:AV687,$Q$3:Q687,"S")</f>
        <v>706.32562762001328</v>
      </c>
      <c r="BZ686" s="87">
        <f>SUMIFS($AV$3:AV687,$Q$3:Q687,"O")</f>
        <v>297.55929999973682</v>
      </c>
    </row>
    <row r="687" spans="1:78" ht="15.75" customHeight="1">
      <c r="A687" s="45" t="s">
        <v>1819</v>
      </c>
      <c r="B687" s="59"/>
      <c r="C687" s="46"/>
      <c r="D687" s="46"/>
      <c r="E687" s="66"/>
      <c r="F687" s="47"/>
      <c r="G687" s="48"/>
      <c r="H687" s="49"/>
      <c r="I687" s="49"/>
      <c r="J687" s="49"/>
      <c r="K687" s="50"/>
      <c r="L687" s="49"/>
      <c r="M687" s="49"/>
      <c r="N687" s="49"/>
      <c r="O687" s="50"/>
      <c r="P687" s="50"/>
      <c r="Q687" s="50"/>
      <c r="R687" s="50"/>
      <c r="S687" s="50"/>
      <c r="T687" s="50"/>
      <c r="U687" s="50"/>
      <c r="V687" s="50"/>
      <c r="W687" s="50"/>
      <c r="X687" s="50"/>
      <c r="Y687" s="50"/>
      <c r="Z687" s="50"/>
      <c r="AA687" s="52"/>
      <c r="AB687" s="52"/>
      <c r="AC687" s="52"/>
      <c r="AD687" s="231"/>
      <c r="AE687" s="49"/>
      <c r="AF687" s="84"/>
      <c r="AG687" s="49"/>
      <c r="AH687" s="49"/>
      <c r="AI687" s="49"/>
      <c r="AJ687" s="226"/>
      <c r="AK687" s="49"/>
      <c r="AL687" s="113">
        <f t="shared" si="300"/>
        <v>0</v>
      </c>
      <c r="AM687" s="113">
        <f t="shared" si="297"/>
        <v>0</v>
      </c>
      <c r="AN687" s="218"/>
      <c r="AO687" s="49"/>
      <c r="AP687" s="49"/>
      <c r="AQ687" s="84" t="str">
        <f>UPPER(RIGHT(Journal_Live[[#This Row],[DURATION ]]))</f>
        <v/>
      </c>
      <c r="AR687" s="49"/>
      <c r="AS687" s="55"/>
      <c r="AT687" s="55"/>
      <c r="AU687" s="54"/>
      <c r="AV687" s="56"/>
      <c r="AW687" s="57"/>
      <c r="AX687" s="153" t="s">
        <v>2207</v>
      </c>
      <c r="AY687" s="153"/>
      <c r="AZ687" s="153"/>
      <c r="BA687" s="153"/>
      <c r="BB687" s="153"/>
      <c r="BC687" s="153"/>
      <c r="BD687" s="151"/>
      <c r="BE687" s="152"/>
      <c r="BF687" s="151"/>
      <c r="BG687" s="94">
        <f>SUM($AV$4:AV687)</f>
        <v>3634.6940742930087</v>
      </c>
      <c r="BH687" s="95">
        <f>SUM($AU$4:AU687)</f>
        <v>39010.639220779361</v>
      </c>
      <c r="BI687" s="80">
        <f>SUMIFS($AU$3:AU688,$Q$3:Q688,"F")</f>
        <v>25293.293506493508</v>
      </c>
      <c r="BJ687" s="80">
        <f>SUMIFS($AU$3:AU688,$Q$3:Q688,"S")</f>
        <v>17842.285714285714</v>
      </c>
      <c r="BK687" s="87">
        <f>SUMIFS($AU$3:AU688,$P$3:P688,"W")</f>
        <v>23336.759220779561</v>
      </c>
      <c r="BL687" s="87">
        <f>SUMIFS($AU$3:AU688,$P$3:P688,"R")</f>
        <v>13226.00000000016</v>
      </c>
      <c r="BM687" s="87">
        <f>SUMIFS($AU$3:AU688,$AQ$3:AQ688,"M")</f>
        <v>9567.1799999991417</v>
      </c>
      <c r="BN687" s="87">
        <f>SUMIFS($AU$3:AU688,$AQ$3:AQ688,"H")</f>
        <v>12363.200000000876</v>
      </c>
      <c r="BO687" s="87">
        <f>SUMIFS($AU$3:AU688,$AQ$3:AQ688,"D")</f>
        <v>334.99285714273992</v>
      </c>
      <c r="BP687" s="87">
        <f>SUMIFS($AS$3:AS1305,$AO$3:AO1305,"W")</f>
        <v>0</v>
      </c>
      <c r="BQ687" s="87">
        <f>SUMIFS($AU$3:AU688,$Q$3:Q688,"O")</f>
        <v>-5848.9399999998504</v>
      </c>
      <c r="BR687" s="87">
        <f>SUMIFS($AU$3:AU688,$AA$3:AA688,"*")</f>
        <v>29471.122077921998</v>
      </c>
      <c r="BS687" s="87">
        <f>SUMIFS($AU$3:AU688,$AB$3:AB688,"*")</f>
        <v>10383.860000000041</v>
      </c>
      <c r="BT687" s="87">
        <f>SUMIFS($AU$3:AU688,$AC$3:AC688,"*")</f>
        <v>30333.293506493676</v>
      </c>
      <c r="BU687" s="87">
        <f>SUMIFS($AU$3:AU688,$AA$3:AA688,"*",$AB$3:AB688,"*")</f>
        <v>5423.9999999998217</v>
      </c>
      <c r="BV687" s="87">
        <f>SUMIFS($AU$3:AU688,$AA$3:AA688,"*",$AC$3:AC688,"*")</f>
        <v>21913.636363636531</v>
      </c>
      <c r="BW687" s="87">
        <f>SUMIFS($AU$3:AU688,$AB$3:AB688,"*",$AC$3:AC688,"*")</f>
        <v>7119.9999999999982</v>
      </c>
      <c r="BX687" s="87">
        <f>SUMIFS($AV$3:AV688,$Q$3:Q688,"F")</f>
        <v>382.80914667325266</v>
      </c>
      <c r="BY687" s="87">
        <f>SUMIFS($AV$3:AV688,$Q$3:Q688,"S")</f>
        <v>706.32562762001328</v>
      </c>
      <c r="BZ687" s="87">
        <f>SUMIFS($AV$3:AV688,$Q$3:Q688,"O")</f>
        <v>297.55929999973682</v>
      </c>
    </row>
    <row r="688" spans="1:78" ht="15.75" customHeight="1">
      <c r="A688" s="45" t="s">
        <v>1819</v>
      </c>
      <c r="B688" s="59"/>
      <c r="C688" s="46"/>
      <c r="D688" s="46"/>
      <c r="E688" s="66"/>
      <c r="F688" s="47"/>
      <c r="G688" s="48"/>
      <c r="H688" s="49"/>
      <c r="I688" s="49"/>
      <c r="J688" s="49"/>
      <c r="K688" s="50"/>
      <c r="L688" s="49"/>
      <c r="M688" s="49"/>
      <c r="N688" s="49"/>
      <c r="O688" s="50"/>
      <c r="P688" s="50"/>
      <c r="Q688" s="50"/>
      <c r="R688" s="50"/>
      <c r="S688" s="50"/>
      <c r="T688" s="50"/>
      <c r="U688" s="50"/>
      <c r="V688" s="50"/>
      <c r="W688" s="50"/>
      <c r="X688" s="50"/>
      <c r="Y688" s="50"/>
      <c r="Z688" s="50"/>
      <c r="AA688" s="52"/>
      <c r="AB688" s="52"/>
      <c r="AC688" s="52"/>
      <c r="AD688" s="231"/>
      <c r="AE688" s="49"/>
      <c r="AF688" s="84"/>
      <c r="AG688" s="49"/>
      <c r="AH688" s="49"/>
      <c r="AI688" s="49"/>
      <c r="AJ688" s="226"/>
      <c r="AK688" s="49"/>
      <c r="AL688" s="113">
        <f t="shared" si="300"/>
        <v>0</v>
      </c>
      <c r="AM688" s="113">
        <f t="shared" si="297"/>
        <v>0</v>
      </c>
      <c r="AN688" s="218"/>
      <c r="AO688" s="49"/>
      <c r="AP688" s="49"/>
      <c r="AQ688" s="84" t="str">
        <f>UPPER(RIGHT(Journal_Live[[#This Row],[DURATION ]]))</f>
        <v/>
      </c>
      <c r="AR688" s="49"/>
      <c r="AS688" s="55"/>
      <c r="AT688" s="55"/>
      <c r="AU688" s="54"/>
      <c r="AV688" s="56"/>
      <c r="AW688" s="57"/>
      <c r="AX688" s="153" t="s">
        <v>2208</v>
      </c>
      <c r="AY688" s="153" t="s">
        <v>2209</v>
      </c>
      <c r="AZ688" s="153" t="s">
        <v>2210</v>
      </c>
      <c r="BA688" s="153" t="s">
        <v>2211</v>
      </c>
      <c r="BB688" s="153" t="s">
        <v>2212</v>
      </c>
      <c r="BC688" s="153" t="s">
        <v>2213</v>
      </c>
      <c r="BD688" s="151"/>
      <c r="BE688" s="152"/>
      <c r="BF688" s="151"/>
      <c r="BG688" s="94">
        <f>SUM($AV$4:AV688)</f>
        <v>3634.6940742930087</v>
      </c>
      <c r="BH688" s="95">
        <f>SUM($AU$4:AU688)</f>
        <v>39010.639220779361</v>
      </c>
      <c r="BI688" s="80">
        <f>SUMIFS($AU$3:AU689,$Q$3:Q689,"F")</f>
        <v>25293.293506493508</v>
      </c>
      <c r="BJ688" s="80">
        <f>SUMIFS($AU$3:AU689,$Q$3:Q689,"S")</f>
        <v>17842.285714285714</v>
      </c>
      <c r="BK688" s="87">
        <f>SUMIFS($AU$3:AU689,$P$3:P689,"W")</f>
        <v>23336.759220779561</v>
      </c>
      <c r="BL688" s="87">
        <f>SUMIFS($AU$3:AU689,$P$3:P689,"R")</f>
        <v>13226.00000000016</v>
      </c>
      <c r="BM688" s="87">
        <f>SUMIFS($AU$3:AU689,$AQ$3:AQ689,"M")</f>
        <v>9567.1799999991417</v>
      </c>
      <c r="BN688" s="87">
        <f>SUMIFS($AU$3:AU689,$AQ$3:AQ689,"H")</f>
        <v>12363.200000000876</v>
      </c>
      <c r="BO688" s="87">
        <f>SUMIFS($AU$3:AU689,$AQ$3:AQ689,"D")</f>
        <v>334.99285714273992</v>
      </c>
      <c r="BP688" s="87">
        <f>SUMIFS($AS$3:AS1306,$AO$3:AO1306,"W")</f>
        <v>0</v>
      </c>
      <c r="BQ688" s="87">
        <f>SUMIFS($AU$3:AU689,$Q$3:Q689,"O")</f>
        <v>-5848.9399999998504</v>
      </c>
      <c r="BR688" s="87">
        <f>SUMIFS($AU$3:AU689,$AA$3:AA689,"*")</f>
        <v>29471.122077921998</v>
      </c>
      <c r="BS688" s="87">
        <f>SUMIFS($AU$3:AU689,$AB$3:AB689,"*")</f>
        <v>10383.860000000041</v>
      </c>
      <c r="BT688" s="87">
        <f>SUMIFS($AU$3:AU689,$AC$3:AC689,"*")</f>
        <v>30333.293506493676</v>
      </c>
      <c r="BU688" s="87">
        <f>SUMIFS($AU$3:AU689,$AA$3:AA689,"*",$AB$3:AB689,"*")</f>
        <v>5423.9999999998217</v>
      </c>
      <c r="BV688" s="87">
        <f>SUMIFS($AU$3:AU689,$AA$3:AA689,"*",$AC$3:AC689,"*")</f>
        <v>21913.636363636531</v>
      </c>
      <c r="BW688" s="87">
        <f>SUMIFS($AU$3:AU689,$AB$3:AB689,"*",$AC$3:AC689,"*")</f>
        <v>7119.9999999999982</v>
      </c>
      <c r="BX688" s="87">
        <f>SUMIFS($AV$3:AV689,$Q$3:Q689,"F")</f>
        <v>382.80914667325266</v>
      </c>
      <c r="BY688" s="87">
        <f>SUMIFS($AV$3:AV689,$Q$3:Q689,"S")</f>
        <v>706.32562762001328</v>
      </c>
      <c r="BZ688" s="87">
        <f>SUMIFS($AV$3:AV689,$Q$3:Q689,"O")</f>
        <v>297.55929999973682</v>
      </c>
    </row>
    <row r="689" spans="1:78" ht="15.75" customHeight="1">
      <c r="A689" s="45" t="s">
        <v>2214</v>
      </c>
      <c r="B689" s="59"/>
      <c r="C689" s="46"/>
      <c r="D689" s="46"/>
      <c r="E689" s="66"/>
      <c r="F689" s="47"/>
      <c r="G689" s="48"/>
      <c r="H689" s="49"/>
      <c r="I689" s="49"/>
      <c r="J689" s="49"/>
      <c r="K689" s="50"/>
      <c r="L689" s="49"/>
      <c r="M689" s="49"/>
      <c r="N689" s="49"/>
      <c r="O689" s="50"/>
      <c r="P689" s="50"/>
      <c r="Q689" s="50"/>
      <c r="R689" s="50"/>
      <c r="S689" s="50"/>
      <c r="T689" s="50"/>
      <c r="U689" s="50"/>
      <c r="V689" s="50"/>
      <c r="W689" s="50"/>
      <c r="X689" s="50"/>
      <c r="Y689" s="50"/>
      <c r="Z689" s="50"/>
      <c r="AA689" s="52"/>
      <c r="AB689" s="52"/>
      <c r="AC689" s="52"/>
      <c r="AD689" s="231"/>
      <c r="AE689" s="49"/>
      <c r="AF689" s="84"/>
      <c r="AG689" s="49"/>
      <c r="AH689" s="49"/>
      <c r="AI689" s="49"/>
      <c r="AJ689" s="226"/>
      <c r="AK689" s="49"/>
      <c r="AL689" s="113">
        <f t="shared" si="300"/>
        <v>0</v>
      </c>
      <c r="AM689" s="113">
        <f t="shared" si="297"/>
        <v>0</v>
      </c>
      <c r="AN689" s="218"/>
      <c r="AO689" s="49"/>
      <c r="AP689" s="49"/>
      <c r="AQ689" s="84" t="str">
        <f>UPPER(RIGHT(Journal_Live[[#This Row],[DURATION ]]))</f>
        <v/>
      </c>
      <c r="AR689" s="49"/>
      <c r="AS689" s="55"/>
      <c r="AT689" s="55"/>
      <c r="AU689" s="54"/>
      <c r="AV689" s="56"/>
      <c r="AW689" s="57"/>
      <c r="AX689" s="151" t="s">
        <v>2215</v>
      </c>
      <c r="AY689" s="99" t="s">
        <v>2209</v>
      </c>
      <c r="AZ689" s="99" t="s">
        <v>2216</v>
      </c>
      <c r="BA689" s="99" t="s">
        <v>2204</v>
      </c>
      <c r="BB689" s="99" t="s">
        <v>2212</v>
      </c>
      <c r="BC689" s="99" t="s">
        <v>2213</v>
      </c>
      <c r="BD689" s="151"/>
      <c r="BE689" s="152"/>
      <c r="BF689" s="151"/>
      <c r="BG689" s="94">
        <f>SUM($AV$4:AV689)</f>
        <v>3634.6940742930087</v>
      </c>
      <c r="BH689" s="95">
        <f>SUM($AU$4:AU689)</f>
        <v>39010.639220779361</v>
      </c>
      <c r="BI689" s="80">
        <f>SUMIFS($AU$3:AU690,$Q$3:Q690,"F")</f>
        <v>25293.293506493508</v>
      </c>
      <c r="BJ689" s="80">
        <f>SUMIFS($AU$3:AU690,$Q$3:Q690,"S")</f>
        <v>17842.285714285714</v>
      </c>
      <c r="BK689" s="87">
        <f>SUMIFS($AU$3:AU690,$P$3:P690,"W")</f>
        <v>23336.759220779561</v>
      </c>
      <c r="BL689" s="87">
        <f>SUMIFS($AU$3:AU690,$P$3:P690,"R")</f>
        <v>13226.00000000016</v>
      </c>
      <c r="BM689" s="87">
        <f>SUMIFS($AU$3:AU690,$AQ$3:AQ690,"M")</f>
        <v>9567.1799999991417</v>
      </c>
      <c r="BN689" s="87">
        <f>SUMIFS($AU$3:AU690,$AQ$3:AQ690,"H")</f>
        <v>12363.200000000876</v>
      </c>
      <c r="BO689" s="87">
        <f>SUMIFS($AU$3:AU690,$AQ$3:AQ690,"D")</f>
        <v>334.99285714273992</v>
      </c>
      <c r="BP689" s="87">
        <f>SUMIFS($AS$3:AS1307,$AO$3:AO1307,"W")</f>
        <v>0</v>
      </c>
      <c r="BQ689" s="87">
        <f>SUMIFS($AU$3:AU690,$Q$3:Q690,"O")</f>
        <v>-5848.9399999998504</v>
      </c>
      <c r="BR689" s="87">
        <f>SUMIFS($AU$3:AU690,$AA$3:AA690,"*")</f>
        <v>29471.122077921998</v>
      </c>
      <c r="BS689" s="87">
        <f>SUMIFS($AU$3:AU690,$AB$3:AB690,"*")</f>
        <v>10383.860000000041</v>
      </c>
      <c r="BT689" s="87">
        <f>SUMIFS($AU$3:AU690,$AC$3:AC690,"*")</f>
        <v>30333.293506493676</v>
      </c>
      <c r="BU689" s="87">
        <f>SUMIFS($AU$3:AU690,$AA$3:AA690,"*",$AB$3:AB690,"*")</f>
        <v>5423.9999999998217</v>
      </c>
      <c r="BV689" s="87">
        <f>SUMIFS($AU$3:AU690,$AA$3:AA690,"*",$AC$3:AC690,"*")</f>
        <v>21913.636363636531</v>
      </c>
      <c r="BW689" s="87">
        <f>SUMIFS($AU$3:AU690,$AB$3:AB690,"*",$AC$3:AC690,"*")</f>
        <v>7119.9999999999982</v>
      </c>
      <c r="BX689" s="87">
        <f>SUMIFS($AV$3:AV690,$Q$3:Q690,"F")</f>
        <v>382.80914667325266</v>
      </c>
      <c r="BY689" s="87">
        <f>SUMIFS($AV$3:AV690,$Q$3:Q690,"S")</f>
        <v>706.32562762001328</v>
      </c>
      <c r="BZ689" s="87">
        <f>SUMIFS($AV$3:AV690,$Q$3:Q690,"O")</f>
        <v>297.55929999973682</v>
      </c>
    </row>
    <row r="690" spans="1:78" ht="15.75" customHeight="1">
      <c r="A690" s="45" t="s">
        <v>1819</v>
      </c>
      <c r="B690" s="59"/>
      <c r="C690" s="46"/>
      <c r="D690" s="46"/>
      <c r="E690" s="66"/>
      <c r="F690" s="47"/>
      <c r="G690" s="48"/>
      <c r="H690" s="49"/>
      <c r="I690" s="49"/>
      <c r="J690" s="49"/>
      <c r="K690" s="50"/>
      <c r="L690" s="49"/>
      <c r="M690" s="49"/>
      <c r="N690" s="49"/>
      <c r="O690" s="50"/>
      <c r="P690" s="50"/>
      <c r="Q690" s="50"/>
      <c r="R690" s="50"/>
      <c r="S690" s="50"/>
      <c r="T690" s="50"/>
      <c r="U690" s="50"/>
      <c r="V690" s="50"/>
      <c r="W690" s="50"/>
      <c r="X690" s="50"/>
      <c r="Y690" s="50"/>
      <c r="Z690" s="50"/>
      <c r="AA690" s="52"/>
      <c r="AB690" s="52"/>
      <c r="AC690" s="52"/>
      <c r="AD690" s="231"/>
      <c r="AE690" s="49"/>
      <c r="AF690" s="84"/>
      <c r="AG690" s="49"/>
      <c r="AH690" s="49"/>
      <c r="AI690" s="49"/>
      <c r="AJ690" s="226"/>
      <c r="AK690" s="49"/>
      <c r="AL690" s="113">
        <f t="shared" si="298"/>
        <v>0</v>
      </c>
      <c r="AM690" s="113">
        <f t="shared" si="297"/>
        <v>0</v>
      </c>
      <c r="AN690" s="218"/>
      <c r="AO690" s="49"/>
      <c r="AP690" s="49"/>
      <c r="AQ690" s="84" t="str">
        <f>UPPER(RIGHT(Journal_Live[[#This Row],[DURATION ]]))</f>
        <v/>
      </c>
      <c r="AR690" s="49"/>
      <c r="AS690" s="55"/>
      <c r="AT690" s="55"/>
      <c r="AU690" s="54"/>
      <c r="AV690" s="56"/>
      <c r="AW690" s="57"/>
      <c r="AX690" s="153" t="s">
        <v>2217</v>
      </c>
      <c r="AY690" s="153" t="s">
        <v>2218</v>
      </c>
      <c r="AZ690" s="153"/>
      <c r="BA690" s="153"/>
      <c r="BB690" s="153"/>
      <c r="BC690" s="153"/>
      <c r="BD690" s="151"/>
      <c r="BE690" s="152"/>
      <c r="BF690" s="151"/>
      <c r="BG690" s="94">
        <f>SUM($AV$4:AV690)</f>
        <v>3634.6940742930087</v>
      </c>
      <c r="BH690" s="95">
        <f>SUM($AU$4:AU690)</f>
        <v>39010.639220779361</v>
      </c>
      <c r="BI690" s="80">
        <f>SUMIFS($AU$3:AU691,$Q$3:Q691,"F")</f>
        <v>25293.293506493508</v>
      </c>
      <c r="BJ690" s="80">
        <f>SUMIFS($AU$3:AU691,$Q$3:Q691,"S")</f>
        <v>17842.285714285714</v>
      </c>
      <c r="BK690" s="87">
        <f>SUMIFS($AU$3:AU691,$P$3:P691,"W")</f>
        <v>23336.759220779561</v>
      </c>
      <c r="BL690" s="87">
        <f>SUMIFS($AU$3:AU691,$P$3:P691,"R")</f>
        <v>13226.00000000016</v>
      </c>
      <c r="BM690" s="87">
        <f>SUMIFS($AU$3:AU691,$AQ$3:AQ691,"M")</f>
        <v>9567.1799999991417</v>
      </c>
      <c r="BN690" s="87">
        <f>SUMIFS($AU$3:AU691,$AQ$3:AQ691,"H")</f>
        <v>12363.200000000876</v>
      </c>
      <c r="BO690" s="87">
        <f>SUMIFS($AU$3:AU691,$AQ$3:AQ691,"D")</f>
        <v>334.99285714273992</v>
      </c>
      <c r="BP690" s="87">
        <f>SUMIFS($AS$3:AS1308,$AO$3:AO1308,"W")</f>
        <v>0</v>
      </c>
      <c r="BQ690" s="87">
        <f>SUMIFS($AU$3:AU691,$Q$3:Q691,"O")</f>
        <v>-5848.9399999998504</v>
      </c>
      <c r="BR690" s="87">
        <f>SUMIFS($AU$3:AU691,$AA$3:AA691,"*")</f>
        <v>29471.122077921998</v>
      </c>
      <c r="BS690" s="87">
        <f>SUMIFS($AU$3:AU691,$AB$3:AB691,"*")</f>
        <v>10383.860000000041</v>
      </c>
      <c r="BT690" s="87">
        <f>SUMIFS($AU$3:AU691,$AC$3:AC691,"*")</f>
        <v>30333.293506493676</v>
      </c>
      <c r="BU690" s="87">
        <f>SUMIFS($AU$3:AU691,$AA$3:AA691,"*",$AB$3:AB691,"*")</f>
        <v>5423.9999999998217</v>
      </c>
      <c r="BV690" s="87">
        <f>SUMIFS($AU$3:AU691,$AA$3:AA691,"*",$AC$3:AC691,"*")</f>
        <v>21913.636363636531</v>
      </c>
      <c r="BW690" s="87">
        <f>SUMIFS($AU$3:AU691,$AB$3:AB691,"*",$AC$3:AC691,"*")</f>
        <v>7119.9999999999982</v>
      </c>
      <c r="BX690" s="87">
        <f>SUMIFS($AV$3:AV691,$Q$3:Q691,"F")</f>
        <v>382.80914667325266</v>
      </c>
      <c r="BY690" s="87">
        <f>SUMIFS($AV$3:AV691,$Q$3:Q691,"S")</f>
        <v>706.32562762001328</v>
      </c>
      <c r="BZ690" s="87">
        <f>SUMIFS($AV$3:AV691,$Q$3:Q691,"O")</f>
        <v>297.55929999973682</v>
      </c>
    </row>
    <row r="691" spans="1:78" ht="15.75" customHeight="1">
      <c r="A691" s="45" t="s">
        <v>1819</v>
      </c>
      <c r="B691" s="59"/>
      <c r="C691" s="46"/>
      <c r="D691" s="46"/>
      <c r="E691" s="66"/>
      <c r="F691" s="47"/>
      <c r="G691" s="48"/>
      <c r="H691" s="49"/>
      <c r="I691" s="49"/>
      <c r="J691" s="49"/>
      <c r="K691" s="50"/>
      <c r="L691" s="49"/>
      <c r="M691" s="49"/>
      <c r="N691" s="49"/>
      <c r="O691" s="50"/>
      <c r="P691" s="50"/>
      <c r="Q691" s="50"/>
      <c r="R691" s="50"/>
      <c r="S691" s="50"/>
      <c r="T691" s="50"/>
      <c r="U691" s="50"/>
      <c r="V691" s="50"/>
      <c r="W691" s="50"/>
      <c r="X691" s="50"/>
      <c r="Y691" s="50"/>
      <c r="Z691" s="50"/>
      <c r="AA691" s="52"/>
      <c r="AB691" s="52"/>
      <c r="AC691" s="52"/>
      <c r="AD691" s="231"/>
      <c r="AE691" s="49"/>
      <c r="AF691" s="84"/>
      <c r="AG691" s="49"/>
      <c r="AH691" s="49"/>
      <c r="AI691" s="49"/>
      <c r="AJ691" s="226"/>
      <c r="AK691" s="49"/>
      <c r="AL691" s="113">
        <f t="shared" si="298"/>
        <v>0</v>
      </c>
      <c r="AM691" s="113">
        <f t="shared" si="297"/>
        <v>0</v>
      </c>
      <c r="AN691" s="218"/>
      <c r="AO691" s="49"/>
      <c r="AP691" s="49"/>
      <c r="AQ691" s="84" t="str">
        <f>UPPER(RIGHT(Journal_Live[[#This Row],[DURATION ]]))</f>
        <v/>
      </c>
      <c r="AR691" s="49"/>
      <c r="AS691" s="55"/>
      <c r="AT691" s="55"/>
      <c r="AU691" s="54"/>
      <c r="AV691" s="56"/>
      <c r="AW691" s="57"/>
      <c r="AX691" s="153" t="s">
        <v>2219</v>
      </c>
      <c r="AY691" s="153"/>
      <c r="AZ691" s="153"/>
      <c r="BA691" s="153"/>
      <c r="BB691" s="153"/>
      <c r="BC691" s="153"/>
      <c r="BD691" s="151"/>
      <c r="BE691" s="152"/>
      <c r="BF691" s="151"/>
      <c r="BG691" s="94">
        <f>SUM($AV$4:AV691)</f>
        <v>3634.6940742930087</v>
      </c>
      <c r="BH691" s="95">
        <f>SUM($AU$4:AU691)</f>
        <v>39010.639220779361</v>
      </c>
      <c r="BI691" s="80">
        <f>SUMIFS($AU$3:AU709,$Q$3:Q709,"F")</f>
        <v>27533.293506493508</v>
      </c>
      <c r="BJ691" s="80">
        <f>SUMIFS($AU$3:AU709,$Q$3:Q709,"S")</f>
        <v>17842.285714285714</v>
      </c>
      <c r="BK691" s="87">
        <f>SUMIFS($AU$3:AU709,$P$3:P709,"W")</f>
        <v>25576.759220779561</v>
      </c>
      <c r="BL691" s="87">
        <f>SUMIFS($AU$3:AU709,$P$3:P709,"R")</f>
        <v>13226.00000000016</v>
      </c>
      <c r="BM691" s="87">
        <f>SUMIFS($AU$3:AU709,$AQ$3:AQ709,"M")</f>
        <v>9567.1799999991417</v>
      </c>
      <c r="BN691" s="87">
        <f>SUMIFS($AU$3:AU709,$AQ$3:AQ709,"H")</f>
        <v>12363.200000000876</v>
      </c>
      <c r="BO691" s="87">
        <f>SUMIFS($AU$3:AU709,$AQ$3:AQ709,"D")</f>
        <v>2574.9928571427413</v>
      </c>
      <c r="BP691" s="87">
        <f>SUMIFS($AS$3:AS1309,$AO$3:AO1309,"W")</f>
        <v>0</v>
      </c>
      <c r="BQ691" s="87">
        <f>SUMIFS($AU$3:AU709,$Q$3:Q709,"O")</f>
        <v>-5848.9399999998504</v>
      </c>
      <c r="BR691" s="87">
        <f>SUMIFS($AU$3:AU709,$AA$3:AA709,"*")</f>
        <v>31711.122077921998</v>
      </c>
      <c r="BS691" s="87">
        <f>SUMIFS($AU$3:AU709,$AB$3:AB709,"*")</f>
        <v>12623.860000000042</v>
      </c>
      <c r="BT691" s="87">
        <f>SUMIFS($AU$3:AU709,$AC$3:AC709,"*")</f>
        <v>32573.293506493676</v>
      </c>
      <c r="BU691" s="87">
        <f>SUMIFS($AU$3:AU709,$AA$3:AA709,"*",$AB$3:AB709,"*")</f>
        <v>7663.9999999998236</v>
      </c>
      <c r="BV691" s="87">
        <f>SUMIFS($AU$3:AU709,$AA$3:AA709,"*",$AC$3:AC709,"*")</f>
        <v>24153.636363636531</v>
      </c>
      <c r="BW691" s="87">
        <f>SUMIFS($AU$3:AU709,$AB$3:AB709,"*",$AC$3:AC709,"*")</f>
        <v>9360</v>
      </c>
      <c r="BX691" s="87">
        <f>SUMIFS($AV$3:AV709,$Q$3:Q709,"F")</f>
        <v>400.72914667325267</v>
      </c>
      <c r="BY691" s="87">
        <f>SUMIFS($AV$3:AV709,$Q$3:Q709,"S")</f>
        <v>706.32562762001328</v>
      </c>
      <c r="BZ691" s="87">
        <f>SUMIFS($AV$3:AV709,$Q$3:Q709,"O")</f>
        <v>297.55929999973682</v>
      </c>
    </row>
    <row r="692" spans="1:78" ht="15.75" customHeight="1">
      <c r="A692" s="45" t="s">
        <v>1819</v>
      </c>
      <c r="B692" s="59"/>
      <c r="C692" s="46"/>
      <c r="D692" s="46"/>
      <c r="E692" s="66"/>
      <c r="F692" s="47"/>
      <c r="G692" s="48"/>
      <c r="H692" s="49"/>
      <c r="I692" s="49"/>
      <c r="J692" s="49"/>
      <c r="K692" s="50"/>
      <c r="L692" s="49"/>
      <c r="M692" s="49"/>
      <c r="N692" s="49"/>
      <c r="O692" s="50"/>
      <c r="P692" s="50"/>
      <c r="Q692" s="50"/>
      <c r="R692" s="50"/>
      <c r="S692" s="50"/>
      <c r="T692" s="50"/>
      <c r="U692" s="50"/>
      <c r="V692" s="50"/>
      <c r="W692" s="50"/>
      <c r="X692" s="50"/>
      <c r="Y692" s="50"/>
      <c r="Z692" s="50"/>
      <c r="AA692" s="52"/>
      <c r="AB692" s="52"/>
      <c r="AC692" s="52"/>
      <c r="AD692" s="231"/>
      <c r="AE692" s="49"/>
      <c r="AF692" s="84"/>
      <c r="AG692" s="49"/>
      <c r="AH692" s="49"/>
      <c r="AI692" s="49"/>
      <c r="AJ692" s="226"/>
      <c r="AK692" s="49"/>
      <c r="AL692" s="113">
        <f t="shared" si="298"/>
        <v>0</v>
      </c>
      <c r="AM692" s="113">
        <f t="shared" si="297"/>
        <v>0</v>
      </c>
      <c r="AN692" s="218"/>
      <c r="AO692" s="49"/>
      <c r="AP692" s="49"/>
      <c r="AQ692" s="84" t="str">
        <f>UPPER(RIGHT(Journal_Live[[#This Row],[DURATION ]]))</f>
        <v/>
      </c>
      <c r="AR692" s="49"/>
      <c r="AS692" s="55"/>
      <c r="AT692" s="55"/>
      <c r="AU692" s="54"/>
      <c r="AV692" s="56"/>
      <c r="AW692" s="57"/>
      <c r="AX692" s="153"/>
      <c r="AY692" s="153"/>
      <c r="AZ692" s="153"/>
      <c r="BA692" s="153"/>
      <c r="BB692" s="153"/>
      <c r="BC692" s="153"/>
      <c r="BD692" s="151"/>
      <c r="BE692" s="152"/>
      <c r="BF692" s="151"/>
      <c r="BG692" s="94">
        <f>SUM($AV$4:AV692)</f>
        <v>3634.6940742930087</v>
      </c>
      <c r="BH692" s="95">
        <f>SUM($AU$4:AU692)</f>
        <v>39010.639220779361</v>
      </c>
      <c r="BI692" s="80">
        <f>SUMIFS($AU$3:AU693,$Q$3:Q693,"F")</f>
        <v>25293.293506493508</v>
      </c>
      <c r="BJ692" s="80">
        <f>SUMIFS($AU$3:AU693,$Q$3:Q693,"S")</f>
        <v>17842.285714285714</v>
      </c>
      <c r="BK692" s="87">
        <f>SUMIFS($AU$3:AU693,$P$3:P693,"W")</f>
        <v>23336.759220779561</v>
      </c>
      <c r="BL692" s="87">
        <f>SUMIFS($AU$3:AU693,$P$3:P693,"R")</f>
        <v>13226.00000000016</v>
      </c>
      <c r="BM692" s="87">
        <f>SUMIFS($AU$3:AU693,$AQ$3:AQ693,"M")</f>
        <v>9567.1799999991417</v>
      </c>
      <c r="BN692" s="87">
        <f>SUMIFS($AU$3:AU693,$AQ$3:AQ693,"H")</f>
        <v>12363.200000000876</v>
      </c>
      <c r="BO692" s="87">
        <f>SUMIFS($AU$3:AU693,$AQ$3:AQ693,"D")</f>
        <v>334.99285714273992</v>
      </c>
      <c r="BP692" s="87">
        <f>SUMIFS($AS$3:AS1295,$AO$3:AO1295,"W")</f>
        <v>0</v>
      </c>
      <c r="BQ692" s="87">
        <f>SUMIFS($AU$3:AU693,$Q$3:Q693,"O")</f>
        <v>-5848.9399999998504</v>
      </c>
      <c r="BR692" s="87">
        <f>SUMIFS($AU$3:AU693,$AA$3:AA693,"*")</f>
        <v>29471.122077921998</v>
      </c>
      <c r="BS692" s="87">
        <f>SUMIFS($AU$3:AU693,$AB$3:AB693,"*")</f>
        <v>10383.860000000041</v>
      </c>
      <c r="BT692" s="87">
        <f>SUMIFS($AU$3:AU693,$AC$3:AC693,"*")</f>
        <v>30333.293506493676</v>
      </c>
      <c r="BU692" s="87">
        <f>SUMIFS($AU$3:AU693,$AA$3:AA693,"*",$AB$3:AB693,"*")</f>
        <v>5423.9999999998217</v>
      </c>
      <c r="BV692" s="87">
        <f>SUMIFS($AU$3:AU693,$AA$3:AA693,"*",$AC$3:AC693,"*")</f>
        <v>21913.636363636531</v>
      </c>
      <c r="BW692" s="87">
        <f>SUMIFS($AU$3:AU693,$AB$3:AB693,"*",$AC$3:AC693,"*")</f>
        <v>7119.9999999999982</v>
      </c>
      <c r="BX692" s="87">
        <f>SUMIFS($AV$3:AV693,$Q$3:Q693,"F")</f>
        <v>382.80914667325266</v>
      </c>
      <c r="BY692" s="87">
        <f>SUMIFS($AV$3:AV693,$Q$3:Q693,"S")</f>
        <v>706.32562762001328</v>
      </c>
      <c r="BZ692" s="87">
        <f>SUMIFS($AV$3:AV693,$Q$3:Q693,"O")</f>
        <v>297.55929999973682</v>
      </c>
    </row>
    <row r="693" spans="1:78" ht="15.75" customHeight="1">
      <c r="A693" s="45" t="s">
        <v>1819</v>
      </c>
      <c r="B693" s="59"/>
      <c r="C693" s="46"/>
      <c r="D693" s="46"/>
      <c r="E693" s="66"/>
      <c r="F693" s="47"/>
      <c r="G693" s="48"/>
      <c r="H693" s="49"/>
      <c r="I693" s="49"/>
      <c r="J693" s="49"/>
      <c r="K693" s="50"/>
      <c r="L693" s="49"/>
      <c r="M693" s="49"/>
      <c r="N693" s="49"/>
      <c r="O693" s="50"/>
      <c r="P693" s="50"/>
      <c r="Q693" s="50"/>
      <c r="R693" s="50"/>
      <c r="S693" s="50"/>
      <c r="T693" s="50"/>
      <c r="U693" s="50"/>
      <c r="V693" s="50"/>
      <c r="W693" s="50"/>
      <c r="X693" s="50"/>
      <c r="Y693" s="50"/>
      <c r="Z693" s="50"/>
      <c r="AA693" s="52"/>
      <c r="AB693" s="52"/>
      <c r="AC693" s="52"/>
      <c r="AD693" s="231"/>
      <c r="AE693" s="49"/>
      <c r="AF693" s="84"/>
      <c r="AG693" s="49"/>
      <c r="AH693" s="49"/>
      <c r="AI693" s="49"/>
      <c r="AJ693" s="226"/>
      <c r="AK693" s="49"/>
      <c r="AL693" s="113">
        <f t="shared" si="298"/>
        <v>0</v>
      </c>
      <c r="AM693" s="113">
        <f t="shared" si="297"/>
        <v>0</v>
      </c>
      <c r="AN693" s="218"/>
      <c r="AO693" s="49"/>
      <c r="AP693" s="49"/>
      <c r="AQ693" s="84" t="str">
        <f>UPPER(RIGHT(Journal_Live[[#This Row],[DURATION ]]))</f>
        <v/>
      </c>
      <c r="AR693" s="49"/>
      <c r="AS693" s="55"/>
      <c r="AT693" s="55"/>
      <c r="AU693" s="54"/>
      <c r="AV693" s="56"/>
      <c r="AW693" s="57"/>
      <c r="AX693" s="153" t="s">
        <v>2031</v>
      </c>
      <c r="AY693" s="153" t="s">
        <v>2181</v>
      </c>
      <c r="AZ693" s="153" t="s">
        <v>1709</v>
      </c>
      <c r="BA693" s="153" t="s">
        <v>2182</v>
      </c>
      <c r="BB693" s="153"/>
      <c r="BC693" s="153"/>
      <c r="BD693" s="151"/>
      <c r="BE693" s="152"/>
      <c r="BF693" s="151"/>
      <c r="BG693" s="94">
        <f>SUM($AV$4:AV693)</f>
        <v>3634.6940742930087</v>
      </c>
      <c r="BH693" s="95">
        <f>SUM($AU$4:AU693)</f>
        <v>39010.639220779361</v>
      </c>
      <c r="BI693" s="80">
        <f>SUMIFS($AU$3:AU694,$Q$3:Q694,"F")</f>
        <v>25293.293506493508</v>
      </c>
      <c r="BJ693" s="80">
        <f>SUMIFS($AU$3:AU694,$Q$3:Q694,"S")</f>
        <v>17842.285714285714</v>
      </c>
      <c r="BK693" s="87">
        <f>SUMIFS($AU$3:AU694,$P$3:P694,"W")</f>
        <v>23336.759220779561</v>
      </c>
      <c r="BL693" s="87">
        <f>SUMIFS($AU$3:AU694,$P$3:P694,"R")</f>
        <v>13226.00000000016</v>
      </c>
      <c r="BM693" s="87">
        <f>SUMIFS($AU$3:AU694,$AQ$3:AQ694,"M")</f>
        <v>9567.1799999991417</v>
      </c>
      <c r="BN693" s="87">
        <f>SUMIFS($AU$3:AU694,$AQ$3:AQ694,"H")</f>
        <v>12363.200000000876</v>
      </c>
      <c r="BO693" s="87">
        <f>SUMIFS($AU$3:AU694,$AQ$3:AQ694,"D")</f>
        <v>334.99285714273992</v>
      </c>
      <c r="BP693" s="87">
        <f>SUMIFS($AS$3:AS1296,$AO$3:AO1296,"W")</f>
        <v>0</v>
      </c>
      <c r="BQ693" s="87">
        <f>SUMIFS($AU$3:AU694,$Q$3:Q694,"O")</f>
        <v>-5848.9399999998504</v>
      </c>
      <c r="BR693" s="87">
        <f>SUMIFS($AU$3:AU694,$AA$3:AA694,"*")</f>
        <v>29471.122077921998</v>
      </c>
      <c r="BS693" s="87">
        <f>SUMIFS($AU$3:AU694,$AB$3:AB694,"*")</f>
        <v>10383.860000000041</v>
      </c>
      <c r="BT693" s="87">
        <f>SUMIFS($AU$3:AU694,$AC$3:AC694,"*")</f>
        <v>30333.293506493676</v>
      </c>
      <c r="BU693" s="87">
        <f>SUMIFS($AU$3:AU694,$AA$3:AA694,"*",$AB$3:AB694,"*")</f>
        <v>5423.9999999998217</v>
      </c>
      <c r="BV693" s="87">
        <f>SUMIFS($AU$3:AU694,$AA$3:AA694,"*",$AC$3:AC694,"*")</f>
        <v>21913.636363636531</v>
      </c>
      <c r="BW693" s="87">
        <f>SUMIFS($AU$3:AU694,$AB$3:AB694,"*",$AC$3:AC694,"*")</f>
        <v>7119.9999999999982</v>
      </c>
      <c r="BX693" s="87">
        <f>SUMIFS($AV$3:AV694,$Q$3:Q694,"F")</f>
        <v>382.80914667325266</v>
      </c>
      <c r="BY693" s="87">
        <f>SUMIFS($AV$3:AV694,$Q$3:Q694,"S")</f>
        <v>706.32562762001328</v>
      </c>
      <c r="BZ693" s="87">
        <f>SUMIFS($AV$3:AV694,$Q$3:Q694,"O")</f>
        <v>297.55929999973682</v>
      </c>
    </row>
    <row r="694" spans="1:78" ht="15.75" customHeight="1">
      <c r="A694" s="45" t="s">
        <v>1819</v>
      </c>
      <c r="B694" s="59"/>
      <c r="C694" s="46"/>
      <c r="D694" s="46"/>
      <c r="E694" s="66"/>
      <c r="F694" s="47"/>
      <c r="G694" s="48"/>
      <c r="H694" s="49"/>
      <c r="I694" s="49"/>
      <c r="J694" s="49"/>
      <c r="K694" s="50"/>
      <c r="L694" s="49"/>
      <c r="M694" s="49"/>
      <c r="N694" s="49"/>
      <c r="O694" s="50"/>
      <c r="P694" s="50"/>
      <c r="Q694" s="50"/>
      <c r="R694" s="50"/>
      <c r="S694" s="50"/>
      <c r="T694" s="50"/>
      <c r="U694" s="50"/>
      <c r="V694" s="50"/>
      <c r="W694" s="50"/>
      <c r="X694" s="50"/>
      <c r="Y694" s="50"/>
      <c r="Z694" s="50"/>
      <c r="AA694" s="52"/>
      <c r="AB694" s="52"/>
      <c r="AC694" s="52"/>
      <c r="AD694" s="231"/>
      <c r="AE694" s="49"/>
      <c r="AF694" s="84"/>
      <c r="AG694" s="49"/>
      <c r="AH694" s="49"/>
      <c r="AI694" s="49"/>
      <c r="AJ694" s="226"/>
      <c r="AK694" s="49"/>
      <c r="AL694" s="113">
        <f t="shared" si="298"/>
        <v>0</v>
      </c>
      <c r="AM694" s="113">
        <f t="shared" si="297"/>
        <v>0</v>
      </c>
      <c r="AN694" s="218"/>
      <c r="AO694" s="49"/>
      <c r="AP694" s="49"/>
      <c r="AQ694" s="84" t="str">
        <f>UPPER(RIGHT(Journal_Live[[#This Row],[DURATION ]]))</f>
        <v/>
      </c>
      <c r="AR694" s="49"/>
      <c r="AS694" s="55"/>
      <c r="AT694" s="55"/>
      <c r="AU694" s="54"/>
      <c r="AV694" s="56"/>
      <c r="AW694" s="57"/>
      <c r="AX694" s="153" t="s">
        <v>2220</v>
      </c>
      <c r="AY694" s="153" t="s">
        <v>2221</v>
      </c>
      <c r="AZ694" s="151" t="s">
        <v>2222</v>
      </c>
      <c r="BA694" s="153" t="s">
        <v>2223</v>
      </c>
      <c r="BB694" s="151" t="s">
        <v>2224</v>
      </c>
      <c r="BC694" s="153" t="s">
        <v>2225</v>
      </c>
      <c r="BD694" s="151" t="s">
        <v>2226</v>
      </c>
      <c r="BE694" s="152"/>
      <c r="BF694" s="151"/>
      <c r="BG694" s="94">
        <f>SUM($AV$4:AV694)</f>
        <v>3634.6940742930087</v>
      </c>
      <c r="BH694" s="95">
        <f>SUM($AU$4:AU694)</f>
        <v>39010.639220779361</v>
      </c>
      <c r="BI694" s="80">
        <f>SUMIFS($AU$3:AU695,$Q$3:Q695,"F")</f>
        <v>25293.293506493508</v>
      </c>
      <c r="BJ694" s="80">
        <f>SUMIFS($AU$3:AU695,$Q$3:Q695,"S")</f>
        <v>17842.285714285714</v>
      </c>
      <c r="BK694" s="87">
        <f>SUMIFS($AU$3:AU695,$P$3:P695,"W")</f>
        <v>23336.759220779561</v>
      </c>
      <c r="BL694" s="87">
        <f>SUMIFS($AU$3:AU695,$P$3:P695,"R")</f>
        <v>13226.00000000016</v>
      </c>
      <c r="BM694" s="87">
        <f>SUMIFS($AU$3:AU695,$AQ$3:AQ695,"M")</f>
        <v>9567.1799999991417</v>
      </c>
      <c r="BN694" s="87">
        <f>SUMIFS($AU$3:AU695,$AQ$3:AQ695,"H")</f>
        <v>12363.200000000876</v>
      </c>
      <c r="BO694" s="87">
        <f>SUMIFS($AU$3:AU695,$AQ$3:AQ695,"D")</f>
        <v>334.99285714273992</v>
      </c>
      <c r="BP694" s="87">
        <f>SUMIFS($AS$3:AS1297,$AO$3:AO1297,"W")</f>
        <v>0</v>
      </c>
      <c r="BQ694" s="87">
        <f>SUMIFS($AU$3:AU695,$Q$3:Q695,"O")</f>
        <v>-5848.9399999998504</v>
      </c>
      <c r="BR694" s="87">
        <f>SUMIFS($AU$3:AU695,$AA$3:AA695,"*")</f>
        <v>29471.122077921998</v>
      </c>
      <c r="BS694" s="87">
        <f>SUMIFS($AU$3:AU695,$AB$3:AB695,"*")</f>
        <v>10383.860000000041</v>
      </c>
      <c r="BT694" s="87">
        <f>SUMIFS($AU$3:AU695,$AC$3:AC695,"*")</f>
        <v>30333.293506493676</v>
      </c>
      <c r="BU694" s="87">
        <f>SUMIFS($AU$3:AU695,$AA$3:AA695,"*",$AB$3:AB695,"*")</f>
        <v>5423.9999999998217</v>
      </c>
      <c r="BV694" s="87">
        <f>SUMIFS($AU$3:AU695,$AA$3:AA695,"*",$AC$3:AC695,"*")</f>
        <v>21913.636363636531</v>
      </c>
      <c r="BW694" s="87">
        <f>SUMIFS($AU$3:AU695,$AB$3:AB695,"*",$AC$3:AC695,"*")</f>
        <v>7119.9999999999982</v>
      </c>
      <c r="BX694" s="87">
        <f>SUMIFS($AV$3:AV695,$Q$3:Q695,"F")</f>
        <v>382.80914667325266</v>
      </c>
      <c r="BY694" s="87">
        <f>SUMIFS($AV$3:AV695,$Q$3:Q695,"S")</f>
        <v>706.32562762001328</v>
      </c>
      <c r="BZ694" s="87">
        <f>SUMIFS($AV$3:AV695,$Q$3:Q695,"O")</f>
        <v>297.55929999973682</v>
      </c>
    </row>
    <row r="695" spans="1:78" ht="15.75" customHeight="1">
      <c r="A695" s="45" t="s">
        <v>1819</v>
      </c>
      <c r="B695" s="59"/>
      <c r="C695" s="46"/>
      <c r="D695" s="46"/>
      <c r="E695" s="66"/>
      <c r="F695" s="47"/>
      <c r="G695" s="48"/>
      <c r="H695" s="49"/>
      <c r="I695" s="49"/>
      <c r="J695" s="49"/>
      <c r="K695" s="50"/>
      <c r="L695" s="49"/>
      <c r="M695" s="49"/>
      <c r="N695" s="49"/>
      <c r="O695" s="50"/>
      <c r="P695" s="50"/>
      <c r="Q695" s="50"/>
      <c r="R695" s="50"/>
      <c r="S695" s="50"/>
      <c r="T695" s="50"/>
      <c r="U695" s="50"/>
      <c r="V695" s="50"/>
      <c r="W695" s="50"/>
      <c r="X695" s="50"/>
      <c r="Y695" s="50"/>
      <c r="Z695" s="50"/>
      <c r="AA695" s="52"/>
      <c r="AB695" s="52"/>
      <c r="AC695" s="52"/>
      <c r="AD695" s="231"/>
      <c r="AE695" s="49"/>
      <c r="AF695" s="84"/>
      <c r="AG695" s="49"/>
      <c r="AH695" s="49"/>
      <c r="AI695" s="49"/>
      <c r="AJ695" s="226"/>
      <c r="AK695" s="49"/>
      <c r="AL695" s="113">
        <f t="shared" si="298"/>
        <v>0</v>
      </c>
      <c r="AM695" s="113">
        <f t="shared" si="297"/>
        <v>0</v>
      </c>
      <c r="AN695" s="218"/>
      <c r="AO695" s="49"/>
      <c r="AP695" s="49"/>
      <c r="AQ695" s="84" t="str">
        <f>UPPER(RIGHT(Journal_Live[[#This Row],[DURATION ]]))</f>
        <v/>
      </c>
      <c r="AR695" s="49"/>
      <c r="AS695" s="55"/>
      <c r="AT695" s="55"/>
      <c r="AU695" s="54"/>
      <c r="AV695" s="56"/>
      <c r="AW695" s="57"/>
      <c r="AX695" s="151" t="s">
        <v>2226</v>
      </c>
      <c r="AY695" s="151" t="s">
        <v>2227</v>
      </c>
      <c r="AZ695" s="153"/>
      <c r="BA695" s="153"/>
      <c r="BB695" s="153"/>
      <c r="BC695" s="153"/>
      <c r="BD695" s="151"/>
      <c r="BE695" s="152"/>
      <c r="BF695" s="151"/>
      <c r="BG695" s="94">
        <f>SUM($AV$4:AV695)</f>
        <v>3634.6940742930087</v>
      </c>
      <c r="BH695" s="95">
        <f>SUM($AU$4:AU695)</f>
        <v>39010.639220779361</v>
      </c>
      <c r="BI695" s="80">
        <f>SUMIFS($AU$3:AU696,$Q$3:Q696,"F")</f>
        <v>25293.293506493508</v>
      </c>
      <c r="BJ695" s="80">
        <f>SUMIFS($AU$3:AU696,$Q$3:Q696,"S")</f>
        <v>17842.285714285714</v>
      </c>
      <c r="BK695" s="87">
        <f>SUMIFS($AU$3:AU696,$P$3:P696,"W")</f>
        <v>23336.759220779561</v>
      </c>
      <c r="BL695" s="87">
        <f>SUMIFS($AU$3:AU696,$P$3:P696,"R")</f>
        <v>13226.00000000016</v>
      </c>
      <c r="BM695" s="87">
        <f>SUMIFS($AU$3:AU696,$AQ$3:AQ696,"M")</f>
        <v>9567.1799999991417</v>
      </c>
      <c r="BN695" s="87">
        <f>SUMIFS($AU$3:AU696,$AQ$3:AQ696,"H")</f>
        <v>12363.200000000876</v>
      </c>
      <c r="BO695" s="87">
        <f>SUMIFS($AU$3:AU696,$AQ$3:AQ696,"D")</f>
        <v>334.99285714273992</v>
      </c>
      <c r="BP695" s="87">
        <f>SUMIFS($AS$3:AS1298,$AO$3:AO1298,"W")</f>
        <v>0</v>
      </c>
      <c r="BQ695" s="87">
        <f>SUMIFS($AU$3:AU696,$Q$3:Q696,"O")</f>
        <v>-5848.9399999998504</v>
      </c>
      <c r="BR695" s="87">
        <f>SUMIFS($AU$3:AU696,$AA$3:AA696,"*")</f>
        <v>29471.122077921998</v>
      </c>
      <c r="BS695" s="87">
        <f>SUMIFS($AU$3:AU696,$AB$3:AB696,"*")</f>
        <v>10383.860000000041</v>
      </c>
      <c r="BT695" s="87">
        <f>SUMIFS($AU$3:AU696,$AC$3:AC696,"*")</f>
        <v>30333.293506493676</v>
      </c>
      <c r="BU695" s="87">
        <f>SUMIFS($AU$3:AU696,$AA$3:AA696,"*",$AB$3:AB696,"*")</f>
        <v>5423.9999999998217</v>
      </c>
      <c r="BV695" s="87">
        <f>SUMIFS($AU$3:AU696,$AA$3:AA696,"*",$AC$3:AC696,"*")</f>
        <v>21913.636363636531</v>
      </c>
      <c r="BW695" s="87">
        <f>SUMIFS($AU$3:AU696,$AB$3:AB696,"*",$AC$3:AC696,"*")</f>
        <v>7119.9999999999982</v>
      </c>
      <c r="BX695" s="87">
        <f>SUMIFS($AV$3:AV696,$Q$3:Q696,"F")</f>
        <v>382.80914667325266</v>
      </c>
      <c r="BY695" s="87">
        <f>SUMIFS($AV$3:AV696,$Q$3:Q696,"S")</f>
        <v>706.32562762001328</v>
      </c>
      <c r="BZ695" s="87">
        <f>SUMIFS($AV$3:AV696,$Q$3:Q696,"O")</f>
        <v>297.55929999973682</v>
      </c>
    </row>
    <row r="696" spans="1:78" ht="15.75" customHeight="1">
      <c r="A696" s="45" t="s">
        <v>1819</v>
      </c>
      <c r="B696" s="59"/>
      <c r="C696" s="46"/>
      <c r="D696" s="46"/>
      <c r="E696" s="66"/>
      <c r="F696" s="47"/>
      <c r="G696" s="48"/>
      <c r="H696" s="49"/>
      <c r="I696" s="49"/>
      <c r="J696" s="49"/>
      <c r="K696" s="50"/>
      <c r="L696" s="49"/>
      <c r="M696" s="49"/>
      <c r="N696" s="49"/>
      <c r="O696" s="50"/>
      <c r="P696" s="50"/>
      <c r="Q696" s="50"/>
      <c r="R696" s="50"/>
      <c r="S696" s="50"/>
      <c r="T696" s="50"/>
      <c r="U696" s="50"/>
      <c r="V696" s="50"/>
      <c r="W696" s="50"/>
      <c r="X696" s="50"/>
      <c r="Y696" s="50"/>
      <c r="Z696" s="50"/>
      <c r="AA696" s="52"/>
      <c r="AB696" s="52"/>
      <c r="AC696" s="52"/>
      <c r="AD696" s="231"/>
      <c r="AE696" s="49"/>
      <c r="AF696" s="84"/>
      <c r="AG696" s="49"/>
      <c r="AH696" s="49"/>
      <c r="AI696" s="49"/>
      <c r="AJ696" s="226"/>
      <c r="AK696" s="49"/>
      <c r="AL696" s="113">
        <f t="shared" si="298"/>
        <v>0</v>
      </c>
      <c r="AM696" s="113">
        <f t="shared" ref="AM696:AM727" si="301">AL696*(R696-S696)</f>
        <v>0</v>
      </c>
      <c r="AN696" s="218"/>
      <c r="AO696" s="49"/>
      <c r="AP696" s="49"/>
      <c r="AQ696" s="84" t="str">
        <f>UPPER(RIGHT(Journal_Live[[#This Row],[DURATION ]]))</f>
        <v/>
      </c>
      <c r="AR696" s="49"/>
      <c r="AS696" s="55"/>
      <c r="AT696" s="55"/>
      <c r="AU696" s="54"/>
      <c r="AV696" s="56"/>
      <c r="AW696" s="57"/>
      <c r="AX696" s="182"/>
      <c r="AY696" s="153"/>
      <c r="AZ696" s="153"/>
      <c r="BA696" s="153"/>
      <c r="BB696" s="153"/>
      <c r="BC696" s="153"/>
      <c r="BD696" s="151"/>
      <c r="BE696" s="152"/>
      <c r="BF696" s="151"/>
      <c r="BG696" s="94">
        <f>SUM($AV$4:AV696)</f>
        <v>3634.6940742930087</v>
      </c>
      <c r="BH696" s="95">
        <f>SUM($AU$4:AU696)</f>
        <v>39010.639220779361</v>
      </c>
      <c r="BI696" s="80">
        <f>SUMIFS($AU$3:AU697,$Q$3:Q697,"F")</f>
        <v>25293.293506493508</v>
      </c>
      <c r="BJ696" s="80">
        <f>SUMIFS($AU$3:AU697,$Q$3:Q697,"S")</f>
        <v>17842.285714285714</v>
      </c>
      <c r="BK696" s="87">
        <f>SUMIFS($AU$3:AU697,$P$3:P697,"W")</f>
        <v>23336.759220779561</v>
      </c>
      <c r="BL696" s="87">
        <f>SUMIFS($AU$3:AU697,$P$3:P697,"R")</f>
        <v>13226.00000000016</v>
      </c>
      <c r="BM696" s="87">
        <f>SUMIFS($AU$3:AU697,$AQ$3:AQ697,"M")</f>
        <v>9567.1799999991417</v>
      </c>
      <c r="BN696" s="87">
        <f>SUMIFS($AU$3:AU697,$AQ$3:AQ697,"H")</f>
        <v>12363.200000000876</v>
      </c>
      <c r="BO696" s="87">
        <f>SUMIFS($AU$3:AU697,$AQ$3:AQ697,"D")</f>
        <v>334.99285714273992</v>
      </c>
      <c r="BP696" s="87">
        <f>SUMIFS($AS$3:AS1299,$AO$3:AO1299,"W")</f>
        <v>0</v>
      </c>
      <c r="BQ696" s="87">
        <f>SUMIFS($AU$3:AU697,$Q$3:Q697,"O")</f>
        <v>-5848.9399999998504</v>
      </c>
      <c r="BR696" s="87">
        <f>SUMIFS($AU$3:AU697,$AA$3:AA697,"*")</f>
        <v>29471.122077921998</v>
      </c>
      <c r="BS696" s="87">
        <f>SUMIFS($AU$3:AU697,$AB$3:AB697,"*")</f>
        <v>10383.860000000041</v>
      </c>
      <c r="BT696" s="87">
        <f>SUMIFS($AU$3:AU697,$AC$3:AC697,"*")</f>
        <v>30333.293506493676</v>
      </c>
      <c r="BU696" s="87">
        <f>SUMIFS($AU$3:AU697,$AA$3:AA697,"*",$AB$3:AB697,"*")</f>
        <v>5423.9999999998217</v>
      </c>
      <c r="BV696" s="87">
        <f>SUMIFS($AU$3:AU697,$AA$3:AA697,"*",$AC$3:AC697,"*")</f>
        <v>21913.636363636531</v>
      </c>
      <c r="BW696" s="87">
        <f>SUMIFS($AU$3:AU697,$AB$3:AB697,"*",$AC$3:AC697,"*")</f>
        <v>7119.9999999999982</v>
      </c>
      <c r="BX696" s="87">
        <f>SUMIFS($AV$3:AV697,$Q$3:Q697,"F")</f>
        <v>382.80914667325266</v>
      </c>
      <c r="BY696" s="87">
        <f>SUMIFS($AV$3:AV697,$Q$3:Q697,"S")</f>
        <v>706.32562762001328</v>
      </c>
      <c r="BZ696" s="87">
        <f>SUMIFS($AV$3:AV697,$Q$3:Q697,"O")</f>
        <v>297.55929999973682</v>
      </c>
    </row>
    <row r="697" spans="1:78" ht="15.75" customHeight="1">
      <c r="A697" s="45" t="s">
        <v>1819</v>
      </c>
      <c r="B697" s="59"/>
      <c r="C697" s="46"/>
      <c r="D697" s="46"/>
      <c r="E697" s="66"/>
      <c r="F697" s="47"/>
      <c r="G697" s="48"/>
      <c r="H697" s="49"/>
      <c r="I697" s="49"/>
      <c r="J697" s="49"/>
      <c r="K697" s="50"/>
      <c r="L697" s="49"/>
      <c r="M697" s="49"/>
      <c r="N697" s="49"/>
      <c r="O697" s="50"/>
      <c r="P697" s="50"/>
      <c r="Q697" s="50"/>
      <c r="R697" s="50"/>
      <c r="S697" s="50"/>
      <c r="T697" s="50"/>
      <c r="U697" s="50"/>
      <c r="V697" s="50"/>
      <c r="W697" s="50"/>
      <c r="X697" s="50"/>
      <c r="Y697" s="50"/>
      <c r="Z697" s="50"/>
      <c r="AA697" s="52"/>
      <c r="AB697" s="52"/>
      <c r="AC697" s="52"/>
      <c r="AD697" s="231"/>
      <c r="AE697" s="49"/>
      <c r="AF697" s="84"/>
      <c r="AG697" s="49"/>
      <c r="AH697" s="49"/>
      <c r="AI697" s="49"/>
      <c r="AJ697" s="226"/>
      <c r="AK697" s="49"/>
      <c r="AL697" s="113">
        <f t="shared" si="298"/>
        <v>0</v>
      </c>
      <c r="AM697" s="113">
        <f t="shared" si="301"/>
        <v>0</v>
      </c>
      <c r="AN697" s="218"/>
      <c r="AO697" s="49"/>
      <c r="AP697" s="49"/>
      <c r="AQ697" s="84" t="str">
        <f>UPPER(RIGHT(Journal_Live[[#This Row],[DURATION ]]))</f>
        <v/>
      </c>
      <c r="AR697" s="49"/>
      <c r="AS697" s="55"/>
      <c r="AT697" s="55"/>
      <c r="AU697" s="54"/>
      <c r="AV697" s="56"/>
      <c r="AW697" s="57"/>
      <c r="AX697" s="182" t="s">
        <v>1398</v>
      </c>
      <c r="AY697" s="151" t="s">
        <v>2228</v>
      </c>
      <c r="AZ697" s="153" t="s">
        <v>2229</v>
      </c>
      <c r="BA697" s="151" t="s">
        <v>2230</v>
      </c>
      <c r="BB697" s="151" t="s">
        <v>2231</v>
      </c>
      <c r="BC697" s="153" t="s">
        <v>2232</v>
      </c>
      <c r="BD697" s="151" t="s">
        <v>2233</v>
      </c>
      <c r="BE697" s="152" t="s">
        <v>2234</v>
      </c>
      <c r="BF697" s="151"/>
      <c r="BG697" s="94">
        <f>SUM($AV$4:AV697)</f>
        <v>3634.6940742930087</v>
      </c>
      <c r="BH697" s="95">
        <f>SUM($AU$4:AU697)</f>
        <v>39010.639220779361</v>
      </c>
      <c r="BI697" s="80">
        <f>SUMIFS($AU$3:AU698,$Q$3:Q698,"F")</f>
        <v>25293.293506493508</v>
      </c>
      <c r="BJ697" s="80">
        <f>SUMIFS($AU$3:AU698,$Q$3:Q698,"S")</f>
        <v>17842.285714285714</v>
      </c>
      <c r="BK697" s="87">
        <f>SUMIFS($AU$3:AU698,$P$3:P698,"W")</f>
        <v>23336.759220779561</v>
      </c>
      <c r="BL697" s="87">
        <f>SUMIFS($AU$3:AU698,$P$3:P698,"R")</f>
        <v>13226.00000000016</v>
      </c>
      <c r="BM697" s="87">
        <f>SUMIFS($AU$3:AU698,$AQ$3:AQ698,"M")</f>
        <v>9567.1799999991417</v>
      </c>
      <c r="BN697" s="87">
        <f>SUMIFS($AU$3:AU698,$AQ$3:AQ698,"H")</f>
        <v>12363.200000000876</v>
      </c>
      <c r="BO697" s="87">
        <f>SUMIFS($AU$3:AU698,$AQ$3:AQ698,"D")</f>
        <v>334.99285714273992</v>
      </c>
      <c r="BP697" s="87">
        <f>SUMIFS($AS$3:AS1300,$AO$3:AO1300,"W")</f>
        <v>0</v>
      </c>
      <c r="BQ697" s="87">
        <f>SUMIFS($AU$3:AU698,$Q$3:Q698,"O")</f>
        <v>-5848.9399999998504</v>
      </c>
      <c r="BR697" s="87">
        <f>SUMIFS($AU$3:AU698,$AA$3:AA698,"*")</f>
        <v>29471.122077921998</v>
      </c>
      <c r="BS697" s="87">
        <f>SUMIFS($AU$3:AU698,$AB$3:AB698,"*")</f>
        <v>10383.860000000041</v>
      </c>
      <c r="BT697" s="87">
        <f>SUMIFS($AU$3:AU698,$AC$3:AC698,"*")</f>
        <v>30333.293506493676</v>
      </c>
      <c r="BU697" s="87">
        <f>SUMIFS($AU$3:AU698,$AA$3:AA698,"*",$AB$3:AB698,"*")</f>
        <v>5423.9999999998217</v>
      </c>
      <c r="BV697" s="87">
        <f>SUMIFS($AU$3:AU698,$AA$3:AA698,"*",$AC$3:AC698,"*")</f>
        <v>21913.636363636531</v>
      </c>
      <c r="BW697" s="87">
        <f>SUMIFS($AU$3:AU698,$AB$3:AB698,"*",$AC$3:AC698,"*")</f>
        <v>7119.9999999999982</v>
      </c>
      <c r="BX697" s="87">
        <f>SUMIFS($AV$3:AV698,$Q$3:Q698,"F")</f>
        <v>382.80914667325266</v>
      </c>
      <c r="BY697" s="87">
        <f>SUMIFS($AV$3:AV698,$Q$3:Q698,"S")</f>
        <v>706.32562762001328</v>
      </c>
      <c r="BZ697" s="87">
        <f>SUMIFS($AV$3:AV698,$Q$3:Q698,"O")</f>
        <v>297.55929999973682</v>
      </c>
    </row>
    <row r="698" spans="1:78" ht="15.75" customHeight="1">
      <c r="A698" s="45" t="s">
        <v>1819</v>
      </c>
      <c r="B698" s="59"/>
      <c r="C698" s="46"/>
      <c r="D698" s="46"/>
      <c r="E698" s="66"/>
      <c r="F698" s="47"/>
      <c r="G698" s="48"/>
      <c r="H698" s="49"/>
      <c r="I698" s="49"/>
      <c r="J698" s="49"/>
      <c r="K698" s="50"/>
      <c r="L698" s="49"/>
      <c r="M698" s="49"/>
      <c r="N698" s="49"/>
      <c r="O698" s="50"/>
      <c r="P698" s="50"/>
      <c r="Q698" s="50"/>
      <c r="R698" s="50"/>
      <c r="S698" s="50"/>
      <c r="T698" s="50"/>
      <c r="U698" s="50"/>
      <c r="V698" s="50"/>
      <c r="W698" s="50"/>
      <c r="X698" s="50"/>
      <c r="Y698" s="50"/>
      <c r="Z698" s="50"/>
      <c r="AA698" s="52"/>
      <c r="AB698" s="52"/>
      <c r="AC698" s="52"/>
      <c r="AD698" s="231"/>
      <c r="AE698" s="49"/>
      <c r="AF698" s="84"/>
      <c r="AG698" s="49"/>
      <c r="AH698" s="49"/>
      <c r="AI698" s="49"/>
      <c r="AJ698" s="226"/>
      <c r="AK698" s="49"/>
      <c r="AL698" s="113">
        <f t="shared" si="298"/>
        <v>0</v>
      </c>
      <c r="AM698" s="113">
        <f t="shared" si="301"/>
        <v>0</v>
      </c>
      <c r="AN698" s="218"/>
      <c r="AO698" s="49"/>
      <c r="AP698" s="49"/>
      <c r="AQ698" s="84" t="str">
        <f>UPPER(RIGHT(Journal_Live[[#This Row],[DURATION ]]))</f>
        <v/>
      </c>
      <c r="AR698" s="49"/>
      <c r="AS698" s="55"/>
      <c r="AT698" s="55"/>
      <c r="AU698" s="54"/>
      <c r="AV698" s="56"/>
      <c r="AW698" s="57"/>
      <c r="AX698" s="151" t="s">
        <v>2235</v>
      </c>
      <c r="AY698" s="151" t="s">
        <v>2236</v>
      </c>
      <c r="AZ698" s="151" t="s">
        <v>2237</v>
      </c>
      <c r="BA698" s="151" t="s">
        <v>2238</v>
      </c>
      <c r="BB698" s="153" t="s">
        <v>2239</v>
      </c>
      <c r="BC698" s="153"/>
      <c r="BD698" s="151"/>
      <c r="BE698" s="152"/>
      <c r="BF698" s="151"/>
      <c r="BG698" s="94">
        <f>SUM($AV$4:AV698)</f>
        <v>3634.6940742930087</v>
      </c>
      <c r="BH698" s="95">
        <f>SUM($AU$4:AU698)</f>
        <v>39010.639220779361</v>
      </c>
      <c r="BI698" s="80">
        <f>SUMIFS($AU$3:AU699,$Q$3:Q699,"F")</f>
        <v>25293.293506493508</v>
      </c>
      <c r="BJ698" s="80">
        <f>SUMIFS($AU$3:AU699,$Q$3:Q699,"S")</f>
        <v>17842.285714285714</v>
      </c>
      <c r="BK698" s="87">
        <f>SUMIFS($AU$3:AU699,$P$3:P699,"W")</f>
        <v>23336.759220779561</v>
      </c>
      <c r="BL698" s="87">
        <f>SUMIFS($AU$3:AU699,$P$3:P699,"R")</f>
        <v>13226.00000000016</v>
      </c>
      <c r="BM698" s="87">
        <f>SUMIFS($AU$3:AU699,$AQ$3:AQ699,"M")</f>
        <v>9567.1799999991417</v>
      </c>
      <c r="BN698" s="87">
        <f>SUMIFS($AU$3:AU699,$AQ$3:AQ699,"H")</f>
        <v>12363.200000000876</v>
      </c>
      <c r="BO698" s="87">
        <f>SUMIFS($AU$3:AU699,$AQ$3:AQ699,"D")</f>
        <v>334.99285714273992</v>
      </c>
      <c r="BP698" s="87">
        <f>SUMIFS($AS$3:AS1301,$AO$3:AO1301,"W")</f>
        <v>0</v>
      </c>
      <c r="BQ698" s="87">
        <f>SUMIFS($AU$3:AU699,$Q$3:Q699,"O")</f>
        <v>-5848.9399999998504</v>
      </c>
      <c r="BR698" s="87">
        <f>SUMIFS($AU$3:AU699,$AA$3:AA699,"*")</f>
        <v>29471.122077921998</v>
      </c>
      <c r="BS698" s="87">
        <f>SUMIFS($AU$3:AU699,$AB$3:AB699,"*")</f>
        <v>10383.860000000041</v>
      </c>
      <c r="BT698" s="87">
        <f>SUMIFS($AU$3:AU699,$AC$3:AC699,"*")</f>
        <v>30333.293506493676</v>
      </c>
      <c r="BU698" s="87">
        <f>SUMIFS($AU$3:AU699,$AA$3:AA699,"*",$AB$3:AB699,"*")</f>
        <v>5423.9999999998217</v>
      </c>
      <c r="BV698" s="87">
        <f>SUMIFS($AU$3:AU699,$AA$3:AA699,"*",$AC$3:AC699,"*")</f>
        <v>21913.636363636531</v>
      </c>
      <c r="BW698" s="87">
        <f>SUMIFS($AU$3:AU699,$AB$3:AB699,"*",$AC$3:AC699,"*")</f>
        <v>7119.9999999999982</v>
      </c>
      <c r="BX698" s="87">
        <f>SUMIFS($AV$3:AV699,$Q$3:Q699,"F")</f>
        <v>382.80914667325266</v>
      </c>
      <c r="BY698" s="87">
        <f>SUMIFS($AV$3:AV699,$Q$3:Q699,"S")</f>
        <v>706.32562762001328</v>
      </c>
      <c r="BZ698" s="87">
        <f>SUMIFS($AV$3:AV699,$Q$3:Q699,"O")</f>
        <v>297.55929999973682</v>
      </c>
    </row>
    <row r="699" spans="1:78" ht="15.75" customHeight="1">
      <c r="A699" s="45" t="s">
        <v>1819</v>
      </c>
      <c r="B699" s="59"/>
      <c r="C699" s="46"/>
      <c r="D699" s="46"/>
      <c r="E699" s="66"/>
      <c r="F699" s="47"/>
      <c r="G699" s="48"/>
      <c r="H699" s="49"/>
      <c r="I699" s="49"/>
      <c r="J699" s="49"/>
      <c r="K699" s="50"/>
      <c r="L699" s="49"/>
      <c r="M699" s="49"/>
      <c r="N699" s="49"/>
      <c r="O699" s="50"/>
      <c r="P699" s="50"/>
      <c r="Q699" s="50"/>
      <c r="R699" s="50"/>
      <c r="S699" s="50"/>
      <c r="T699" s="50"/>
      <c r="U699" s="50"/>
      <c r="V699" s="50"/>
      <c r="W699" s="50"/>
      <c r="X699" s="50"/>
      <c r="Y699" s="50"/>
      <c r="Z699" s="50"/>
      <c r="AA699" s="52"/>
      <c r="AB699" s="52"/>
      <c r="AC699" s="52"/>
      <c r="AD699" s="231"/>
      <c r="AE699" s="49"/>
      <c r="AF699" s="84"/>
      <c r="AG699" s="49"/>
      <c r="AH699" s="49"/>
      <c r="AI699" s="49"/>
      <c r="AJ699" s="226"/>
      <c r="AK699" s="49"/>
      <c r="AL699" s="113">
        <f t="shared" si="298"/>
        <v>0</v>
      </c>
      <c r="AM699" s="113">
        <f t="shared" si="301"/>
        <v>0</v>
      </c>
      <c r="AN699" s="218"/>
      <c r="AO699" s="49"/>
      <c r="AP699" s="49"/>
      <c r="AQ699" s="84" t="str">
        <f>UPPER(RIGHT(Journal_Live[[#This Row],[DURATION ]]))</f>
        <v/>
      </c>
      <c r="AR699" s="49"/>
      <c r="AS699" s="55"/>
      <c r="AT699" s="55"/>
      <c r="AU699" s="54"/>
      <c r="AV699" s="56"/>
      <c r="AW699" s="57"/>
      <c r="AX699" s="153"/>
      <c r="AY699" s="153"/>
      <c r="AZ699" s="153"/>
      <c r="BA699" s="153"/>
      <c r="BB699" s="153"/>
      <c r="BC699" s="153"/>
      <c r="BD699" s="151"/>
      <c r="BE699" s="152"/>
      <c r="BF699" s="151"/>
      <c r="BG699" s="94">
        <f>SUM($AV$4:AV699)</f>
        <v>3634.6940742930087</v>
      </c>
      <c r="BH699" s="95">
        <f>SUM($AU$4:AU699)</f>
        <v>39010.639220779361</v>
      </c>
      <c r="BI699" s="80">
        <f>SUMIFS($AU$3:AU700,$Q$3:Q700,"F")</f>
        <v>25293.293506493508</v>
      </c>
      <c r="BJ699" s="80">
        <f>SUMIFS($AU$3:AU700,$Q$3:Q700,"S")</f>
        <v>17842.285714285714</v>
      </c>
      <c r="BK699" s="87">
        <f>SUMIFS($AU$3:AU700,$P$3:P700,"W")</f>
        <v>23336.759220779561</v>
      </c>
      <c r="BL699" s="87">
        <f>SUMIFS($AU$3:AU700,$P$3:P700,"R")</f>
        <v>13226.00000000016</v>
      </c>
      <c r="BM699" s="87">
        <f>SUMIFS($AU$3:AU700,$AQ$3:AQ700,"M")</f>
        <v>9567.1799999991417</v>
      </c>
      <c r="BN699" s="87">
        <f>SUMIFS($AU$3:AU700,$AQ$3:AQ700,"H")</f>
        <v>12363.200000000876</v>
      </c>
      <c r="BO699" s="87">
        <f>SUMIFS($AU$3:AU700,$AQ$3:AQ700,"D")</f>
        <v>334.99285714273992</v>
      </c>
      <c r="BP699" s="87">
        <f>SUMIFS($AS$3:AS1302,$AO$3:AO1302,"W")</f>
        <v>0</v>
      </c>
      <c r="BQ699" s="87">
        <f>SUMIFS($AU$3:AU700,$Q$3:Q700,"O")</f>
        <v>-5848.9399999998504</v>
      </c>
      <c r="BR699" s="87">
        <f>SUMIFS($AU$3:AU700,$AA$3:AA700,"*")</f>
        <v>29471.122077921998</v>
      </c>
      <c r="BS699" s="87">
        <f>SUMIFS($AU$3:AU700,$AB$3:AB700,"*")</f>
        <v>10383.860000000041</v>
      </c>
      <c r="BT699" s="87">
        <f>SUMIFS($AU$3:AU700,$AC$3:AC700,"*")</f>
        <v>30333.293506493676</v>
      </c>
      <c r="BU699" s="87">
        <f>SUMIFS($AU$3:AU700,$AA$3:AA700,"*",$AB$3:AB700,"*")</f>
        <v>5423.9999999998217</v>
      </c>
      <c r="BV699" s="87">
        <f>SUMIFS($AU$3:AU700,$AA$3:AA700,"*",$AC$3:AC700,"*")</f>
        <v>21913.636363636531</v>
      </c>
      <c r="BW699" s="87">
        <f>SUMIFS($AU$3:AU700,$AB$3:AB700,"*",$AC$3:AC700,"*")</f>
        <v>7119.9999999999982</v>
      </c>
      <c r="BX699" s="87">
        <f>SUMIFS($AV$3:AV700,$Q$3:Q700,"F")</f>
        <v>382.80914667325266</v>
      </c>
      <c r="BY699" s="87">
        <f>SUMIFS($AV$3:AV700,$Q$3:Q700,"S")</f>
        <v>706.32562762001328</v>
      </c>
      <c r="BZ699" s="87">
        <f>SUMIFS($AV$3:AV700,$Q$3:Q700,"O")</f>
        <v>297.55929999973682</v>
      </c>
    </row>
    <row r="700" spans="1:78" ht="15.75" customHeight="1">
      <c r="A700" s="45" t="s">
        <v>1819</v>
      </c>
      <c r="B700" s="59"/>
      <c r="C700" s="46"/>
      <c r="D700" s="46"/>
      <c r="E700" s="66"/>
      <c r="F700" s="47"/>
      <c r="G700" s="48"/>
      <c r="H700" s="49"/>
      <c r="I700" s="49"/>
      <c r="J700" s="49"/>
      <c r="K700" s="50"/>
      <c r="L700" s="49"/>
      <c r="M700" s="49"/>
      <c r="N700" s="49"/>
      <c r="O700" s="50"/>
      <c r="P700" s="50"/>
      <c r="Q700" s="50"/>
      <c r="R700" s="50"/>
      <c r="S700" s="50"/>
      <c r="T700" s="50"/>
      <c r="U700" s="50"/>
      <c r="V700" s="50"/>
      <c r="W700" s="50"/>
      <c r="X700" s="50"/>
      <c r="Y700" s="50"/>
      <c r="Z700" s="50"/>
      <c r="AA700" s="52"/>
      <c r="AB700" s="52"/>
      <c r="AC700" s="52"/>
      <c r="AD700" s="231"/>
      <c r="AE700" s="49"/>
      <c r="AF700" s="84"/>
      <c r="AG700" s="49"/>
      <c r="AH700" s="49"/>
      <c r="AI700" s="49"/>
      <c r="AJ700" s="226"/>
      <c r="AK700" s="49"/>
      <c r="AL700" s="113">
        <f t="shared" si="298"/>
        <v>0</v>
      </c>
      <c r="AM700" s="113">
        <f t="shared" si="301"/>
        <v>0</v>
      </c>
      <c r="AN700" s="218"/>
      <c r="AO700" s="49"/>
      <c r="AP700" s="49"/>
      <c r="AQ700" s="84" t="str">
        <f>UPPER(RIGHT(Journal_Live[[#This Row],[DURATION ]]))</f>
        <v/>
      </c>
      <c r="AR700" s="49"/>
      <c r="AS700" s="55"/>
      <c r="AT700" s="55"/>
      <c r="AU700" s="54"/>
      <c r="AV700" s="56"/>
      <c r="AW700" s="57"/>
      <c r="AX700" s="153" t="s">
        <v>2240</v>
      </c>
      <c r="AY700" s="153"/>
      <c r="AZ700" s="153"/>
      <c r="BA700" s="153"/>
      <c r="BB700" s="153"/>
      <c r="BC700" s="153"/>
      <c r="BD700" s="151"/>
      <c r="BE700" s="152"/>
      <c r="BF700" s="151"/>
      <c r="BG700" s="94">
        <f>SUM($AV$4:AV700)</f>
        <v>3634.6940742930087</v>
      </c>
      <c r="BH700" s="95">
        <f>SUM($AU$4:AU700)</f>
        <v>39010.639220779361</v>
      </c>
      <c r="BI700" s="80">
        <f>SUMIFS($AU$3:AU701,$Q$3:Q701,"F")</f>
        <v>25293.293506493508</v>
      </c>
      <c r="BJ700" s="80">
        <f>SUMIFS($AU$3:AU701,$Q$3:Q701,"S")</f>
        <v>17842.285714285714</v>
      </c>
      <c r="BK700" s="87">
        <f>SUMIFS($AU$3:AU701,$P$3:P701,"W")</f>
        <v>23336.759220779561</v>
      </c>
      <c r="BL700" s="87">
        <f>SUMIFS($AU$3:AU701,$P$3:P701,"R")</f>
        <v>13226.00000000016</v>
      </c>
      <c r="BM700" s="87">
        <f>SUMIFS($AU$3:AU701,$AQ$3:AQ701,"M")</f>
        <v>9567.1799999991417</v>
      </c>
      <c r="BN700" s="87">
        <f>SUMIFS($AU$3:AU701,$AQ$3:AQ701,"H")</f>
        <v>12363.200000000876</v>
      </c>
      <c r="BO700" s="87">
        <f>SUMIFS($AU$3:AU701,$AQ$3:AQ701,"D")</f>
        <v>334.99285714273992</v>
      </c>
      <c r="BP700" s="87">
        <f>SUMIFS($AS$3:AS1303,$AO$3:AO1303,"W")</f>
        <v>0</v>
      </c>
      <c r="BQ700" s="87">
        <f>SUMIFS($AU$3:AU701,$Q$3:Q701,"O")</f>
        <v>-5848.9399999998504</v>
      </c>
      <c r="BR700" s="87">
        <f>SUMIFS($AU$3:AU701,$AA$3:AA701,"*")</f>
        <v>29471.122077921998</v>
      </c>
      <c r="BS700" s="87">
        <f>SUMIFS($AU$3:AU701,$AB$3:AB701,"*")</f>
        <v>10383.860000000041</v>
      </c>
      <c r="BT700" s="87">
        <f>SUMIFS($AU$3:AU701,$AC$3:AC701,"*")</f>
        <v>30333.293506493676</v>
      </c>
      <c r="BU700" s="87">
        <f>SUMIFS($AU$3:AU701,$AA$3:AA701,"*",$AB$3:AB701,"*")</f>
        <v>5423.9999999998217</v>
      </c>
      <c r="BV700" s="87">
        <f>SUMIFS($AU$3:AU701,$AA$3:AA701,"*",$AC$3:AC701,"*")</f>
        <v>21913.636363636531</v>
      </c>
      <c r="BW700" s="87">
        <f>SUMIFS($AU$3:AU701,$AB$3:AB701,"*",$AC$3:AC701,"*")</f>
        <v>7119.9999999999982</v>
      </c>
      <c r="BX700" s="87">
        <f>SUMIFS($AV$3:AV701,$Q$3:Q701,"F")</f>
        <v>382.80914667325266</v>
      </c>
      <c r="BY700" s="87">
        <f>SUMIFS($AV$3:AV701,$Q$3:Q701,"S")</f>
        <v>706.32562762001328</v>
      </c>
      <c r="BZ700" s="87">
        <f>SUMIFS($AV$3:AV701,$Q$3:Q701,"O")</f>
        <v>297.55929999973682</v>
      </c>
    </row>
    <row r="701" spans="1:78" ht="15.75" customHeight="1">
      <c r="A701" s="45" t="s">
        <v>1819</v>
      </c>
      <c r="B701" s="59"/>
      <c r="C701" s="46"/>
      <c r="D701" s="46"/>
      <c r="E701" s="66"/>
      <c r="F701" s="47"/>
      <c r="G701" s="48"/>
      <c r="H701" s="49"/>
      <c r="I701" s="49"/>
      <c r="J701" s="49"/>
      <c r="K701" s="50"/>
      <c r="L701" s="49"/>
      <c r="M701" s="49"/>
      <c r="N701" s="49"/>
      <c r="O701" s="50"/>
      <c r="P701" s="50"/>
      <c r="Q701" s="50"/>
      <c r="R701" s="50"/>
      <c r="S701" s="50"/>
      <c r="T701" s="50"/>
      <c r="U701" s="50"/>
      <c r="V701" s="50"/>
      <c r="W701" s="50"/>
      <c r="X701" s="50"/>
      <c r="Y701" s="50"/>
      <c r="Z701" s="50"/>
      <c r="AA701" s="52"/>
      <c r="AB701" s="52"/>
      <c r="AC701" s="52"/>
      <c r="AD701" s="231"/>
      <c r="AE701" s="49"/>
      <c r="AF701" s="84"/>
      <c r="AG701" s="49"/>
      <c r="AH701" s="49"/>
      <c r="AI701" s="49"/>
      <c r="AJ701" s="226"/>
      <c r="AK701" s="49"/>
      <c r="AL701" s="113">
        <f t="shared" si="298"/>
        <v>0</v>
      </c>
      <c r="AM701" s="113">
        <f t="shared" si="301"/>
        <v>0</v>
      </c>
      <c r="AN701" s="218"/>
      <c r="AO701" s="49"/>
      <c r="AP701" s="49"/>
      <c r="AQ701" s="84" t="str">
        <f>UPPER(RIGHT(Journal_Live[[#This Row],[DURATION ]]))</f>
        <v/>
      </c>
      <c r="AR701" s="49"/>
      <c r="AS701" s="55"/>
      <c r="AT701" s="55"/>
      <c r="AU701" s="54"/>
      <c r="AV701" s="56"/>
      <c r="AW701" s="57"/>
      <c r="AX701" s="153"/>
      <c r="AY701" s="153"/>
      <c r="AZ701" s="153"/>
      <c r="BA701" s="153"/>
      <c r="BB701" s="153"/>
      <c r="BC701" s="153"/>
      <c r="BD701" s="151"/>
      <c r="BE701" s="152"/>
      <c r="BF701" s="151"/>
      <c r="BG701" s="94">
        <f>SUM($AV$4:AV701)</f>
        <v>3634.6940742930087</v>
      </c>
      <c r="BH701" s="95">
        <f>SUM($AU$4:AU701)</f>
        <v>39010.639220779361</v>
      </c>
      <c r="BI701" s="80">
        <f>SUMIFS($AU$3:AU702,$Q$3:Q702,"F")</f>
        <v>25293.293506493508</v>
      </c>
      <c r="BJ701" s="80">
        <f>SUMIFS($AU$3:AU702,$Q$3:Q702,"S")</f>
        <v>17842.285714285714</v>
      </c>
      <c r="BK701" s="87">
        <f>SUMIFS($AU$3:AU702,$P$3:P702,"W")</f>
        <v>23336.759220779561</v>
      </c>
      <c r="BL701" s="87">
        <f>SUMIFS($AU$3:AU702,$P$3:P702,"R")</f>
        <v>13226.00000000016</v>
      </c>
      <c r="BM701" s="87">
        <f>SUMIFS($AU$3:AU702,$AQ$3:AQ702,"M")</f>
        <v>9567.1799999991417</v>
      </c>
      <c r="BN701" s="87">
        <f>SUMIFS($AU$3:AU702,$AQ$3:AQ702,"H")</f>
        <v>12363.200000000876</v>
      </c>
      <c r="BO701" s="87">
        <f>SUMIFS($AU$3:AU702,$AQ$3:AQ702,"D")</f>
        <v>334.99285714273992</v>
      </c>
      <c r="BP701" s="87">
        <f>SUMIFS($AS$3:AS1304,$AO$3:AO1304,"W")</f>
        <v>0</v>
      </c>
      <c r="BQ701" s="87">
        <f>SUMIFS($AU$3:AU702,$Q$3:Q702,"O")</f>
        <v>-5848.9399999998504</v>
      </c>
      <c r="BR701" s="87">
        <f>SUMIFS($AU$3:AU702,$AA$3:AA702,"*")</f>
        <v>29471.122077921998</v>
      </c>
      <c r="BS701" s="87">
        <f>SUMIFS($AU$3:AU702,$AB$3:AB702,"*")</f>
        <v>10383.860000000041</v>
      </c>
      <c r="BT701" s="87">
        <f>SUMIFS($AU$3:AU702,$AC$3:AC702,"*")</f>
        <v>30333.293506493676</v>
      </c>
      <c r="BU701" s="87">
        <f>SUMIFS($AU$3:AU702,$AA$3:AA702,"*",$AB$3:AB702,"*")</f>
        <v>5423.9999999998217</v>
      </c>
      <c r="BV701" s="87">
        <f>SUMIFS($AU$3:AU702,$AA$3:AA702,"*",$AC$3:AC702,"*")</f>
        <v>21913.636363636531</v>
      </c>
      <c r="BW701" s="87">
        <f>SUMIFS($AU$3:AU702,$AB$3:AB702,"*",$AC$3:AC702,"*")</f>
        <v>7119.9999999999982</v>
      </c>
      <c r="BX701" s="87">
        <f>SUMIFS($AV$3:AV702,$Q$3:Q702,"F")</f>
        <v>382.80914667325266</v>
      </c>
      <c r="BY701" s="87">
        <f>SUMIFS($AV$3:AV702,$Q$3:Q702,"S")</f>
        <v>706.32562762001328</v>
      </c>
      <c r="BZ701" s="87">
        <f>SUMIFS($AV$3:AV702,$Q$3:Q702,"O")</f>
        <v>297.55929999973682</v>
      </c>
    </row>
    <row r="702" spans="1:78" ht="15.75" customHeight="1">
      <c r="A702" s="45" t="s">
        <v>1819</v>
      </c>
      <c r="B702" s="59"/>
      <c r="C702" s="46"/>
      <c r="D702" s="46"/>
      <c r="E702" s="66"/>
      <c r="F702" s="47"/>
      <c r="G702" s="48"/>
      <c r="H702" s="49"/>
      <c r="I702" s="49"/>
      <c r="J702" s="49"/>
      <c r="K702" s="50"/>
      <c r="L702" s="49"/>
      <c r="M702" s="49"/>
      <c r="N702" s="49"/>
      <c r="O702" s="50"/>
      <c r="P702" s="50"/>
      <c r="Q702" s="50"/>
      <c r="R702" s="50"/>
      <c r="S702" s="50"/>
      <c r="T702" s="50"/>
      <c r="U702" s="50"/>
      <c r="V702" s="50"/>
      <c r="W702" s="50"/>
      <c r="X702" s="50"/>
      <c r="Y702" s="50"/>
      <c r="Z702" s="50"/>
      <c r="AA702" s="52"/>
      <c r="AB702" s="52"/>
      <c r="AC702" s="52"/>
      <c r="AD702" s="231"/>
      <c r="AE702" s="49"/>
      <c r="AF702" s="84"/>
      <c r="AG702" s="49"/>
      <c r="AH702" s="49"/>
      <c r="AI702" s="49"/>
      <c r="AJ702" s="226"/>
      <c r="AK702" s="49"/>
      <c r="AL702" s="113">
        <f t="shared" ref="AL702:AL708" si="302">-0.02*Z702</f>
        <v>0</v>
      </c>
      <c r="AM702" s="113">
        <f t="shared" si="301"/>
        <v>0</v>
      </c>
      <c r="AN702" s="218"/>
      <c r="AO702" s="49"/>
      <c r="AP702" s="49"/>
      <c r="AQ702" s="84" t="str">
        <f>UPPER(RIGHT(Journal_Live[[#This Row],[DURATION ]]))</f>
        <v/>
      </c>
      <c r="AR702" s="49"/>
      <c r="AS702" s="55"/>
      <c r="AT702" s="55"/>
      <c r="AU702" s="54"/>
      <c r="AV702" s="56"/>
      <c r="AW702" s="57"/>
      <c r="AX702" s="182"/>
      <c r="AY702" s="182"/>
      <c r="AZ702" s="182"/>
      <c r="BA702" s="182"/>
      <c r="BB702" s="153"/>
      <c r="BC702" s="153"/>
      <c r="BD702" s="151"/>
      <c r="BE702" s="152"/>
      <c r="BF702" s="151"/>
      <c r="BG702" s="94">
        <f>SUM($AV$4:AV702)</f>
        <v>3634.6940742930087</v>
      </c>
      <c r="BH702" s="95">
        <f>SUM($AU$4:AU702)</f>
        <v>39010.639220779361</v>
      </c>
      <c r="BI702" s="80">
        <f>SUMIFS($AU$3:AU703,$Q$3:Q703,"F")</f>
        <v>25293.293506493508</v>
      </c>
      <c r="BJ702" s="80">
        <f>SUMIFS($AU$3:AU703,$Q$3:Q703,"S")</f>
        <v>17842.285714285714</v>
      </c>
      <c r="BK702" s="87">
        <f>SUMIFS($AU$3:AU703,$P$3:P703,"W")</f>
        <v>23336.759220779561</v>
      </c>
      <c r="BL702" s="87">
        <f>SUMIFS($AU$3:AU703,$P$3:P703,"R")</f>
        <v>13226.00000000016</v>
      </c>
      <c r="BM702" s="87">
        <f>SUMIFS($AU$3:AU703,$AQ$3:AQ703,"M")</f>
        <v>9567.1799999991417</v>
      </c>
      <c r="BN702" s="87">
        <f>SUMIFS($AU$3:AU703,$AQ$3:AQ703,"H")</f>
        <v>12363.200000000876</v>
      </c>
      <c r="BO702" s="87">
        <f>SUMIFS($AU$3:AU703,$AQ$3:AQ703,"D")</f>
        <v>334.99285714273992</v>
      </c>
      <c r="BP702" s="87">
        <f>SUMIFS($AS$3:AS1305,$AO$3:AO1305,"W")</f>
        <v>0</v>
      </c>
      <c r="BQ702" s="87">
        <f>SUMIFS($AU$3:AU703,$Q$3:Q703,"O")</f>
        <v>-5848.9399999998504</v>
      </c>
      <c r="BR702" s="87">
        <f>SUMIFS($AU$3:AU703,$AA$3:AA703,"*")</f>
        <v>29471.122077921998</v>
      </c>
      <c r="BS702" s="87">
        <f>SUMIFS($AU$3:AU703,$AB$3:AB703,"*")</f>
        <v>10383.860000000041</v>
      </c>
      <c r="BT702" s="87">
        <f>SUMIFS($AU$3:AU703,$AC$3:AC703,"*")</f>
        <v>30333.293506493676</v>
      </c>
      <c r="BU702" s="87">
        <f>SUMIFS($AU$3:AU703,$AA$3:AA703,"*",$AB$3:AB703,"*")</f>
        <v>5423.9999999998217</v>
      </c>
      <c r="BV702" s="87">
        <f>SUMIFS($AU$3:AU703,$AA$3:AA703,"*",$AC$3:AC703,"*")</f>
        <v>21913.636363636531</v>
      </c>
      <c r="BW702" s="87">
        <f>SUMIFS($AU$3:AU703,$AB$3:AB703,"*",$AC$3:AC703,"*")</f>
        <v>7119.9999999999982</v>
      </c>
      <c r="BX702" s="87">
        <f>SUMIFS($AV$3:AV703,$Q$3:Q703,"F")</f>
        <v>382.80914667325266</v>
      </c>
      <c r="BY702" s="87">
        <f>SUMIFS($AV$3:AV703,$Q$3:Q703,"S")</f>
        <v>706.32562762001328</v>
      </c>
      <c r="BZ702" s="87">
        <f>SUMIFS($AV$3:AV703,$Q$3:Q703,"O")</f>
        <v>297.55929999973682</v>
      </c>
    </row>
    <row r="703" spans="1:78" ht="15.75" customHeight="1">
      <c r="A703" s="45" t="s">
        <v>1819</v>
      </c>
      <c r="B703" s="59"/>
      <c r="C703" s="46"/>
      <c r="D703" s="46"/>
      <c r="E703" s="66"/>
      <c r="F703" s="47"/>
      <c r="G703" s="48"/>
      <c r="H703" s="49"/>
      <c r="I703" s="49"/>
      <c r="J703" s="49"/>
      <c r="K703" s="50"/>
      <c r="L703" s="49"/>
      <c r="M703" s="49"/>
      <c r="N703" s="49"/>
      <c r="O703" s="50"/>
      <c r="P703" s="50"/>
      <c r="Q703" s="50"/>
      <c r="R703" s="50"/>
      <c r="S703" s="50"/>
      <c r="T703" s="50"/>
      <c r="U703" s="50"/>
      <c r="V703" s="50"/>
      <c r="W703" s="50"/>
      <c r="X703" s="50"/>
      <c r="Y703" s="50"/>
      <c r="Z703" s="50"/>
      <c r="AA703" s="52"/>
      <c r="AB703" s="52"/>
      <c r="AC703" s="52"/>
      <c r="AD703" s="231"/>
      <c r="AE703" s="49"/>
      <c r="AF703" s="84"/>
      <c r="AG703" s="49"/>
      <c r="AH703" s="49"/>
      <c r="AI703" s="49"/>
      <c r="AJ703" s="226"/>
      <c r="AK703" s="49"/>
      <c r="AL703" s="113">
        <f t="shared" si="302"/>
        <v>0</v>
      </c>
      <c r="AM703" s="113">
        <f t="shared" si="301"/>
        <v>0</v>
      </c>
      <c r="AN703" s="218"/>
      <c r="AO703" s="49"/>
      <c r="AP703" s="49"/>
      <c r="AQ703" s="84" t="str">
        <f>UPPER(RIGHT(Journal_Live[[#This Row],[DURATION ]]))</f>
        <v/>
      </c>
      <c r="AR703" s="49"/>
      <c r="AS703" s="55"/>
      <c r="AT703" s="55"/>
      <c r="AU703" s="54"/>
      <c r="AV703" s="56"/>
      <c r="AW703" s="57"/>
      <c r="AX703" s="153" t="s">
        <v>2241</v>
      </c>
      <c r="AY703" s="153" t="s">
        <v>2242</v>
      </c>
      <c r="AZ703" s="153" t="s">
        <v>2243</v>
      </c>
      <c r="BA703" s="153" t="s">
        <v>2244</v>
      </c>
      <c r="BB703" s="153" t="s">
        <v>2245</v>
      </c>
      <c r="BC703" s="153"/>
      <c r="BD703" s="151"/>
      <c r="BE703" s="152"/>
      <c r="BF703" s="151"/>
      <c r="BG703" s="94">
        <f>SUM($AV$4:AV703)</f>
        <v>3634.6940742930087</v>
      </c>
      <c r="BH703" s="95">
        <f>SUM($AU$4:AU703)</f>
        <v>39010.639220779361</v>
      </c>
      <c r="BI703" s="80">
        <f>SUMIFS($AU$3:AU704,$Q$3:Q704,"F")</f>
        <v>25293.293506493508</v>
      </c>
      <c r="BJ703" s="80">
        <f>SUMIFS($AU$3:AU704,$Q$3:Q704,"S")</f>
        <v>17842.285714285714</v>
      </c>
      <c r="BK703" s="87">
        <f>SUMIFS($AU$3:AU704,$P$3:P704,"W")</f>
        <v>23336.759220779561</v>
      </c>
      <c r="BL703" s="87">
        <f>SUMIFS($AU$3:AU704,$P$3:P704,"R")</f>
        <v>13226.00000000016</v>
      </c>
      <c r="BM703" s="87">
        <f>SUMIFS($AU$3:AU704,$AQ$3:AQ704,"M")</f>
        <v>9567.1799999991417</v>
      </c>
      <c r="BN703" s="87">
        <f>SUMIFS($AU$3:AU704,$AQ$3:AQ704,"H")</f>
        <v>12363.200000000876</v>
      </c>
      <c r="BO703" s="87">
        <f>SUMIFS($AU$3:AU704,$AQ$3:AQ704,"D")</f>
        <v>334.99285714273992</v>
      </c>
      <c r="BP703" s="87">
        <f>SUMIFS($AS$3:AS1306,$AO$3:AO1306,"W")</f>
        <v>0</v>
      </c>
      <c r="BQ703" s="87">
        <f>SUMIFS($AU$3:AU704,$Q$3:Q704,"O")</f>
        <v>-5848.9399999998504</v>
      </c>
      <c r="BR703" s="87">
        <f>SUMIFS($AU$3:AU704,$AA$3:AA704,"*")</f>
        <v>29471.122077921998</v>
      </c>
      <c r="BS703" s="87">
        <f>SUMIFS($AU$3:AU704,$AB$3:AB704,"*")</f>
        <v>10383.860000000041</v>
      </c>
      <c r="BT703" s="87">
        <f>SUMIFS($AU$3:AU704,$AC$3:AC704,"*")</f>
        <v>30333.293506493676</v>
      </c>
      <c r="BU703" s="87">
        <f>SUMIFS($AU$3:AU704,$AA$3:AA704,"*",$AB$3:AB704,"*")</f>
        <v>5423.9999999998217</v>
      </c>
      <c r="BV703" s="87">
        <f>SUMIFS($AU$3:AU704,$AA$3:AA704,"*",$AC$3:AC704,"*")</f>
        <v>21913.636363636531</v>
      </c>
      <c r="BW703" s="87">
        <f>SUMIFS($AU$3:AU704,$AB$3:AB704,"*",$AC$3:AC704,"*")</f>
        <v>7119.9999999999982</v>
      </c>
      <c r="BX703" s="87">
        <f>SUMIFS($AV$3:AV704,$Q$3:Q704,"F")</f>
        <v>382.80914667325266</v>
      </c>
      <c r="BY703" s="87">
        <f>SUMIFS($AV$3:AV704,$Q$3:Q704,"S")</f>
        <v>706.32562762001328</v>
      </c>
      <c r="BZ703" s="87">
        <f>SUMIFS($AV$3:AV704,$Q$3:Q704,"O")</f>
        <v>297.55929999973682</v>
      </c>
    </row>
    <row r="704" spans="1:78" ht="15.75" customHeight="1">
      <c r="A704" s="45" t="s">
        <v>2246</v>
      </c>
      <c r="B704" s="59"/>
      <c r="C704" s="46"/>
      <c r="D704" s="46"/>
      <c r="E704" s="66"/>
      <c r="F704" s="47"/>
      <c r="G704" s="48"/>
      <c r="H704" s="49"/>
      <c r="I704" s="49"/>
      <c r="J704" s="49"/>
      <c r="K704" s="50"/>
      <c r="L704" s="49"/>
      <c r="M704" s="49"/>
      <c r="N704" s="49"/>
      <c r="O704" s="50"/>
      <c r="P704" s="50"/>
      <c r="Q704" s="50"/>
      <c r="R704" s="50"/>
      <c r="S704" s="50"/>
      <c r="T704" s="50"/>
      <c r="U704" s="50"/>
      <c r="V704" s="50"/>
      <c r="W704" s="50"/>
      <c r="X704" s="50"/>
      <c r="Y704" s="50"/>
      <c r="Z704" s="50"/>
      <c r="AA704" s="52"/>
      <c r="AB704" s="52"/>
      <c r="AC704" s="52"/>
      <c r="AD704" s="231"/>
      <c r="AE704" s="49"/>
      <c r="AF704" s="84"/>
      <c r="AG704" s="49"/>
      <c r="AH704" s="49"/>
      <c r="AI704" s="49"/>
      <c r="AJ704" s="226"/>
      <c r="AK704" s="49"/>
      <c r="AL704" s="113">
        <f t="shared" si="302"/>
        <v>0</v>
      </c>
      <c r="AM704" s="113">
        <f t="shared" si="301"/>
        <v>0</v>
      </c>
      <c r="AN704" s="218"/>
      <c r="AO704" s="49"/>
      <c r="AP704" s="49"/>
      <c r="AQ704" s="84" t="str">
        <f>UPPER(RIGHT(Journal_Live[[#This Row],[DURATION ]]))</f>
        <v/>
      </c>
      <c r="AR704" s="49"/>
      <c r="AS704" s="55"/>
      <c r="AT704" s="55"/>
      <c r="AU704" s="54"/>
      <c r="AV704" s="56"/>
      <c r="AW704" s="57"/>
      <c r="AX704" s="153"/>
      <c r="AY704" s="153"/>
      <c r="AZ704" s="153"/>
      <c r="BA704" s="153"/>
      <c r="BB704" s="153"/>
      <c r="BC704" s="153"/>
      <c r="BD704" s="151"/>
      <c r="BE704" s="152"/>
      <c r="BF704" s="151"/>
      <c r="BG704" s="94">
        <f>SUM($AV$4:AV704)</f>
        <v>3634.6940742930087</v>
      </c>
      <c r="BH704" s="95">
        <f>SUM($AU$4:AU704)</f>
        <v>39010.639220779361</v>
      </c>
      <c r="BI704" s="80">
        <f>SUMIFS($AU$3:AU705,$Q$3:Q705,"F")</f>
        <v>27533.293506493508</v>
      </c>
      <c r="BJ704" s="80">
        <f>SUMIFS($AU$3:AU705,$Q$3:Q705,"S")</f>
        <v>17842.285714285714</v>
      </c>
      <c r="BK704" s="87">
        <f>SUMIFS($AU$3:AU705,$P$3:P705,"W")</f>
        <v>25576.759220779561</v>
      </c>
      <c r="BL704" s="87">
        <f>SUMIFS($AU$3:AU705,$P$3:P705,"R")</f>
        <v>13226.00000000016</v>
      </c>
      <c r="BM704" s="87">
        <f>SUMIFS($AU$3:AU705,$AQ$3:AQ705,"M")</f>
        <v>9567.1799999991417</v>
      </c>
      <c r="BN704" s="87">
        <f>SUMIFS($AU$3:AU705,$AQ$3:AQ705,"H")</f>
        <v>12363.200000000876</v>
      </c>
      <c r="BO704" s="87">
        <f>SUMIFS($AU$3:AU705,$AQ$3:AQ705,"D")</f>
        <v>2574.9928571427413</v>
      </c>
      <c r="BP704" s="87">
        <f>SUMIFS($AS$3:AS1307,$AO$3:AO1307,"W")</f>
        <v>0</v>
      </c>
      <c r="BQ704" s="87">
        <f>SUMIFS($AU$3:AU705,$Q$3:Q705,"O")</f>
        <v>-5848.9399999998504</v>
      </c>
      <c r="BR704" s="87">
        <f>SUMIFS($AU$3:AU705,$AA$3:AA705,"*")</f>
        <v>31711.122077921998</v>
      </c>
      <c r="BS704" s="87">
        <f>SUMIFS($AU$3:AU705,$AB$3:AB705,"*")</f>
        <v>12623.860000000042</v>
      </c>
      <c r="BT704" s="87">
        <f>SUMIFS($AU$3:AU705,$AC$3:AC705,"*")</f>
        <v>32573.293506493676</v>
      </c>
      <c r="BU704" s="87">
        <f>SUMIFS($AU$3:AU705,$AA$3:AA705,"*",$AB$3:AB705,"*")</f>
        <v>7663.9999999998236</v>
      </c>
      <c r="BV704" s="87">
        <f>SUMIFS($AU$3:AU705,$AA$3:AA705,"*",$AC$3:AC705,"*")</f>
        <v>24153.636363636531</v>
      </c>
      <c r="BW704" s="87">
        <f>SUMIFS($AU$3:AU705,$AB$3:AB705,"*",$AC$3:AC705,"*")</f>
        <v>9360</v>
      </c>
      <c r="BX704" s="87">
        <f>SUMIFS($AV$3:AV705,$Q$3:Q705,"F")</f>
        <v>400.72914667325267</v>
      </c>
      <c r="BY704" s="87">
        <f>SUMIFS($AV$3:AV705,$Q$3:Q705,"S")</f>
        <v>706.32562762001328</v>
      </c>
      <c r="BZ704" s="87">
        <f>SUMIFS($AV$3:AV705,$Q$3:Q705,"O")</f>
        <v>297.55929999973682</v>
      </c>
    </row>
    <row r="705" spans="1:78" ht="15.75" customHeight="1">
      <c r="A705" s="45" t="s">
        <v>1819</v>
      </c>
      <c r="B705" s="59">
        <v>45439</v>
      </c>
      <c r="C705" s="46" t="s">
        <v>2247</v>
      </c>
      <c r="D705" s="46" t="s">
        <v>176</v>
      </c>
      <c r="E705" s="66"/>
      <c r="F705" s="47"/>
      <c r="G705" s="110" t="s">
        <v>527</v>
      </c>
      <c r="H705" s="49"/>
      <c r="I705" s="49"/>
      <c r="J705" s="49"/>
      <c r="K705" s="50"/>
      <c r="L705" s="49"/>
      <c r="M705" s="49">
        <v>1</v>
      </c>
      <c r="N705" s="49"/>
      <c r="O705" s="50" t="s">
        <v>100</v>
      </c>
      <c r="P705" s="50" t="s">
        <v>101</v>
      </c>
      <c r="Q705" s="50" t="s">
        <v>127</v>
      </c>
      <c r="R705" s="50">
        <v>125</v>
      </c>
      <c r="S705" s="50">
        <v>100</v>
      </c>
      <c r="T705" s="50">
        <v>60</v>
      </c>
      <c r="U705" s="50" t="s">
        <v>102</v>
      </c>
      <c r="V705" s="50"/>
      <c r="W705" s="50"/>
      <c r="X705" s="50"/>
      <c r="Y705" s="51">
        <f>IF(ISBLANK(O705),"",(IF(O705=UPPER("IB"),0.005,0.01)))</f>
        <v>0.01</v>
      </c>
      <c r="Z705" s="52">
        <f>IF(ISBLANK(O705),"",IF(O705="IB",8.63*200,IF(O705="IR",16*100,IF(O705="YT",20*100,IF(O705="YT-XT",24*200,IF(O705="TED",80*100))))))</f>
        <v>1600</v>
      </c>
      <c r="AA705" s="52" t="s">
        <v>289</v>
      </c>
      <c r="AB705" s="52" t="s">
        <v>2248</v>
      </c>
      <c r="AC705" s="52" t="s">
        <v>2249</v>
      </c>
      <c r="AD705" s="231">
        <f>(0.05*60+0.06*65)/125</f>
        <v>5.5200000000000006E-2</v>
      </c>
      <c r="AE705" s="49"/>
      <c r="AF705" s="84"/>
      <c r="AG705" s="49"/>
      <c r="AH705" s="49" t="s">
        <v>2250</v>
      </c>
      <c r="AI705" s="49"/>
      <c r="AJ705" s="226" t="s">
        <v>2251</v>
      </c>
      <c r="AK705" s="49"/>
      <c r="AL705" s="113">
        <f t="shared" si="302"/>
        <v>-32</v>
      </c>
      <c r="AM705" s="113">
        <f t="shared" si="301"/>
        <v>-800</v>
      </c>
      <c r="AN705" s="218" t="s">
        <v>2252</v>
      </c>
      <c r="AO705" s="49"/>
      <c r="AP705" s="49" t="s">
        <v>183</v>
      </c>
      <c r="AQ705" s="84" t="s">
        <v>155</v>
      </c>
      <c r="AR705" s="49"/>
      <c r="AS705" s="55">
        <f>(0.05*50+0.04*50+0.04*25)/125</f>
        <v>4.3999999999999997E-2</v>
      </c>
      <c r="AT705" s="55">
        <f>IF(ISBLANK(AS705),,IF(U705="S",AD705-AS705,AS705-AD705))</f>
        <v>1.1200000000000009E-2</v>
      </c>
      <c r="AU705" s="54">
        <f>AV705*R705</f>
        <v>2240.0000000000014</v>
      </c>
      <c r="AV705" s="56">
        <f t="shared" ref="AV705" si="303">IF(ISBLANK(AS705),,(AT705*Z705))</f>
        <v>17.920000000000012</v>
      </c>
      <c r="AW705" s="57" t="s">
        <v>101</v>
      </c>
      <c r="AX705" s="153" t="s">
        <v>2253</v>
      </c>
      <c r="AY705" s="153"/>
      <c r="AZ705" s="153"/>
      <c r="BA705" s="153"/>
      <c r="BB705" s="153"/>
      <c r="BC705" s="153"/>
      <c r="BD705" s="151"/>
      <c r="BE705" s="152"/>
      <c r="BF705" s="151"/>
      <c r="BG705" s="94">
        <f>SUM($AV$4:AV705)</f>
        <v>3652.6140742930088</v>
      </c>
      <c r="BH705" s="95">
        <f>SUM($AU$4:AU705)</f>
        <v>41250.639220779361</v>
      </c>
      <c r="BI705" s="80">
        <f>SUMIFS($AU$3:AU706,$Q$3:Q706,"F")</f>
        <v>27533.293506493508</v>
      </c>
      <c r="BJ705" s="80">
        <f>SUMIFS($AU$3:AU706,$Q$3:Q706,"S")</f>
        <v>17842.285714285714</v>
      </c>
      <c r="BK705" s="87">
        <f>SUMIFS($AU$3:AU706,$P$3:P706,"W")</f>
        <v>25576.759220779561</v>
      </c>
      <c r="BL705" s="87">
        <f>SUMIFS($AU$3:AU706,$P$3:P706,"R")</f>
        <v>13226.00000000016</v>
      </c>
      <c r="BM705" s="87">
        <f>SUMIFS($AU$3:AU706,$AQ$3:AQ706,"M")</f>
        <v>9567.1799999991417</v>
      </c>
      <c r="BN705" s="87">
        <f>SUMIFS($AU$3:AU706,$AQ$3:AQ706,"H")</f>
        <v>12363.200000000876</v>
      </c>
      <c r="BO705" s="87">
        <f>SUMIFS($AU$3:AU706,$AQ$3:AQ706,"D")</f>
        <v>2574.9928571427413</v>
      </c>
      <c r="BP705" s="87">
        <f>SUMIFS($AS$3:AS1308,$AO$3:AO1308,"W")</f>
        <v>0</v>
      </c>
      <c r="BQ705" s="87">
        <f>SUMIFS($AU$3:AU706,$Q$3:Q706,"O")</f>
        <v>-5848.9399999998504</v>
      </c>
      <c r="BR705" s="87">
        <f>SUMIFS($AU$3:AU706,$AA$3:AA706,"*")</f>
        <v>31711.122077921998</v>
      </c>
      <c r="BS705" s="87">
        <f>SUMIFS($AU$3:AU706,$AB$3:AB706,"*")</f>
        <v>12623.860000000042</v>
      </c>
      <c r="BT705" s="87">
        <f>SUMIFS($AU$3:AU706,$AC$3:AC706,"*")</f>
        <v>32573.293506493676</v>
      </c>
      <c r="BU705" s="87">
        <f>SUMIFS($AU$3:AU706,$AA$3:AA706,"*",$AB$3:AB706,"*")</f>
        <v>7663.9999999998236</v>
      </c>
      <c r="BV705" s="87">
        <f>SUMIFS($AU$3:AU706,$AA$3:AA706,"*",$AC$3:AC706,"*")</f>
        <v>24153.636363636531</v>
      </c>
      <c r="BW705" s="87">
        <f>SUMIFS($AU$3:AU706,$AB$3:AB706,"*",$AC$3:AC706,"*")</f>
        <v>9360</v>
      </c>
      <c r="BX705" s="87">
        <f>SUMIFS($AV$3:AV706,$Q$3:Q706,"F")</f>
        <v>400.72914667325267</v>
      </c>
      <c r="BY705" s="87">
        <f>SUMIFS($AV$3:AV706,$Q$3:Q706,"S")</f>
        <v>706.32562762001328</v>
      </c>
      <c r="BZ705" s="87">
        <f>SUMIFS($AV$3:AV706,$Q$3:Q706,"O")</f>
        <v>297.55929999973682</v>
      </c>
    </row>
    <row r="706" spans="1:78" ht="15.75" customHeight="1">
      <c r="A706" s="45" t="s">
        <v>1819</v>
      </c>
      <c r="B706" s="59">
        <v>45439</v>
      </c>
      <c r="C706" s="46" t="s">
        <v>2254</v>
      </c>
      <c r="D706" s="46" t="s">
        <v>176</v>
      </c>
      <c r="E706" s="66"/>
      <c r="F706" s="47"/>
      <c r="G706" s="48" t="s">
        <v>227</v>
      </c>
      <c r="H706" s="49"/>
      <c r="I706" s="49"/>
      <c r="J706" s="49"/>
      <c r="K706" s="50"/>
      <c r="L706" s="49"/>
      <c r="M706" s="49"/>
      <c r="N706" s="49"/>
      <c r="O706" s="50"/>
      <c r="P706" s="50"/>
      <c r="Q706" s="50"/>
      <c r="R706" s="50"/>
      <c r="S706" s="50"/>
      <c r="T706" s="50"/>
      <c r="U706" s="50"/>
      <c r="V706" s="50"/>
      <c r="W706" s="50"/>
      <c r="X706" s="50"/>
      <c r="Y706" s="51"/>
      <c r="Z706" s="52"/>
      <c r="AA706" s="52"/>
      <c r="AB706" s="52"/>
      <c r="AC706" s="52"/>
      <c r="AD706" s="231"/>
      <c r="AE706" s="49"/>
      <c r="AF706" s="84"/>
      <c r="AG706" s="49"/>
      <c r="AH706" s="49"/>
      <c r="AI706" s="49"/>
      <c r="AJ706" s="226"/>
      <c r="AK706" s="49"/>
      <c r="AL706" s="113">
        <f t="shared" si="302"/>
        <v>0</v>
      </c>
      <c r="AM706" s="113">
        <f t="shared" si="301"/>
        <v>0</v>
      </c>
      <c r="AN706" s="218"/>
      <c r="AO706" s="49"/>
      <c r="AP706" s="49"/>
      <c r="AQ706" s="84" t="str">
        <f>UPPER(RIGHT(Journal_Live[[#This Row],[DURATION ]]))</f>
        <v/>
      </c>
      <c r="AR706" s="49"/>
      <c r="AS706" s="55"/>
      <c r="AT706" s="55"/>
      <c r="AU706" s="54"/>
      <c r="AV706" s="56"/>
      <c r="AW706" s="57"/>
      <c r="AX706" s="153"/>
      <c r="AY706" s="153"/>
      <c r="AZ706" s="153"/>
      <c r="BA706" s="153"/>
      <c r="BB706" s="153"/>
      <c r="BC706" s="153"/>
      <c r="BD706" s="151"/>
      <c r="BE706" s="152"/>
      <c r="BF706" s="151"/>
      <c r="BG706" s="94">
        <f>SUM($AV$4:AV706)</f>
        <v>3652.6140742930088</v>
      </c>
      <c r="BH706" s="95">
        <f>SUM($AU$4:AU706)</f>
        <v>41250.639220779361</v>
      </c>
      <c r="BI706" s="80">
        <f>SUMIFS($AU$3:AU709,$Q$3:Q709,"F")</f>
        <v>27533.293506493508</v>
      </c>
      <c r="BJ706" s="80">
        <f>SUMIFS($AU$3:AU709,$Q$3:Q709,"S")</f>
        <v>17842.285714285714</v>
      </c>
      <c r="BK706" s="87">
        <f>SUMIFS($AU$3:AU709,$P$3:P709,"W")</f>
        <v>25576.759220779561</v>
      </c>
      <c r="BL706" s="87">
        <f>SUMIFS($AU$3:AU709,$P$3:P709,"R")</f>
        <v>13226.00000000016</v>
      </c>
      <c r="BM706" s="87">
        <f>SUMIFS($AU$3:AU709,$AQ$3:AQ709,"M")</f>
        <v>9567.1799999991417</v>
      </c>
      <c r="BN706" s="87">
        <f>SUMIFS($AU$3:AU709,$AQ$3:AQ709,"H")</f>
        <v>12363.200000000876</v>
      </c>
      <c r="BO706" s="87">
        <f>SUMIFS($AU$3:AU709,$AQ$3:AQ709,"D")</f>
        <v>2574.9928571427413</v>
      </c>
      <c r="BP706" s="87">
        <f>SUMIFS($AS$3:AS1309,$AO$3:AO1309,"W")</f>
        <v>0</v>
      </c>
      <c r="BQ706" s="87">
        <f>SUMIFS($AU$3:AU709,$Q$3:Q709,"O")</f>
        <v>-5848.9399999998504</v>
      </c>
      <c r="BR706" s="87">
        <f>SUMIFS($AU$3:AU709,$AA$3:AA709,"*")</f>
        <v>31711.122077921998</v>
      </c>
      <c r="BS706" s="87">
        <f>SUMIFS($AU$3:AU709,$AB$3:AB709,"*")</f>
        <v>12623.860000000042</v>
      </c>
      <c r="BT706" s="87">
        <f>SUMIFS($AU$3:AU709,$AC$3:AC709,"*")</f>
        <v>32573.293506493676</v>
      </c>
      <c r="BU706" s="87">
        <f>SUMIFS($AU$3:AU709,$AA$3:AA709,"*",$AB$3:AB709,"*")</f>
        <v>7663.9999999998236</v>
      </c>
      <c r="BV706" s="87">
        <f>SUMIFS($AU$3:AU709,$AA$3:AA709,"*",$AC$3:AC709,"*")</f>
        <v>24153.636363636531</v>
      </c>
      <c r="BW706" s="87">
        <f>SUMIFS($AU$3:AU709,$AB$3:AB709,"*",$AC$3:AC709,"*")</f>
        <v>9360</v>
      </c>
      <c r="BX706" s="87">
        <f>SUMIFS($AV$3:AV709,$Q$3:Q709,"F")</f>
        <v>400.72914667325267</v>
      </c>
      <c r="BY706" s="87">
        <f>SUMIFS($AV$3:AV709,$Q$3:Q709,"S")</f>
        <v>706.32562762001328</v>
      </c>
      <c r="BZ706" s="87">
        <f>SUMIFS($AV$3:AV709,$Q$3:Q709,"O")</f>
        <v>297.55929999973682</v>
      </c>
    </row>
    <row r="707" spans="1:78" ht="15.75" customHeight="1">
      <c r="A707" s="45" t="s">
        <v>1819</v>
      </c>
      <c r="B707" s="59">
        <v>45440</v>
      </c>
      <c r="C707" s="46" t="s">
        <v>888</v>
      </c>
      <c r="D707" s="46" t="s">
        <v>98</v>
      </c>
      <c r="E707" s="66" t="s">
        <v>2255</v>
      </c>
      <c r="F707" s="47"/>
      <c r="G707" s="48"/>
      <c r="H707" s="49"/>
      <c r="I707" s="49"/>
      <c r="J707" s="49">
        <v>1</v>
      </c>
      <c r="K707" s="50" t="s">
        <v>155</v>
      </c>
      <c r="L707" s="49"/>
      <c r="M707" s="49"/>
      <c r="N707" s="49"/>
      <c r="O707" s="50"/>
      <c r="P707" s="50"/>
      <c r="Q707" s="50"/>
      <c r="R707" s="50"/>
      <c r="S707" s="50"/>
      <c r="T707" s="50"/>
      <c r="U707" s="50"/>
      <c r="V707" s="50"/>
      <c r="W707" s="50"/>
      <c r="X707" s="50"/>
      <c r="Y707" s="50"/>
      <c r="Z707" s="50"/>
      <c r="AA707" s="52"/>
      <c r="AB707" s="52"/>
      <c r="AC707" s="52"/>
      <c r="AD707" s="231"/>
      <c r="AE707" s="49"/>
      <c r="AF707" s="84"/>
      <c r="AG707" s="49"/>
      <c r="AH707" s="49"/>
      <c r="AI707" s="49"/>
      <c r="AJ707" s="226"/>
      <c r="AK707" s="49"/>
      <c r="AL707" s="113">
        <f t="shared" si="302"/>
        <v>0</v>
      </c>
      <c r="AM707" s="113">
        <f t="shared" si="301"/>
        <v>0</v>
      </c>
      <c r="AN707" s="218"/>
      <c r="AO707" s="49"/>
      <c r="AP707" s="49"/>
      <c r="AQ707" s="84" t="str">
        <f>UPPER(RIGHT(Journal_Live[[#This Row],[DURATION ]]))</f>
        <v/>
      </c>
      <c r="AR707" s="49"/>
      <c r="AS707" s="55"/>
      <c r="AT707" s="55"/>
      <c r="AU707" s="54"/>
      <c r="AV707" s="56"/>
      <c r="AW707" s="57"/>
      <c r="AX707" s="153"/>
      <c r="AY707" s="153"/>
      <c r="AZ707" s="153"/>
      <c r="BA707" s="153"/>
      <c r="BB707" s="153"/>
      <c r="BC707" s="153"/>
      <c r="BD707" s="151"/>
      <c r="BE707" s="152"/>
      <c r="BF707" s="151"/>
      <c r="BG707" s="94">
        <f>SUM($AV$4:AV707)</f>
        <v>3652.6140742930088</v>
      </c>
      <c r="BH707" s="95">
        <f>SUM($AU$4:AU707)</f>
        <v>41250.639220779361</v>
      </c>
      <c r="BI707" s="80">
        <f>SUMIFS($AU$3:AU708,$Q$3:Q708,"F")</f>
        <v>27533.293506493508</v>
      </c>
      <c r="BJ707" s="80">
        <f>SUMIFS($AU$3:AU708,$Q$3:Q708,"S")</f>
        <v>17842.285714285714</v>
      </c>
      <c r="BK707" s="87">
        <f>SUMIFS($AU$3:AU708,$P$3:P708,"W")</f>
        <v>25576.759220779561</v>
      </c>
      <c r="BL707" s="87">
        <f>SUMIFS($AU$3:AU708,$P$3:P708,"R")</f>
        <v>13226.00000000016</v>
      </c>
      <c r="BM707" s="87">
        <f>SUMIFS($AU$3:AU708,$AQ$3:AQ708,"M")</f>
        <v>9567.1799999991417</v>
      </c>
      <c r="BN707" s="87">
        <f>SUMIFS($AU$3:AU708,$AQ$3:AQ708,"H")</f>
        <v>12363.200000000876</v>
      </c>
      <c r="BO707" s="87">
        <f>SUMIFS($AU$3:AU708,$AQ$3:AQ708,"D")</f>
        <v>2574.9928571427413</v>
      </c>
      <c r="BP707" s="87">
        <f>SUMIFS($AS$3:AS1308,$AO$3:AO1308,"W")</f>
        <v>0</v>
      </c>
      <c r="BQ707" s="87">
        <f>SUMIFS($AU$3:AU708,$Q$3:Q708,"O")</f>
        <v>-5848.9399999998504</v>
      </c>
      <c r="BR707" s="87">
        <f>SUMIFS($AU$3:AU708,$AA$3:AA708,"*")</f>
        <v>31711.122077921998</v>
      </c>
      <c r="BS707" s="87">
        <f>SUMIFS($AU$3:AU708,$AB$3:AB708,"*")</f>
        <v>12623.860000000042</v>
      </c>
      <c r="BT707" s="87">
        <f>SUMIFS($AU$3:AU708,$AC$3:AC708,"*")</f>
        <v>32573.293506493676</v>
      </c>
      <c r="BU707" s="87">
        <f>SUMIFS($AU$3:AU708,$AA$3:AA708,"*",$AB$3:AB708,"*")</f>
        <v>7663.9999999998236</v>
      </c>
      <c r="BV707" s="87">
        <f>SUMIFS($AU$3:AU708,$AA$3:AA708,"*",$AC$3:AC708,"*")</f>
        <v>24153.636363636531</v>
      </c>
      <c r="BW707" s="87">
        <f>SUMIFS($AU$3:AU708,$AB$3:AB708,"*",$AC$3:AC708,"*")</f>
        <v>9360</v>
      </c>
      <c r="BX707" s="87">
        <f>SUMIFS($AV$3:AV708,$Q$3:Q708,"F")</f>
        <v>400.72914667325267</v>
      </c>
      <c r="BY707" s="87">
        <f>SUMIFS($AV$3:AV708,$Q$3:Q708,"S")</f>
        <v>706.32562762001328</v>
      </c>
      <c r="BZ707" s="87">
        <f>SUMIFS($AV$3:AV708,$Q$3:Q708,"O")</f>
        <v>297.55929999973682</v>
      </c>
    </row>
    <row r="708" spans="1:78" ht="15.75" customHeight="1">
      <c r="A708" s="45" t="s">
        <v>1819</v>
      </c>
      <c r="B708" s="59">
        <v>45440</v>
      </c>
      <c r="C708" s="46" t="s">
        <v>2256</v>
      </c>
      <c r="D708" s="46" t="s">
        <v>98</v>
      </c>
      <c r="E708" s="66"/>
      <c r="F708" s="47"/>
      <c r="G708" s="48" t="s">
        <v>2257</v>
      </c>
      <c r="H708" s="49"/>
      <c r="I708" s="49"/>
      <c r="J708" s="49"/>
      <c r="K708" s="50"/>
      <c r="L708" s="49"/>
      <c r="M708" s="49"/>
      <c r="N708" s="49"/>
      <c r="O708" s="50"/>
      <c r="P708" s="50"/>
      <c r="Q708" s="50"/>
      <c r="R708" s="50"/>
      <c r="S708" s="50"/>
      <c r="T708" s="50"/>
      <c r="U708" s="50"/>
      <c r="V708" s="50"/>
      <c r="W708" s="50"/>
      <c r="X708" s="50"/>
      <c r="Y708" s="51"/>
      <c r="Z708" s="52"/>
      <c r="AA708" s="52"/>
      <c r="AB708" s="52"/>
      <c r="AC708" s="52"/>
      <c r="AD708" s="231"/>
      <c r="AE708" s="49"/>
      <c r="AF708" s="84"/>
      <c r="AG708" s="49"/>
      <c r="AH708" s="49"/>
      <c r="AI708" s="49"/>
      <c r="AJ708" s="226"/>
      <c r="AK708" s="49"/>
      <c r="AL708" s="113">
        <f t="shared" si="302"/>
        <v>0</v>
      </c>
      <c r="AM708" s="113">
        <f t="shared" si="301"/>
        <v>0</v>
      </c>
      <c r="AN708" s="218"/>
      <c r="AO708" s="49"/>
      <c r="AP708" s="49"/>
      <c r="AQ708" s="84" t="str">
        <f>UPPER(RIGHT(Journal_Live[[#This Row],[DURATION ]]))</f>
        <v/>
      </c>
      <c r="AR708" s="49"/>
      <c r="AS708" s="55"/>
      <c r="AT708" s="55"/>
      <c r="AU708" s="54"/>
      <c r="AV708" s="56"/>
      <c r="AW708" s="57"/>
      <c r="AX708" s="153"/>
      <c r="AY708" s="153"/>
      <c r="AZ708" s="153"/>
      <c r="BA708" s="153"/>
      <c r="BB708" s="153"/>
      <c r="BC708" s="153"/>
      <c r="BD708" s="151"/>
      <c r="BE708" s="152"/>
      <c r="BF708" s="151"/>
      <c r="BG708" s="94">
        <f>SUM($AV$4:AV708)</f>
        <v>3652.6140742930088</v>
      </c>
      <c r="BH708" s="95">
        <f>SUM($AU$4:AU708)</f>
        <v>41250.639220779361</v>
      </c>
      <c r="BI708" s="80">
        <f>SUMIFS($AU$3:AU709,$Q$3:Q709,"F")</f>
        <v>27533.293506493508</v>
      </c>
      <c r="BJ708" s="80">
        <f>SUMIFS($AU$3:AU709,$Q$3:Q709,"S")</f>
        <v>17842.285714285714</v>
      </c>
      <c r="BK708" s="87">
        <f>SUMIFS($AU$3:AU709,$P$3:P709,"W")</f>
        <v>25576.759220779561</v>
      </c>
      <c r="BL708" s="87">
        <f>SUMIFS($AU$3:AU709,$P$3:P709,"R")</f>
        <v>13226.00000000016</v>
      </c>
      <c r="BM708" s="87">
        <f>SUMIFS($AU$3:AU709,$AQ$3:AQ709,"M")</f>
        <v>9567.1799999991417</v>
      </c>
      <c r="BN708" s="87">
        <f>SUMIFS($AU$3:AU709,$AQ$3:AQ709,"H")</f>
        <v>12363.200000000876</v>
      </c>
      <c r="BO708" s="87">
        <f>SUMIFS($AU$3:AU709,$AQ$3:AQ709,"D")</f>
        <v>2574.9928571427413</v>
      </c>
      <c r="BP708" s="87">
        <f>SUMIFS($AS$3:AS1309,$AO$3:AO1309,"W")</f>
        <v>0</v>
      </c>
      <c r="BQ708" s="87">
        <f>SUMIFS($AU$3:AU709,$Q$3:Q709,"O")</f>
        <v>-5848.9399999998504</v>
      </c>
      <c r="BR708" s="87">
        <f>SUMIFS($AU$3:AU709,$AA$3:AA709,"*")</f>
        <v>31711.122077921998</v>
      </c>
      <c r="BS708" s="87">
        <f>SUMIFS($AU$3:AU709,$AB$3:AB709,"*")</f>
        <v>12623.860000000042</v>
      </c>
      <c r="BT708" s="87">
        <f>SUMIFS($AU$3:AU709,$AC$3:AC709,"*")</f>
        <v>32573.293506493676</v>
      </c>
      <c r="BU708" s="87">
        <f>SUMIFS($AU$3:AU709,$AA$3:AA709,"*",$AB$3:AB709,"*")</f>
        <v>7663.9999999998236</v>
      </c>
      <c r="BV708" s="87">
        <f>SUMIFS($AU$3:AU709,$AA$3:AA709,"*",$AC$3:AC709,"*")</f>
        <v>24153.636363636531</v>
      </c>
      <c r="BW708" s="87">
        <f>SUMIFS($AU$3:AU709,$AB$3:AB709,"*",$AC$3:AC709,"*")</f>
        <v>9360</v>
      </c>
      <c r="BX708" s="87">
        <f>SUMIFS($AV$3:AV709,$Q$3:Q709,"F")</f>
        <v>400.72914667325267</v>
      </c>
      <c r="BY708" s="87">
        <f>SUMIFS($AV$3:AV709,$Q$3:Q709,"S")</f>
        <v>706.32562762001328</v>
      </c>
      <c r="BZ708" s="87">
        <f>SUMIFS($AV$3:AV709,$Q$3:Q709,"O")</f>
        <v>297.55929999973682</v>
      </c>
    </row>
    <row r="709" spans="1:78" ht="15.75" customHeight="1">
      <c r="A709" s="45" t="s">
        <v>1819</v>
      </c>
      <c r="B709" s="59">
        <v>45440</v>
      </c>
      <c r="C709" s="46" t="s">
        <v>2258</v>
      </c>
      <c r="D709" s="46" t="s">
        <v>98</v>
      </c>
      <c r="E709" s="66"/>
      <c r="F709" s="47"/>
      <c r="G709" s="48" t="s">
        <v>2257</v>
      </c>
      <c r="H709" s="49"/>
      <c r="I709" s="49"/>
      <c r="J709" s="49"/>
      <c r="K709" s="50"/>
      <c r="L709" s="49"/>
      <c r="M709" s="49"/>
      <c r="N709" s="49"/>
      <c r="O709" s="50"/>
      <c r="P709" s="50"/>
      <c r="Q709" s="50"/>
      <c r="R709" s="50"/>
      <c r="S709" s="50"/>
      <c r="T709" s="50"/>
      <c r="U709" s="50"/>
      <c r="V709" s="50"/>
      <c r="W709" s="50"/>
      <c r="X709" s="50"/>
      <c r="Y709" s="51"/>
      <c r="Z709" s="52"/>
      <c r="AA709" s="52"/>
      <c r="AB709" s="52"/>
      <c r="AC709" s="52"/>
      <c r="AD709" s="231"/>
      <c r="AE709" s="49"/>
      <c r="AF709" s="84"/>
      <c r="AG709" s="49"/>
      <c r="AH709" s="49"/>
      <c r="AI709" s="49"/>
      <c r="AJ709" s="226"/>
      <c r="AK709" s="49"/>
      <c r="AL709" s="113">
        <f t="shared" si="298"/>
        <v>0</v>
      </c>
      <c r="AM709" s="113">
        <f t="shared" si="301"/>
        <v>0</v>
      </c>
      <c r="AN709" s="218"/>
      <c r="AO709" s="49"/>
      <c r="AP709" s="49"/>
      <c r="AQ709" s="84" t="str">
        <f>UPPER(RIGHT(Journal_Live[[#This Row],[DURATION ]]))</f>
        <v/>
      </c>
      <c r="AR709" s="49"/>
      <c r="AS709" s="55"/>
      <c r="AT709" s="55"/>
      <c r="AU709" s="54"/>
      <c r="AV709" s="56"/>
      <c r="AW709" s="57"/>
      <c r="AX709" s="153"/>
      <c r="AY709" s="153"/>
      <c r="AZ709" s="153"/>
      <c r="BA709" s="153"/>
      <c r="BB709" s="153"/>
      <c r="BC709" s="153"/>
      <c r="BD709" s="151"/>
      <c r="BE709" s="152"/>
      <c r="BF709" s="151"/>
      <c r="BG709" s="94">
        <f>SUM($AV$4:AV709)</f>
        <v>3652.6140742930088</v>
      </c>
      <c r="BH709" s="95">
        <f>SUM($AU$4:AU709)</f>
        <v>41250.639220779361</v>
      </c>
      <c r="BI709" s="80">
        <f>SUMIFS($AU$3:AU710,$Q$3:Q710,"F")</f>
        <v>29133.293506493508</v>
      </c>
      <c r="BJ709" s="80">
        <f>SUMIFS($AU$3:AU710,$Q$3:Q710,"S")</f>
        <v>17842.285714285714</v>
      </c>
      <c r="BK709" s="87">
        <f>SUMIFS($AU$3:AU710,$P$3:P710,"W")</f>
        <v>25576.759220779561</v>
      </c>
      <c r="BL709" s="87">
        <f>SUMIFS($AU$3:AU710,$P$3:P710,"R")</f>
        <v>14826.00000000016</v>
      </c>
      <c r="BM709" s="87">
        <f>SUMIFS($AU$3:AU710,$AQ$3:AQ710,"M")</f>
        <v>9567.1799999991417</v>
      </c>
      <c r="BN709" s="87">
        <f>SUMIFS($AU$3:AU710,$AQ$3:AQ710,"H")</f>
        <v>12363.200000000876</v>
      </c>
      <c r="BO709" s="87">
        <f>SUMIFS($AU$3:AU710,$AQ$3:AQ710,"D")</f>
        <v>4174.9928571427417</v>
      </c>
      <c r="BP709" s="87">
        <f>SUMIFS($AS$3:AS1310,$AO$3:AO1310,"W")</f>
        <v>0</v>
      </c>
      <c r="BQ709" s="87">
        <f>SUMIFS($AU$3:AU710,$Q$3:Q710,"O")</f>
        <v>-5848.9399999998504</v>
      </c>
      <c r="BR709" s="87">
        <f>SUMIFS($AU$3:AU710,$AA$3:AA710,"*")</f>
        <v>33311.122077922002</v>
      </c>
      <c r="BS709" s="87">
        <f>SUMIFS($AU$3:AU710,$AB$3:AB710,"*")</f>
        <v>12623.860000000042</v>
      </c>
      <c r="BT709" s="87">
        <f>SUMIFS($AU$3:AU710,$AC$3:AC710,"*")</f>
        <v>34173.293506493676</v>
      </c>
      <c r="BU709" s="87">
        <f>SUMIFS($AU$3:AU710,$AA$3:AA710,"*",$AB$3:AB710,"*")</f>
        <v>7663.9999999998236</v>
      </c>
      <c r="BV709" s="87">
        <f>SUMIFS($AU$3:AU710,$AA$3:AA710,"*",$AC$3:AC710,"*")</f>
        <v>25753.636363636531</v>
      </c>
      <c r="BW709" s="87">
        <f>SUMIFS($AU$3:AU710,$AB$3:AB710,"*",$AC$3:AC710,"*")</f>
        <v>9360</v>
      </c>
      <c r="BX709" s="87">
        <f>SUMIFS($AV$3:AV710,$Q$3:Q710,"F")</f>
        <v>416.72914667325267</v>
      </c>
      <c r="BY709" s="87">
        <f>SUMIFS($AV$3:AV710,$Q$3:Q710,"S")</f>
        <v>706.32562762001328</v>
      </c>
      <c r="BZ709" s="87">
        <f>SUMIFS($AV$3:AV710,$Q$3:Q710,"O")</f>
        <v>297.55929999973682</v>
      </c>
    </row>
    <row r="710" spans="1:78" ht="15.75" customHeight="1">
      <c r="A710" s="45" t="s">
        <v>1819</v>
      </c>
      <c r="B710" s="59">
        <v>45440</v>
      </c>
      <c r="C710" s="46" t="s">
        <v>2099</v>
      </c>
      <c r="D710" s="46" t="s">
        <v>98</v>
      </c>
      <c r="E710" s="66"/>
      <c r="F710" s="47"/>
      <c r="G710" s="104" t="s">
        <v>2259</v>
      </c>
      <c r="H710" s="49"/>
      <c r="I710" s="49"/>
      <c r="J710" s="49"/>
      <c r="K710" s="50"/>
      <c r="L710" s="49"/>
      <c r="M710" s="49"/>
      <c r="N710" s="49"/>
      <c r="O710" s="50" t="s">
        <v>100</v>
      </c>
      <c r="P710" s="50" t="s">
        <v>126</v>
      </c>
      <c r="Q710" s="50" t="s">
        <v>127</v>
      </c>
      <c r="R710" s="50">
        <v>100</v>
      </c>
      <c r="S710" s="50">
        <v>0</v>
      </c>
      <c r="T710" s="50">
        <v>50</v>
      </c>
      <c r="U710" s="50" t="s">
        <v>22</v>
      </c>
      <c r="V710" s="50"/>
      <c r="W710" s="50"/>
      <c r="X710" s="50"/>
      <c r="Y710" s="51">
        <f>IF(ISBLANK(O710),"",(IF(O710=UPPER("IB"),0.005,0.01)))</f>
        <v>0.01</v>
      </c>
      <c r="Z710" s="52">
        <f>IF(ISBLANK(O710),"",IF(O710="IB",8.63*200,IF(O710="IR",16*100,IF(O710="YT",20*100,IF(O710="YT-XT",24*200,IF(O710="TED",80*100,IF(O710="XT",29*200)))))))</f>
        <v>1600</v>
      </c>
      <c r="AA710" s="52" t="s">
        <v>2260</v>
      </c>
      <c r="AB710" s="52"/>
      <c r="AC710" s="52" t="s">
        <v>2261</v>
      </c>
      <c r="AD710" s="231">
        <v>-0.05</v>
      </c>
      <c r="AE710" s="49"/>
      <c r="AF710" s="84"/>
      <c r="AG710" s="49"/>
      <c r="AH710" s="49"/>
      <c r="AI710" s="49"/>
      <c r="AJ710" s="226"/>
      <c r="AK710" s="49"/>
      <c r="AL710" s="113">
        <f t="shared" ref="AL710:AL734" si="304">-0.02*Z710</f>
        <v>-32</v>
      </c>
      <c r="AM710" s="113">
        <f t="shared" si="301"/>
        <v>-3200</v>
      </c>
      <c r="AN710" s="218"/>
      <c r="AO710" s="49"/>
      <c r="AP710" s="49" t="s">
        <v>1369</v>
      </c>
      <c r="AQ710" s="84" t="s">
        <v>155</v>
      </c>
      <c r="AR710" s="49" t="s">
        <v>2262</v>
      </c>
      <c r="AS710" s="55">
        <v>-0.04</v>
      </c>
      <c r="AT710" s="55">
        <f>IF(ISBLANK(AS710),,IF(U710="S",AD710-AS710,AS710-AD710))</f>
        <v>1.0000000000000002E-2</v>
      </c>
      <c r="AU710" s="54">
        <f>AV710*R710</f>
        <v>1600.0000000000005</v>
      </c>
      <c r="AV710" s="56">
        <f t="shared" ref="AV710:AV716" si="305">IF(ISBLANK(AS710),,(AT710*Z710))</f>
        <v>16.000000000000004</v>
      </c>
      <c r="AW710" s="57" t="s">
        <v>101</v>
      </c>
      <c r="AX710" s="153"/>
      <c r="AY710" s="153"/>
      <c r="AZ710" s="153"/>
      <c r="BA710" s="153"/>
      <c r="BB710" s="153"/>
      <c r="BC710" s="153"/>
      <c r="BD710" s="151"/>
      <c r="BE710" s="152"/>
      <c r="BF710" s="151"/>
      <c r="BG710" s="94">
        <f>SUM($AV$4:AV710)</f>
        <v>3668.6140742930088</v>
      </c>
      <c r="BH710" s="95">
        <f>SUM($AU$4:AU710)</f>
        <v>42850.639220779361</v>
      </c>
      <c r="BI710" s="80">
        <f>SUMIFS($AU$3:AU734,$Q$3:Q734,"F")</f>
        <v>32973.293506493508</v>
      </c>
      <c r="BJ710" s="80">
        <f>SUMIFS($AU$3:AU734,$Q$3:Q734,"S")</f>
        <v>20002.285714285714</v>
      </c>
      <c r="BK710" s="87">
        <f>SUMIFS($AU$3:AU734,$P$3:P734,"W")</f>
        <v>31576.759220779561</v>
      </c>
      <c r="BL710" s="87">
        <f>SUMIFS($AU$3:AU734,$P$3:P734,"R")</f>
        <v>15726.00000000016</v>
      </c>
      <c r="BM710" s="87">
        <f>SUMIFS($AU$3:AU734,$AQ$3:AQ734,"M")</f>
        <v>10931.179999998967</v>
      </c>
      <c r="BN710" s="87">
        <f>SUMIFS($AU$3:AU734,$AQ$3:AQ734,"H")</f>
        <v>14523.200000000877</v>
      </c>
      <c r="BO710" s="87">
        <f>SUMIFS($AU$3:AU734,$AQ$3:AQ734,"D")</f>
        <v>8014.9928571427408</v>
      </c>
      <c r="BP710" s="87">
        <f>SUMIFS($AS$3:AS1311,$AO$3:AO1311,"W")</f>
        <v>0</v>
      </c>
      <c r="BQ710" s="87">
        <f>SUMIFS($AU$3:AU734,$Q$3:Q734,"O")</f>
        <v>-5384.9400000000251</v>
      </c>
      <c r="BR710" s="87">
        <f>SUMIFS($AU$3:AU734,$AA$3:AA734,"*")</f>
        <v>37075.122077921827</v>
      </c>
      <c r="BS710" s="87">
        <f>SUMIFS($AU$3:AU734,$AB$3:AB734,"*")</f>
        <v>12971.859999999973</v>
      </c>
      <c r="BT710" s="87">
        <f>SUMIFS($AU$3:AU734,$AC$3:AC734,"*")</f>
        <v>40173.293506493676</v>
      </c>
      <c r="BU710" s="87">
        <f>SUMIFS($AU$3:AU734,$AA$3:AA734,"*",$AB$3:AB734,"*")</f>
        <v>8011.9999999997544</v>
      </c>
      <c r="BV710" s="87">
        <f>SUMIFS($AU$3:AU734,$AA$3:AA734,"*",$AC$3:AC734,"*")</f>
        <v>28153.636363636531</v>
      </c>
      <c r="BW710" s="87">
        <f>SUMIFS($AU$3:AU734,$AB$3:AB734,"*",$AC$3:AC734,"*")</f>
        <v>9360</v>
      </c>
      <c r="BX710" s="87">
        <f>SUMIFS($AV$3:AV734,$Q$3:Q734,"F")</f>
        <v>462.72914667325267</v>
      </c>
      <c r="BY710" s="87">
        <f>SUMIFS($AV$3:AV734,$Q$3:Q734,"S")</f>
        <v>738.32562762001328</v>
      </c>
      <c r="BZ710" s="87">
        <f>SUMIFS($AV$3:AV734,$Q$3:Q734,"O")</f>
        <v>471.55929999966099</v>
      </c>
    </row>
    <row r="711" spans="1:78" ht="15.75" customHeight="1">
      <c r="A711" s="45" t="s">
        <v>1819</v>
      </c>
      <c r="B711" s="59">
        <v>45440</v>
      </c>
      <c r="C711" s="46" t="s">
        <v>2099</v>
      </c>
      <c r="D711" s="46" t="s">
        <v>98</v>
      </c>
      <c r="E711" s="66"/>
      <c r="F711" s="47"/>
      <c r="G711" s="104" t="s">
        <v>111</v>
      </c>
      <c r="H711" s="49"/>
      <c r="I711" s="49"/>
      <c r="J711" s="49"/>
      <c r="K711" s="50"/>
      <c r="L711" s="49"/>
      <c r="M711" s="49"/>
      <c r="N711" s="49"/>
      <c r="O711" s="50" t="s">
        <v>100</v>
      </c>
      <c r="P711" s="50" t="s">
        <v>101</v>
      </c>
      <c r="Q711" s="50" t="s">
        <v>102</v>
      </c>
      <c r="R711" s="50">
        <v>30</v>
      </c>
      <c r="S711" s="50">
        <v>0</v>
      </c>
      <c r="T711" s="50">
        <v>60</v>
      </c>
      <c r="U711" s="50" t="s">
        <v>22</v>
      </c>
      <c r="V711" s="50"/>
      <c r="W711" s="50"/>
      <c r="X711" s="50"/>
      <c r="Y711" s="51">
        <f>IF(ISBLANK(O711),"",(IF(O711=UPPER("IB"),0.005,0.01)))</f>
        <v>0.01</v>
      </c>
      <c r="Z711" s="52">
        <f>IF(ISBLANK(O711),"",IF(O711="IB",8.63*200,IF(O711="IR",16*100,IF(O711="YT",20*100,IF(O711="YT-XT",24*200,IF(O711="TED",80*100,IF(O711="XT",29*200)))))))</f>
        <v>1600</v>
      </c>
      <c r="AA711" s="52" t="s">
        <v>1251</v>
      </c>
      <c r="AB711" s="52"/>
      <c r="AC711" s="52"/>
      <c r="AD711" s="231">
        <v>0.05</v>
      </c>
      <c r="AE711" s="49"/>
      <c r="AF711" s="84"/>
      <c r="AG711" s="49"/>
      <c r="AH711" s="49"/>
      <c r="AI711" s="49"/>
      <c r="AJ711" s="226"/>
      <c r="AK711" s="49"/>
      <c r="AL711" s="113">
        <f t="shared" si="304"/>
        <v>-32</v>
      </c>
      <c r="AM711" s="113">
        <f t="shared" si="301"/>
        <v>-960</v>
      </c>
      <c r="AN711" s="218"/>
      <c r="AO711" s="49"/>
      <c r="AP711" s="49"/>
      <c r="AQ711" s="84" t="str">
        <f>UPPER(RIGHT(Journal_Live[[#This Row],[DURATION ]]))</f>
        <v/>
      </c>
      <c r="AR711" s="49"/>
      <c r="AS711" s="55">
        <v>0.05</v>
      </c>
      <c r="AT711" s="55">
        <f>IF(ISBLANK(AS711),,IF(U711="S",AD711-AS711,AS711-AD711))</f>
        <v>0</v>
      </c>
      <c r="AU711" s="54">
        <f>AV711*R711</f>
        <v>0</v>
      </c>
      <c r="AV711" s="56">
        <f t="shared" si="305"/>
        <v>0</v>
      </c>
      <c r="AW711" s="57" t="s">
        <v>155</v>
      </c>
      <c r="AX711" s="153"/>
      <c r="AY711" s="153"/>
      <c r="AZ711" s="153"/>
      <c r="BA711" s="153"/>
      <c r="BB711" s="153"/>
      <c r="BC711" s="153"/>
      <c r="BD711" s="151"/>
      <c r="BE711" s="152"/>
      <c r="BF711" s="151"/>
      <c r="BG711" s="94">
        <f>SUM($AV$4:AV711)</f>
        <v>3668.6140742930088</v>
      </c>
      <c r="BH711" s="95">
        <f>SUM($AU$4:AU711)</f>
        <v>42850.639220779361</v>
      </c>
      <c r="BI711" s="80">
        <f>SUMIFS($AU$3:AU712,$Q$3:Q712,"F")</f>
        <v>29133.293506493508</v>
      </c>
      <c r="BJ711" s="80">
        <f>SUMIFS($AU$3:AU712,$Q$3:Q712,"S")</f>
        <v>17842.285714285714</v>
      </c>
      <c r="BK711" s="87">
        <f>SUMIFS($AU$3:AU712,$P$3:P712,"W")</f>
        <v>25576.759220779561</v>
      </c>
      <c r="BL711" s="87">
        <f>SUMIFS($AU$3:AU712,$P$3:P712,"R")</f>
        <v>14826.00000000016</v>
      </c>
      <c r="BM711" s="87">
        <f>SUMIFS($AU$3:AU712,$AQ$3:AQ712,"M")</f>
        <v>9567.1799999991417</v>
      </c>
      <c r="BN711" s="87">
        <f>SUMIFS($AU$3:AU712,$AQ$3:AQ712,"H")</f>
        <v>12363.200000000876</v>
      </c>
      <c r="BO711" s="87">
        <f>SUMIFS($AU$3:AU712,$AQ$3:AQ712,"D")</f>
        <v>4174.9928571427417</v>
      </c>
      <c r="BP711" s="87">
        <f>SUMIFS($AS$3:AS1303,$AO$3:AO1303,"W")</f>
        <v>0</v>
      </c>
      <c r="BQ711" s="87">
        <f>SUMIFS($AU$3:AU712,$Q$3:Q712,"O")</f>
        <v>-5848.9399999998504</v>
      </c>
      <c r="BR711" s="87">
        <f>SUMIFS($AU$3:AU712,$AA$3:AA712,"*")</f>
        <v>33311.122077922002</v>
      </c>
      <c r="BS711" s="87">
        <f>SUMIFS($AU$3:AU712,$AB$3:AB712,"*")</f>
        <v>12623.860000000042</v>
      </c>
      <c r="BT711" s="87">
        <f>SUMIFS($AU$3:AU712,$AC$3:AC712,"*")</f>
        <v>34173.293506493676</v>
      </c>
      <c r="BU711" s="87">
        <f>SUMIFS($AU$3:AU712,$AA$3:AA712,"*",$AB$3:AB712,"*")</f>
        <v>7663.9999999998236</v>
      </c>
      <c r="BV711" s="87">
        <f>SUMIFS($AU$3:AU712,$AA$3:AA712,"*",$AC$3:AC712,"*")</f>
        <v>25753.636363636531</v>
      </c>
      <c r="BW711" s="87">
        <f>SUMIFS($AU$3:AU712,$AB$3:AB712,"*",$AC$3:AC712,"*")</f>
        <v>9360</v>
      </c>
      <c r="BX711" s="87">
        <f>SUMIFS($AV$3:AV712,$Q$3:Q712,"F")</f>
        <v>416.72914667325267</v>
      </c>
      <c r="BY711" s="87">
        <f>SUMIFS($AV$3:AV712,$Q$3:Q712,"S")</f>
        <v>706.32562762001328</v>
      </c>
      <c r="BZ711" s="87">
        <f>SUMIFS($AV$3:AV712,$Q$3:Q712,"O")</f>
        <v>297.55929999973682</v>
      </c>
    </row>
    <row r="712" spans="1:78" ht="15.75" customHeight="1">
      <c r="A712" s="45" t="s">
        <v>1819</v>
      </c>
      <c r="B712" s="59">
        <v>45441</v>
      </c>
      <c r="C712" s="46" t="s">
        <v>194</v>
      </c>
      <c r="D712" s="46" t="s">
        <v>186</v>
      </c>
      <c r="E712" s="66" t="s">
        <v>2263</v>
      </c>
      <c r="F712" s="47"/>
      <c r="G712" s="48"/>
      <c r="H712" s="49">
        <v>1</v>
      </c>
      <c r="I712" s="49"/>
      <c r="J712" s="49"/>
      <c r="K712" s="50" t="s">
        <v>142</v>
      </c>
      <c r="L712" s="49"/>
      <c r="M712" s="49"/>
      <c r="N712" s="49"/>
      <c r="O712" s="50"/>
      <c r="P712" s="50"/>
      <c r="Q712" s="50"/>
      <c r="R712" s="50"/>
      <c r="S712" s="50"/>
      <c r="T712" s="50"/>
      <c r="U712" s="50"/>
      <c r="V712" s="50"/>
      <c r="W712" s="50"/>
      <c r="X712" s="50"/>
      <c r="Y712" s="50"/>
      <c r="Z712" s="50"/>
      <c r="AA712" s="52"/>
      <c r="AB712" s="52"/>
      <c r="AC712" s="52"/>
      <c r="AD712" s="231"/>
      <c r="AE712" s="49"/>
      <c r="AF712" s="84"/>
      <c r="AG712" s="49"/>
      <c r="AH712" s="49"/>
      <c r="AI712" s="49"/>
      <c r="AJ712" s="226"/>
      <c r="AK712" s="49"/>
      <c r="AL712" s="113">
        <f t="shared" si="304"/>
        <v>0</v>
      </c>
      <c r="AM712" s="113">
        <f t="shared" si="301"/>
        <v>0</v>
      </c>
      <c r="AN712" s="218"/>
      <c r="AO712" s="49"/>
      <c r="AP712" s="49"/>
      <c r="AQ712" s="84" t="str">
        <f>UPPER(RIGHT(Journal_Live[[#This Row],[DURATION ]]))</f>
        <v/>
      </c>
      <c r="AR712" s="49"/>
      <c r="AS712" s="55"/>
      <c r="AT712" s="55"/>
      <c r="AU712" s="54"/>
      <c r="AV712" s="56"/>
      <c r="AW712" s="57"/>
      <c r="AX712" s="153"/>
      <c r="AY712" s="153"/>
      <c r="AZ712" s="153"/>
      <c r="BA712" s="153"/>
      <c r="BB712" s="153"/>
      <c r="BC712" s="153"/>
      <c r="BD712" s="151"/>
      <c r="BE712" s="152"/>
      <c r="BF712" s="151"/>
      <c r="BG712" s="94">
        <f>SUM($AV$4:AV712)</f>
        <v>3668.6140742930088</v>
      </c>
      <c r="BH712" s="95">
        <f>SUM($AU$4:AU712)</f>
        <v>42850.639220779361</v>
      </c>
      <c r="BI712" s="80">
        <f>SUMIFS($AU$3:AU713,$Q$3:Q713,"F")</f>
        <v>29133.293506493508</v>
      </c>
      <c r="BJ712" s="80">
        <f>SUMIFS($AU$3:AU713,$Q$3:Q713,"S")</f>
        <v>17842.285714285714</v>
      </c>
      <c r="BK712" s="87">
        <f>SUMIFS($AU$3:AU713,$P$3:P713,"W")</f>
        <v>25576.759220779561</v>
      </c>
      <c r="BL712" s="87">
        <f>SUMIFS($AU$3:AU713,$P$3:P713,"R")</f>
        <v>14826.00000000016</v>
      </c>
      <c r="BM712" s="87">
        <f>SUMIFS($AU$3:AU713,$AQ$3:AQ713,"M")</f>
        <v>9915.1799999990726</v>
      </c>
      <c r="BN712" s="87">
        <f>SUMIFS($AU$3:AU713,$AQ$3:AQ713,"H")</f>
        <v>12363.200000000876</v>
      </c>
      <c r="BO712" s="87">
        <f>SUMIFS($AU$3:AU713,$AQ$3:AQ713,"D")</f>
        <v>4174.9928571427417</v>
      </c>
      <c r="BP712" s="87">
        <f>SUMIFS($AS$3:AS1304,$AO$3:AO1304,"W")</f>
        <v>0</v>
      </c>
      <c r="BQ712" s="87">
        <f>SUMIFS($AU$3:AU713,$Q$3:Q713,"O")</f>
        <v>-5500.9399999999196</v>
      </c>
      <c r="BR712" s="87">
        <f>SUMIFS($AU$3:AU713,$AA$3:AA713,"*")</f>
        <v>33659.122077921929</v>
      </c>
      <c r="BS712" s="87">
        <f>SUMIFS($AU$3:AU713,$AB$3:AB713,"*")</f>
        <v>12971.859999999973</v>
      </c>
      <c r="BT712" s="87">
        <f>SUMIFS($AU$3:AU713,$AC$3:AC713,"*")</f>
        <v>34173.293506493676</v>
      </c>
      <c r="BU712" s="87">
        <f>SUMIFS($AU$3:AU713,$AA$3:AA713,"*",$AB$3:AB713,"*")</f>
        <v>8011.9999999997544</v>
      </c>
      <c r="BV712" s="87">
        <f>SUMIFS($AU$3:AU713,$AA$3:AA713,"*",$AC$3:AC713,"*")</f>
        <v>25753.636363636531</v>
      </c>
      <c r="BW712" s="87">
        <f>SUMIFS($AU$3:AU713,$AB$3:AB713,"*",$AC$3:AC713,"*")</f>
        <v>9360</v>
      </c>
      <c r="BX712" s="87">
        <f>SUMIFS($AV$3:AV713,$Q$3:Q713,"F")</f>
        <v>416.72914667325267</v>
      </c>
      <c r="BY712" s="87">
        <f>SUMIFS($AV$3:AV713,$Q$3:Q713,"S")</f>
        <v>706.32562762001328</v>
      </c>
      <c r="BZ712" s="87">
        <f>SUMIFS($AV$3:AV713,$Q$3:Q713,"O")</f>
        <v>413.55929999971374</v>
      </c>
    </row>
    <row r="713" spans="1:78" ht="15.75" customHeight="1">
      <c r="A713" s="45" t="s">
        <v>1819</v>
      </c>
      <c r="B713" s="59">
        <v>45441</v>
      </c>
      <c r="C713" s="46" t="s">
        <v>840</v>
      </c>
      <c r="D713" s="46" t="s">
        <v>186</v>
      </c>
      <c r="E713" s="66"/>
      <c r="F713" s="47"/>
      <c r="G713" s="104" t="s">
        <v>1169</v>
      </c>
      <c r="H713" s="49"/>
      <c r="I713" s="49"/>
      <c r="J713" s="49"/>
      <c r="K713" s="50"/>
      <c r="L713" s="49">
        <v>1</v>
      </c>
      <c r="M713" s="49">
        <v>1</v>
      </c>
      <c r="N713" s="49"/>
      <c r="O713" s="50" t="s">
        <v>196</v>
      </c>
      <c r="P713" s="50" t="s">
        <v>197</v>
      </c>
      <c r="Q713" s="50" t="s">
        <v>198</v>
      </c>
      <c r="R713" s="50">
        <v>3</v>
      </c>
      <c r="S713" s="50">
        <v>0</v>
      </c>
      <c r="T713" s="50">
        <v>3</v>
      </c>
      <c r="U713" s="50" t="s">
        <v>102</v>
      </c>
      <c r="V713" s="50"/>
      <c r="W713" s="50"/>
      <c r="X713" s="50"/>
      <c r="Y713" s="51">
        <f>IF(ISBLANK(O713),"",(IF(O713=UPPER("IB"),0.005,0.01)))</f>
        <v>0.01</v>
      </c>
      <c r="Z713" s="52">
        <f>IF(ISBLANK(O713),"",IF(O713="IB",8.63*200,IF(O713="IR",16*100,IF(O713="YT",20*100,IF(O713="YT-XT",24*200,IF(O713="TED",80*100,IF(O713="XT",29*200)))))))</f>
        <v>5800</v>
      </c>
      <c r="AA713" s="52" t="s">
        <v>2264</v>
      </c>
      <c r="AB713" s="52" t="s">
        <v>2265</v>
      </c>
      <c r="AC713" s="52"/>
      <c r="AD713" s="231">
        <v>95.614999999999995</v>
      </c>
      <c r="AE713" s="49"/>
      <c r="AF713" s="84"/>
      <c r="AG713" s="49"/>
      <c r="AH713" s="49"/>
      <c r="AI713" s="49"/>
      <c r="AJ713" s="226"/>
      <c r="AK713" s="49"/>
      <c r="AL713" s="113">
        <f t="shared" si="304"/>
        <v>-116</v>
      </c>
      <c r="AM713" s="113">
        <f t="shared" si="301"/>
        <v>-348</v>
      </c>
      <c r="AN713" s="218"/>
      <c r="AO713" s="49"/>
      <c r="AP713" s="49"/>
      <c r="AQ713" s="84" t="s">
        <v>350</v>
      </c>
      <c r="AR713" s="49"/>
      <c r="AS713" s="55">
        <v>95.594999999999999</v>
      </c>
      <c r="AT713" s="55">
        <f>IF(ISBLANK(AS713),,IF(U713="S",AD713-AS713,AS713-AD713))</f>
        <v>1.9999999999996021E-2</v>
      </c>
      <c r="AU713" s="54">
        <f>AV713*R713</f>
        <v>347.99999999993076</v>
      </c>
      <c r="AV713" s="56">
        <f t="shared" si="305"/>
        <v>115.99999999997692</v>
      </c>
      <c r="AW713" s="57" t="s">
        <v>101</v>
      </c>
      <c r="AX713" s="153"/>
      <c r="AY713" s="153"/>
      <c r="AZ713" s="153"/>
      <c r="BA713" s="153"/>
      <c r="BB713" s="153"/>
      <c r="BC713" s="153"/>
      <c r="BD713" s="151"/>
      <c r="BE713" s="152"/>
      <c r="BF713" s="151"/>
      <c r="BG713" s="94">
        <f>SUM($AV$4:AV713)</f>
        <v>3784.6140742929856</v>
      </c>
      <c r="BH713" s="95">
        <f>SUM($AU$4:AU713)</f>
        <v>43198.639220779289</v>
      </c>
      <c r="BI713" s="80">
        <f>SUMIFS($AU$3:AU714,$Q$3:Q714,"F")</f>
        <v>29133.293506493508</v>
      </c>
      <c r="BJ713" s="80">
        <f>SUMIFS($AU$3:AU714,$Q$3:Q714,"S")</f>
        <v>17842.285714285714</v>
      </c>
      <c r="BK713" s="87">
        <f>SUMIFS($AU$3:AU714,$P$3:P714,"W")</f>
        <v>25576.759220779561</v>
      </c>
      <c r="BL713" s="87">
        <f>SUMIFS($AU$3:AU714,$P$3:P714,"R")</f>
        <v>14826.00000000016</v>
      </c>
      <c r="BM713" s="87">
        <f>SUMIFS($AU$3:AU714,$AQ$3:AQ714,"M")</f>
        <v>9915.1799999990726</v>
      </c>
      <c r="BN713" s="87">
        <f>SUMIFS($AU$3:AU714,$AQ$3:AQ714,"H")</f>
        <v>12363.200000000876</v>
      </c>
      <c r="BO713" s="87">
        <f>SUMIFS($AU$3:AU714,$AQ$3:AQ714,"D")</f>
        <v>4174.9928571427417</v>
      </c>
      <c r="BP713" s="87">
        <f>SUMIFS($AS$3:AS1305,$AO$3:AO1305,"W")</f>
        <v>0</v>
      </c>
      <c r="BQ713" s="87">
        <f>SUMIFS($AU$3:AU714,$Q$3:Q714,"O")</f>
        <v>-5500.9399999999196</v>
      </c>
      <c r="BR713" s="87">
        <f>SUMIFS($AU$3:AU714,$AA$3:AA714,"*")</f>
        <v>33659.122077921929</v>
      </c>
      <c r="BS713" s="87">
        <f>SUMIFS($AU$3:AU714,$AB$3:AB714,"*")</f>
        <v>12971.859999999973</v>
      </c>
      <c r="BT713" s="87">
        <f>SUMIFS($AU$3:AU714,$AC$3:AC714,"*")</f>
        <v>34173.293506493676</v>
      </c>
      <c r="BU713" s="87">
        <f>SUMIFS($AU$3:AU714,$AA$3:AA714,"*",$AB$3:AB714,"*")</f>
        <v>8011.9999999997544</v>
      </c>
      <c r="BV713" s="87">
        <f>SUMIFS($AU$3:AU714,$AA$3:AA714,"*",$AC$3:AC714,"*")</f>
        <v>25753.636363636531</v>
      </c>
      <c r="BW713" s="87">
        <f>SUMIFS($AU$3:AU714,$AB$3:AB714,"*",$AC$3:AC714,"*")</f>
        <v>9360</v>
      </c>
      <c r="BX713" s="87">
        <f>SUMIFS($AV$3:AV714,$Q$3:Q714,"F")</f>
        <v>416.72914667325267</v>
      </c>
      <c r="BY713" s="87">
        <f>SUMIFS($AV$3:AV714,$Q$3:Q714,"S")</f>
        <v>706.32562762001328</v>
      </c>
      <c r="BZ713" s="87">
        <f>SUMIFS($AV$3:AV714,$Q$3:Q714,"O")</f>
        <v>413.55929999971374</v>
      </c>
    </row>
    <row r="714" spans="1:78" ht="15.75" customHeight="1">
      <c r="A714" s="45" t="s">
        <v>1819</v>
      </c>
      <c r="B714" s="59">
        <v>45441</v>
      </c>
      <c r="C714" s="46" t="s">
        <v>147</v>
      </c>
      <c r="D714" s="46" t="s">
        <v>186</v>
      </c>
      <c r="E714" s="66"/>
      <c r="F714" s="47"/>
      <c r="G714" s="48" t="s">
        <v>2266</v>
      </c>
      <c r="H714" s="49"/>
      <c r="I714" s="49"/>
      <c r="J714" s="49"/>
      <c r="K714" s="50"/>
      <c r="L714" s="49"/>
      <c r="M714" s="49">
        <v>1</v>
      </c>
      <c r="N714" s="49"/>
      <c r="O714" s="50" t="s">
        <v>100</v>
      </c>
      <c r="P714" s="50" t="s">
        <v>101</v>
      </c>
      <c r="Q714" s="50" t="s">
        <v>102</v>
      </c>
      <c r="R714" s="50">
        <v>30</v>
      </c>
      <c r="S714" s="50">
        <v>0</v>
      </c>
      <c r="T714" s="50">
        <v>60</v>
      </c>
      <c r="U714" s="50" t="s">
        <v>102</v>
      </c>
      <c r="V714" s="50"/>
      <c r="W714" s="50"/>
      <c r="X714" s="50"/>
      <c r="Y714" s="51">
        <f>IF(ISBLANK(O714),"",(IF(O714=UPPER("IB"),0.005,0.01)))</f>
        <v>0.01</v>
      </c>
      <c r="Z714" s="52">
        <f>IF(ISBLANK(O714),"",IF(O714="IB",8.63*200,IF(O714="IR",16*100,IF(O714="YT",20*100,IF(O714="YT-XT",24*200,IF(O714="TED",80*100,IF(O714="XT",29*200)))))))</f>
        <v>1600</v>
      </c>
      <c r="AA714" s="52" t="s">
        <v>1251</v>
      </c>
      <c r="AB714" s="52"/>
      <c r="AC714" s="52"/>
      <c r="AD714" s="231">
        <v>0.08</v>
      </c>
      <c r="AE714" s="49"/>
      <c r="AF714" s="84"/>
      <c r="AG714" s="49"/>
      <c r="AH714" s="49"/>
      <c r="AI714" s="49"/>
      <c r="AJ714" s="226"/>
      <c r="AK714" s="49"/>
      <c r="AL714" s="113">
        <f t="shared" si="304"/>
        <v>-32</v>
      </c>
      <c r="AM714" s="113">
        <f t="shared" si="301"/>
        <v>-960</v>
      </c>
      <c r="AN714" s="218"/>
      <c r="AO714" s="49"/>
      <c r="AP714" s="49"/>
      <c r="AQ714" s="84" t="s">
        <v>350</v>
      </c>
      <c r="AR714" s="49"/>
      <c r="AS714" s="55">
        <v>0.08</v>
      </c>
      <c r="AT714" s="55">
        <f>IF(ISBLANK(AS714),,IF(U714="S",AD714-AS714,AS714-AD714))</f>
        <v>0</v>
      </c>
      <c r="AU714" s="54">
        <f>AV714*R714</f>
        <v>0</v>
      </c>
      <c r="AV714" s="56">
        <f t="shared" si="305"/>
        <v>0</v>
      </c>
      <c r="AW714" s="57" t="s">
        <v>155</v>
      </c>
      <c r="AX714" s="153"/>
      <c r="AY714" s="153"/>
      <c r="AZ714" s="153"/>
      <c r="BA714" s="153"/>
      <c r="BB714" s="153"/>
      <c r="BC714" s="153"/>
      <c r="BD714" s="151"/>
      <c r="BE714" s="152"/>
      <c r="BF714" s="151"/>
      <c r="BG714" s="94">
        <f>SUM($AV$4:AV714)</f>
        <v>3784.6140742929856</v>
      </c>
      <c r="BH714" s="95">
        <f>SUM($AU$4:AU714)</f>
        <v>43198.639220779289</v>
      </c>
      <c r="BI714" s="80">
        <f>SUMIFS($AU$3:AU715,$Q$3:Q715,"F")</f>
        <v>29133.293506493508</v>
      </c>
      <c r="BJ714" s="80">
        <f>SUMIFS($AU$3:AU715,$Q$3:Q715,"S")</f>
        <v>17842.285714285714</v>
      </c>
      <c r="BK714" s="87">
        <f>SUMIFS($AU$3:AU715,$P$3:P715,"W")</f>
        <v>25576.759220779561</v>
      </c>
      <c r="BL714" s="87">
        <f>SUMIFS($AU$3:AU715,$P$3:P715,"R")</f>
        <v>15126.00000000016</v>
      </c>
      <c r="BM714" s="87">
        <f>SUMIFS($AU$3:AU715,$AQ$3:AQ715,"M")</f>
        <v>10215.179999999073</v>
      </c>
      <c r="BN714" s="87">
        <f>SUMIFS($AU$3:AU715,$AQ$3:AQ715,"H")</f>
        <v>12363.200000000876</v>
      </c>
      <c r="BO714" s="87">
        <f>SUMIFS($AU$3:AU715,$AQ$3:AQ715,"D")</f>
        <v>4174.9928571427417</v>
      </c>
      <c r="BP714" s="87">
        <f>SUMIFS($AS$3:AS1306,$AO$3:AO1306,"W")</f>
        <v>0</v>
      </c>
      <c r="BQ714" s="87">
        <f>SUMIFS($AU$3:AU715,$Q$3:Q715,"O")</f>
        <v>-5500.9399999999196</v>
      </c>
      <c r="BR714" s="87">
        <f>SUMIFS($AU$3:AU715,$AA$3:AA715,"*")</f>
        <v>33959.122077921929</v>
      </c>
      <c r="BS714" s="87">
        <f>SUMIFS($AU$3:AU715,$AB$3:AB715,"*")</f>
        <v>12971.859999999973</v>
      </c>
      <c r="BT714" s="87">
        <f>SUMIFS($AU$3:AU715,$AC$3:AC715,"*")</f>
        <v>34173.293506493676</v>
      </c>
      <c r="BU714" s="87">
        <f>SUMIFS($AU$3:AU715,$AA$3:AA715,"*",$AB$3:AB715,"*")</f>
        <v>8011.9999999997544</v>
      </c>
      <c r="BV714" s="87">
        <f>SUMIFS($AU$3:AU715,$AA$3:AA715,"*",$AC$3:AC715,"*")</f>
        <v>25753.636363636531</v>
      </c>
      <c r="BW714" s="87">
        <f>SUMIFS($AU$3:AU715,$AB$3:AB715,"*",$AC$3:AC715,"*")</f>
        <v>9360</v>
      </c>
      <c r="BX714" s="87">
        <f>SUMIFS($AV$3:AV715,$Q$3:Q715,"F")</f>
        <v>416.72914667325267</v>
      </c>
      <c r="BY714" s="87">
        <f>SUMIFS($AV$3:AV715,$Q$3:Q715,"S")</f>
        <v>706.32562762001328</v>
      </c>
      <c r="BZ714" s="87">
        <f>SUMIFS($AV$3:AV715,$Q$3:Q715,"O")</f>
        <v>413.55929999971374</v>
      </c>
    </row>
    <row r="715" spans="1:78" ht="15.75" customHeight="1">
      <c r="A715" s="45" t="s">
        <v>1819</v>
      </c>
      <c r="B715" s="59">
        <v>45441</v>
      </c>
      <c r="C715" s="46" t="s">
        <v>147</v>
      </c>
      <c r="D715" s="46" t="s">
        <v>186</v>
      </c>
      <c r="E715" s="66"/>
      <c r="F715" s="47"/>
      <c r="G715" s="48" t="s">
        <v>2267</v>
      </c>
      <c r="H715" s="49"/>
      <c r="I715" s="49"/>
      <c r="J715" s="49"/>
      <c r="K715" s="50"/>
      <c r="L715" s="49"/>
      <c r="M715" s="49">
        <v>2</v>
      </c>
      <c r="N715" s="49"/>
      <c r="O715" s="50" t="s">
        <v>740</v>
      </c>
      <c r="P715" s="50" t="s">
        <v>126</v>
      </c>
      <c r="Q715" s="50"/>
      <c r="R715" s="50">
        <v>1</v>
      </c>
      <c r="S715" s="50">
        <v>0</v>
      </c>
      <c r="T715" s="50">
        <v>1</v>
      </c>
      <c r="U715" s="50" t="s">
        <v>22</v>
      </c>
      <c r="V715" s="50"/>
      <c r="W715" s="50"/>
      <c r="X715" s="50"/>
      <c r="Y715" s="51">
        <f>IF(ISBLANK(O715),"",(IF(O715=UPPER("IB"),0.005,0.01)))</f>
        <v>0.01</v>
      </c>
      <c r="Z715" s="52">
        <f>IF(ISBLANK(O715),"",IF(O715="IB",8.63*200,IF(O715="IR",16*100,IF(O715="YT",20*100,IF(O715="YT-XT",24*200,IF(O715="TED",80*100,IF(O715="IR|YT",300*100)))))))</f>
        <v>30000</v>
      </c>
      <c r="AA715" s="52" t="s">
        <v>2268</v>
      </c>
      <c r="AB715" s="52"/>
      <c r="AC715" s="52"/>
      <c r="AD715" s="231">
        <v>-0.22</v>
      </c>
      <c r="AE715" s="49"/>
      <c r="AF715" s="84"/>
      <c r="AG715" s="49"/>
      <c r="AH715" s="49"/>
      <c r="AI715" s="49"/>
      <c r="AJ715" s="226"/>
      <c r="AK715" s="49"/>
      <c r="AL715" s="113">
        <f t="shared" si="304"/>
        <v>-600</v>
      </c>
      <c r="AM715" s="113">
        <f t="shared" si="301"/>
        <v>-600</v>
      </c>
      <c r="AN715" s="218"/>
      <c r="AO715" s="49"/>
      <c r="AP715" s="49" t="s">
        <v>2269</v>
      </c>
      <c r="AQ715" s="84" t="s">
        <v>350</v>
      </c>
      <c r="AR715" s="49"/>
      <c r="AS715" s="55">
        <v>-0.21</v>
      </c>
      <c r="AT715" s="55">
        <f>IF(ISBLANK(AS715),,IF(U715="S",AD715-AS715,AS715-AD715))</f>
        <v>1.0000000000000009E-2</v>
      </c>
      <c r="AU715" s="54">
        <f>AV715*R715</f>
        <v>300.00000000000028</v>
      </c>
      <c r="AV715" s="56">
        <f t="shared" si="305"/>
        <v>300.00000000000028</v>
      </c>
      <c r="AW715" s="57" t="s">
        <v>101</v>
      </c>
      <c r="AX715" s="153" t="s">
        <v>2270</v>
      </c>
      <c r="AY715" s="153"/>
      <c r="AZ715" s="153"/>
      <c r="BA715" s="153"/>
      <c r="BB715" s="153"/>
      <c r="BC715" s="153"/>
      <c r="BD715" s="151"/>
      <c r="BE715" s="152"/>
      <c r="BF715" s="151"/>
      <c r="BG715" s="94">
        <f>SUM($AV$4:AV715)</f>
        <v>4084.6140742929861</v>
      </c>
      <c r="BH715" s="95">
        <f>SUM($AU$4:AU715)</f>
        <v>43498.639220779289</v>
      </c>
      <c r="BI715" s="80">
        <f>SUMIFS($AU$3:AU716,$Q$3:Q716,"F")</f>
        <v>29133.293506493508</v>
      </c>
      <c r="BJ715" s="80">
        <f>SUMIFS($AU$3:AU716,$Q$3:Q716,"S")</f>
        <v>17842.285714285714</v>
      </c>
      <c r="BK715" s="87">
        <f>SUMIFS($AU$3:AU716,$P$3:P716,"W")</f>
        <v>25576.759220779561</v>
      </c>
      <c r="BL715" s="87">
        <f>SUMIFS($AU$3:AU716,$P$3:P716,"R")</f>
        <v>15726.00000000016</v>
      </c>
      <c r="BM715" s="87">
        <f>SUMIFS($AU$3:AU716,$AQ$3:AQ716,"M")</f>
        <v>10815.179999999073</v>
      </c>
      <c r="BN715" s="87">
        <f>SUMIFS($AU$3:AU716,$AQ$3:AQ716,"H")</f>
        <v>12363.200000000876</v>
      </c>
      <c r="BO715" s="87">
        <f>SUMIFS($AU$3:AU716,$AQ$3:AQ716,"D")</f>
        <v>4174.9928571427417</v>
      </c>
      <c r="BP715" s="87">
        <f>SUMIFS($AS$3:AS1307,$AO$3:AO1307,"W")</f>
        <v>0</v>
      </c>
      <c r="BQ715" s="87">
        <f>SUMIFS($AU$3:AU716,$Q$3:Q716,"O")</f>
        <v>-5500.9399999999196</v>
      </c>
      <c r="BR715" s="87">
        <f>SUMIFS($AU$3:AU716,$AA$3:AA716,"*")</f>
        <v>34559.122077921929</v>
      </c>
      <c r="BS715" s="87">
        <f>SUMIFS($AU$3:AU716,$AB$3:AB716,"*")</f>
        <v>12971.859999999973</v>
      </c>
      <c r="BT715" s="87">
        <f>SUMIFS($AU$3:AU716,$AC$3:AC716,"*")</f>
        <v>34173.293506493676</v>
      </c>
      <c r="BU715" s="87">
        <f>SUMIFS($AU$3:AU716,$AA$3:AA716,"*",$AB$3:AB716,"*")</f>
        <v>8011.9999999997544</v>
      </c>
      <c r="BV715" s="87">
        <f>SUMIFS($AU$3:AU716,$AA$3:AA716,"*",$AC$3:AC716,"*")</f>
        <v>25753.636363636531</v>
      </c>
      <c r="BW715" s="87">
        <f>SUMIFS($AU$3:AU716,$AB$3:AB716,"*",$AC$3:AC716,"*")</f>
        <v>9360</v>
      </c>
      <c r="BX715" s="87">
        <f>SUMIFS($AV$3:AV716,$Q$3:Q716,"F")</f>
        <v>416.72914667325267</v>
      </c>
      <c r="BY715" s="87">
        <f>SUMIFS($AV$3:AV716,$Q$3:Q716,"S")</f>
        <v>706.32562762001328</v>
      </c>
      <c r="BZ715" s="87">
        <f>SUMIFS($AV$3:AV716,$Q$3:Q716,"O")</f>
        <v>413.55929999971374</v>
      </c>
    </row>
    <row r="716" spans="1:78" ht="15.75" customHeight="1">
      <c r="A716" s="45" t="s">
        <v>1819</v>
      </c>
      <c r="B716" s="59">
        <v>45441</v>
      </c>
      <c r="C716" s="46" t="s">
        <v>147</v>
      </c>
      <c r="D716" s="46" t="s">
        <v>186</v>
      </c>
      <c r="E716" s="66"/>
      <c r="F716" s="47"/>
      <c r="G716" s="48" t="s">
        <v>1422</v>
      </c>
      <c r="H716" s="49"/>
      <c r="I716" s="49"/>
      <c r="J716" s="49"/>
      <c r="K716" s="50"/>
      <c r="L716" s="49"/>
      <c r="M716" s="49">
        <v>2</v>
      </c>
      <c r="N716" s="49"/>
      <c r="O716" s="50" t="s">
        <v>740</v>
      </c>
      <c r="P716" s="50" t="s">
        <v>126</v>
      </c>
      <c r="Q716" s="50"/>
      <c r="R716" s="50">
        <v>1</v>
      </c>
      <c r="S716" s="50">
        <v>0</v>
      </c>
      <c r="T716" s="50">
        <v>1</v>
      </c>
      <c r="U716" s="50" t="s">
        <v>22</v>
      </c>
      <c r="V716" s="50"/>
      <c r="W716" s="50"/>
      <c r="X716" s="50"/>
      <c r="Y716" s="51">
        <f>IF(ISBLANK(O716),"",(IF(O716=UPPER("IB"),0.005,0.01)))</f>
        <v>0.01</v>
      </c>
      <c r="Z716" s="52">
        <f>IF(ISBLANK(O716),"",IF(O716="IB",8.63*200,IF(O716="IR",16*100,IF(O716="YT",20*100,IF(O716="YT-XT",24*200,IF(O716="TED",80*100,IF(O716="IR|YT",300*100)))))))</f>
        <v>30000</v>
      </c>
      <c r="AA716" s="52" t="s">
        <v>2268</v>
      </c>
      <c r="AB716" s="52"/>
      <c r="AC716" s="52"/>
      <c r="AD716" s="231">
        <v>-0.13</v>
      </c>
      <c r="AE716" s="49"/>
      <c r="AF716" s="84"/>
      <c r="AG716" s="49"/>
      <c r="AH716" s="49"/>
      <c r="AI716" s="49"/>
      <c r="AJ716" s="226"/>
      <c r="AK716" s="49"/>
      <c r="AL716" s="113">
        <f t="shared" si="304"/>
        <v>-600</v>
      </c>
      <c r="AM716" s="113">
        <f t="shared" si="301"/>
        <v>-600</v>
      </c>
      <c r="AN716" s="218"/>
      <c r="AO716" s="49"/>
      <c r="AP716" s="49" t="s">
        <v>2271</v>
      </c>
      <c r="AQ716" s="84" t="s">
        <v>350</v>
      </c>
      <c r="AR716" s="49"/>
      <c r="AS716" s="55">
        <v>-0.11</v>
      </c>
      <c r="AT716" s="55">
        <f>IF(ISBLANK(AS716),,IF(U716="S",AD716-AS716,AS716-AD716))</f>
        <v>2.0000000000000004E-2</v>
      </c>
      <c r="AU716" s="54">
        <f>AV716*R716</f>
        <v>600.00000000000011</v>
      </c>
      <c r="AV716" s="56">
        <f t="shared" si="305"/>
        <v>600.00000000000011</v>
      </c>
      <c r="AW716" s="57" t="s">
        <v>101</v>
      </c>
      <c r="AX716" s="153" t="s">
        <v>2270</v>
      </c>
      <c r="AY716" s="153"/>
      <c r="AZ716" s="153"/>
      <c r="BA716" s="153"/>
      <c r="BB716" s="153"/>
      <c r="BC716" s="153"/>
      <c r="BD716" s="151"/>
      <c r="BE716" s="152"/>
      <c r="BF716" s="151"/>
      <c r="BG716" s="94">
        <f>SUM($AV$4:AV716)</f>
        <v>4684.6140742929865</v>
      </c>
      <c r="BH716" s="95">
        <f>SUM($AU$4:AU716)</f>
        <v>44098.639220779289</v>
      </c>
      <c r="BI716" s="80">
        <f>SUMIFS($AU$3:AU717,$Q$3:Q717,"F")</f>
        <v>29133.293506493508</v>
      </c>
      <c r="BJ716" s="80">
        <f>SUMIFS($AU$3:AU717,$Q$3:Q717,"S")</f>
        <v>17842.285714285714</v>
      </c>
      <c r="BK716" s="87">
        <f>SUMIFS($AU$3:AU717,$P$3:P717,"W")</f>
        <v>25576.759220779561</v>
      </c>
      <c r="BL716" s="87">
        <f>SUMIFS($AU$3:AU717,$P$3:P717,"R")</f>
        <v>15726.00000000016</v>
      </c>
      <c r="BM716" s="87">
        <f>SUMIFS($AU$3:AU717,$AQ$3:AQ717,"M")</f>
        <v>10815.179999999073</v>
      </c>
      <c r="BN716" s="87">
        <f>SUMIFS($AU$3:AU717,$AQ$3:AQ717,"H")</f>
        <v>12363.200000000876</v>
      </c>
      <c r="BO716" s="87">
        <f>SUMIFS($AU$3:AU717,$AQ$3:AQ717,"D")</f>
        <v>4174.9928571427417</v>
      </c>
      <c r="BP716" s="87">
        <f>SUMIFS($AS$3:AS1308,$AO$3:AO1308,"W")</f>
        <v>0</v>
      </c>
      <c r="BQ716" s="87">
        <f>SUMIFS($AU$3:AU717,$Q$3:Q717,"O")</f>
        <v>-5500.9399999999196</v>
      </c>
      <c r="BR716" s="87">
        <f>SUMIFS($AU$3:AU717,$AA$3:AA717,"*")</f>
        <v>34559.122077921929</v>
      </c>
      <c r="BS716" s="87">
        <f>SUMIFS($AU$3:AU717,$AB$3:AB717,"*")</f>
        <v>12971.859999999973</v>
      </c>
      <c r="BT716" s="87">
        <f>SUMIFS($AU$3:AU717,$AC$3:AC717,"*")</f>
        <v>34173.293506493676</v>
      </c>
      <c r="BU716" s="87">
        <f>SUMIFS($AU$3:AU717,$AA$3:AA717,"*",$AB$3:AB717,"*")</f>
        <v>8011.9999999997544</v>
      </c>
      <c r="BV716" s="87">
        <f>SUMIFS($AU$3:AU717,$AA$3:AA717,"*",$AC$3:AC717,"*")</f>
        <v>25753.636363636531</v>
      </c>
      <c r="BW716" s="87">
        <f>SUMIFS($AU$3:AU717,$AB$3:AB717,"*",$AC$3:AC717,"*")</f>
        <v>9360</v>
      </c>
      <c r="BX716" s="87">
        <f>SUMIFS($AV$3:AV717,$Q$3:Q717,"F")</f>
        <v>416.72914667325267</v>
      </c>
      <c r="BY716" s="87">
        <f>SUMIFS($AV$3:AV717,$Q$3:Q717,"S")</f>
        <v>706.32562762001328</v>
      </c>
      <c r="BZ716" s="87">
        <f>SUMIFS($AV$3:AV717,$Q$3:Q717,"O")</f>
        <v>413.55929999971374</v>
      </c>
    </row>
    <row r="717" spans="1:78" ht="15.75" customHeight="1">
      <c r="A717" s="45" t="s">
        <v>1819</v>
      </c>
      <c r="B717" s="59">
        <v>45441</v>
      </c>
      <c r="C717" s="46" t="s">
        <v>147</v>
      </c>
      <c r="D717" s="46" t="s">
        <v>186</v>
      </c>
      <c r="E717" s="66"/>
      <c r="F717" s="47"/>
      <c r="G717" s="48" t="s">
        <v>1767</v>
      </c>
      <c r="H717" s="49"/>
      <c r="I717" s="49"/>
      <c r="J717" s="49"/>
      <c r="K717" s="50"/>
      <c r="L717" s="49"/>
      <c r="M717" s="49"/>
      <c r="N717" s="49"/>
      <c r="O717" s="50"/>
      <c r="P717" s="50"/>
      <c r="Q717" s="50"/>
      <c r="R717" s="50"/>
      <c r="S717" s="50"/>
      <c r="T717" s="50"/>
      <c r="U717" s="50"/>
      <c r="V717" s="50"/>
      <c r="W717" s="50"/>
      <c r="X717" s="50"/>
      <c r="Y717" s="51"/>
      <c r="Z717" s="52"/>
      <c r="AA717" s="52"/>
      <c r="AB717" s="52"/>
      <c r="AC717" s="52"/>
      <c r="AD717" s="231"/>
      <c r="AE717" s="49"/>
      <c r="AF717" s="84"/>
      <c r="AG717" s="49"/>
      <c r="AH717" s="49"/>
      <c r="AI717" s="49"/>
      <c r="AJ717" s="226"/>
      <c r="AK717" s="49"/>
      <c r="AL717" s="113">
        <f t="shared" ref="AL717:AL733" si="306">-0.02*Z717</f>
        <v>0</v>
      </c>
      <c r="AM717" s="113">
        <f t="shared" si="301"/>
        <v>0</v>
      </c>
      <c r="AN717" s="218"/>
      <c r="AO717" s="49"/>
      <c r="AP717" s="49"/>
      <c r="AQ717" s="84" t="str">
        <f>UPPER(RIGHT(Journal_Live[[#This Row],[DURATION ]]))</f>
        <v/>
      </c>
      <c r="AR717" s="49"/>
      <c r="AS717" s="55"/>
      <c r="AT717" s="55"/>
      <c r="AU717" s="54"/>
      <c r="AV717" s="56"/>
      <c r="AW717" s="57"/>
      <c r="AX717" s="153"/>
      <c r="AY717" s="153"/>
      <c r="AZ717" s="153"/>
      <c r="BA717" s="153"/>
      <c r="BB717" s="153"/>
      <c r="BC717" s="153"/>
      <c r="BD717" s="151"/>
      <c r="BE717" s="152"/>
      <c r="BF717" s="151"/>
      <c r="BG717" s="94">
        <f>SUM($AV$4:AV717)</f>
        <v>4684.6140742929865</v>
      </c>
      <c r="BH717" s="95">
        <f>SUM($AU$4:AU717)</f>
        <v>44098.639220779289</v>
      </c>
      <c r="BI717" s="80">
        <f>SUMIFS($AU$3:AU718,$Q$3:Q718,"F")</f>
        <v>29133.293506493508</v>
      </c>
      <c r="BJ717" s="80">
        <f>SUMIFS($AU$3:AU718,$Q$3:Q718,"S")</f>
        <v>18402.285714285714</v>
      </c>
      <c r="BK717" s="87">
        <f>SUMIFS($AU$3:AU718,$P$3:P718,"W")</f>
        <v>26136.759220779561</v>
      </c>
      <c r="BL717" s="87">
        <f>SUMIFS($AU$3:AU718,$P$3:P718,"R")</f>
        <v>15726.00000000016</v>
      </c>
      <c r="BM717" s="87">
        <f>SUMIFS($AU$3:AU718,$AQ$3:AQ718,"M")</f>
        <v>10815.179999999073</v>
      </c>
      <c r="BN717" s="87">
        <f>SUMIFS($AU$3:AU718,$AQ$3:AQ718,"H")</f>
        <v>12923.200000000876</v>
      </c>
      <c r="BO717" s="87">
        <f>SUMIFS($AU$3:AU718,$AQ$3:AQ718,"D")</f>
        <v>4174.9928571427417</v>
      </c>
      <c r="BP717" s="87">
        <f>SUMIFS($AS$3:AS1309,$AO$3:AO1309,"W")</f>
        <v>0</v>
      </c>
      <c r="BQ717" s="87">
        <f>SUMIFS($AU$3:AU718,$Q$3:Q718,"O")</f>
        <v>-5500.9399999999196</v>
      </c>
      <c r="BR717" s="87">
        <f>SUMIFS($AU$3:AU718,$AA$3:AA718,"*")</f>
        <v>35119.122077921929</v>
      </c>
      <c r="BS717" s="87">
        <f>SUMIFS($AU$3:AU718,$AB$3:AB718,"*")</f>
        <v>12971.859999999973</v>
      </c>
      <c r="BT717" s="87">
        <f>SUMIFS($AU$3:AU718,$AC$3:AC718,"*")</f>
        <v>34733.293506493676</v>
      </c>
      <c r="BU717" s="87">
        <f>SUMIFS($AU$3:AU718,$AA$3:AA718,"*",$AB$3:AB718,"*")</f>
        <v>8011.9999999997544</v>
      </c>
      <c r="BV717" s="87">
        <f>SUMIFS($AU$3:AU718,$AA$3:AA718,"*",$AC$3:AC718,"*")</f>
        <v>26313.636363636531</v>
      </c>
      <c r="BW717" s="87">
        <f>SUMIFS($AU$3:AU718,$AB$3:AB718,"*",$AC$3:AC718,"*")</f>
        <v>9360</v>
      </c>
      <c r="BX717" s="87">
        <f>SUMIFS($AV$3:AV718,$Q$3:Q718,"F")</f>
        <v>416.72914667325267</v>
      </c>
      <c r="BY717" s="87">
        <f>SUMIFS($AV$3:AV718,$Q$3:Q718,"S")</f>
        <v>722.32562762001328</v>
      </c>
      <c r="BZ717" s="87">
        <f>SUMIFS($AV$3:AV718,$Q$3:Q718,"O")</f>
        <v>413.55929999971374</v>
      </c>
    </row>
    <row r="718" spans="1:78" ht="15.75" customHeight="1">
      <c r="A718" s="45" t="s">
        <v>1819</v>
      </c>
      <c r="B718" s="59">
        <v>45441</v>
      </c>
      <c r="C718" s="46" t="s">
        <v>2272</v>
      </c>
      <c r="D718" s="46" t="s">
        <v>186</v>
      </c>
      <c r="E718" s="66"/>
      <c r="F718" s="47"/>
      <c r="G718" s="104" t="s">
        <v>181</v>
      </c>
      <c r="H718" s="49"/>
      <c r="I718" s="49"/>
      <c r="J718" s="49"/>
      <c r="K718" s="50"/>
      <c r="L718" s="49"/>
      <c r="M718" s="49">
        <v>2</v>
      </c>
      <c r="N718" s="49"/>
      <c r="O718" s="50" t="s">
        <v>100</v>
      </c>
      <c r="P718" s="50" t="s">
        <v>101</v>
      </c>
      <c r="Q718" s="50" t="s">
        <v>102</v>
      </c>
      <c r="R718" s="50">
        <v>35</v>
      </c>
      <c r="S718" s="50">
        <v>0</v>
      </c>
      <c r="T718" s="50">
        <v>35</v>
      </c>
      <c r="U718" s="50" t="s">
        <v>102</v>
      </c>
      <c r="V718" s="50"/>
      <c r="W718" s="50"/>
      <c r="X718" s="50"/>
      <c r="Y718" s="51">
        <f>IF(ISBLANK(O718),"",(IF(O718=UPPER("IB"),0.005,0.01)))</f>
        <v>0.01</v>
      </c>
      <c r="Z718" s="52">
        <f>IF(ISBLANK(O718),"",IF(O718="IB",8.63*200,IF(O718="IR",16*100,IF(O718="YT",20*100,IF(O718="YT-XT",24*200,IF(O718="TED",80*100,IF(O718="IR|YT",300*100)))))))</f>
        <v>1600</v>
      </c>
      <c r="AA718" s="52" t="s">
        <v>2273</v>
      </c>
      <c r="AB718" s="52"/>
      <c r="AC718" s="52" t="s">
        <v>405</v>
      </c>
      <c r="AD718" s="231">
        <v>-0.04</v>
      </c>
      <c r="AE718" s="49"/>
      <c r="AF718" s="84"/>
      <c r="AG718" s="49"/>
      <c r="AH718" s="49"/>
      <c r="AI718" s="49"/>
      <c r="AJ718" s="226"/>
      <c r="AK718" s="49"/>
      <c r="AL718" s="113">
        <f t="shared" si="306"/>
        <v>-32</v>
      </c>
      <c r="AM718" s="113">
        <f t="shared" si="301"/>
        <v>-1120</v>
      </c>
      <c r="AN718" s="218"/>
      <c r="AO718" s="49"/>
      <c r="AP718" s="49" t="s">
        <v>136</v>
      </c>
      <c r="AQ718" s="84" t="s">
        <v>142</v>
      </c>
      <c r="AR718" s="49"/>
      <c r="AS718" s="55">
        <v>-0.05</v>
      </c>
      <c r="AT718" s="55">
        <f>IF(ISBLANK(AS718),,IF(U718="S",AD718-AS718,AS718-AD718))</f>
        <v>1.0000000000000002E-2</v>
      </c>
      <c r="AU718" s="54">
        <f>AV718*R718</f>
        <v>560.00000000000011</v>
      </c>
      <c r="AV718" s="56">
        <f t="shared" ref="AV718:AV731" si="307">IF(ISBLANK(AS718),,(AT718*Z718))</f>
        <v>16.000000000000004</v>
      </c>
      <c r="AW718" s="57" t="s">
        <v>101</v>
      </c>
      <c r="AX718" s="153"/>
      <c r="AY718" s="153"/>
      <c r="AZ718" s="153"/>
      <c r="BA718" s="153"/>
      <c r="BB718" s="153"/>
      <c r="BC718" s="153"/>
      <c r="BD718" s="151"/>
      <c r="BE718" s="152"/>
      <c r="BF718" s="151"/>
      <c r="BG718" s="94">
        <f>SUM($AV$4:AV718)</f>
        <v>4700.6140742929865</v>
      </c>
      <c r="BH718" s="95">
        <f>SUM($AU$4:AU718)</f>
        <v>44658.639220779289</v>
      </c>
      <c r="BI718" s="80">
        <f>SUMIFS($AU$3:AU719,$Q$3:Q719,"F")</f>
        <v>29133.293506493508</v>
      </c>
      <c r="BJ718" s="80">
        <f>SUMIFS($AU$3:AU719,$Q$3:Q719,"S")</f>
        <v>20002.285714285714</v>
      </c>
      <c r="BK718" s="87">
        <f>SUMIFS($AU$3:AU719,$P$3:P719,"W")</f>
        <v>27736.759220779561</v>
      </c>
      <c r="BL718" s="87">
        <f>SUMIFS($AU$3:AU719,$P$3:P719,"R")</f>
        <v>15726.00000000016</v>
      </c>
      <c r="BM718" s="87">
        <f>SUMIFS($AU$3:AU719,$AQ$3:AQ719,"M")</f>
        <v>10815.179999999073</v>
      </c>
      <c r="BN718" s="87">
        <f>SUMIFS($AU$3:AU719,$AQ$3:AQ719,"H")</f>
        <v>14523.200000000877</v>
      </c>
      <c r="BO718" s="87">
        <f>SUMIFS($AU$3:AU719,$AQ$3:AQ719,"D")</f>
        <v>4174.9928571427417</v>
      </c>
      <c r="BP718" s="87">
        <f>SUMIFS($AS$3:AS1310,$AO$3:AO1310,"W")</f>
        <v>0</v>
      </c>
      <c r="BQ718" s="87">
        <f>SUMIFS($AU$3:AU719,$Q$3:Q719,"O")</f>
        <v>-5500.9399999999196</v>
      </c>
      <c r="BR718" s="87">
        <f>SUMIFS($AU$3:AU719,$AA$3:AA719,"*")</f>
        <v>36719.122077921929</v>
      </c>
      <c r="BS718" s="87">
        <f>SUMIFS($AU$3:AU719,$AB$3:AB719,"*")</f>
        <v>12971.859999999973</v>
      </c>
      <c r="BT718" s="87">
        <f>SUMIFS($AU$3:AU719,$AC$3:AC719,"*")</f>
        <v>36333.293506493676</v>
      </c>
      <c r="BU718" s="87">
        <f>SUMIFS($AU$3:AU719,$AA$3:AA719,"*",$AB$3:AB719,"*")</f>
        <v>8011.9999999997544</v>
      </c>
      <c r="BV718" s="87">
        <f>SUMIFS($AU$3:AU719,$AA$3:AA719,"*",$AC$3:AC719,"*")</f>
        <v>27913.636363636531</v>
      </c>
      <c r="BW718" s="87">
        <f>SUMIFS($AU$3:AU719,$AB$3:AB719,"*",$AC$3:AC719,"*")</f>
        <v>9360</v>
      </c>
      <c r="BX718" s="87">
        <f>SUMIFS($AV$3:AV719,$Q$3:Q719,"F")</f>
        <v>416.72914667325267</v>
      </c>
      <c r="BY718" s="87">
        <f>SUMIFS($AV$3:AV719,$Q$3:Q719,"S")</f>
        <v>738.32562762001328</v>
      </c>
      <c r="BZ718" s="87">
        <f>SUMIFS($AV$3:AV719,$Q$3:Q719,"O")</f>
        <v>413.55929999971374</v>
      </c>
    </row>
    <row r="719" spans="1:78" ht="15.75" customHeight="1">
      <c r="A719" s="45" t="s">
        <v>1819</v>
      </c>
      <c r="B719" s="59">
        <v>45441</v>
      </c>
      <c r="C719" s="46" t="s">
        <v>2272</v>
      </c>
      <c r="D719" s="46" t="s">
        <v>186</v>
      </c>
      <c r="E719" s="66"/>
      <c r="F719" s="47"/>
      <c r="G719" s="104" t="s">
        <v>463</v>
      </c>
      <c r="H719" s="49"/>
      <c r="I719" s="49"/>
      <c r="J719" s="49"/>
      <c r="K719" s="50"/>
      <c r="L719" s="49"/>
      <c r="M719" s="49">
        <v>2</v>
      </c>
      <c r="N719" s="49"/>
      <c r="O719" s="50" t="s">
        <v>100</v>
      </c>
      <c r="P719" s="50" t="s">
        <v>101</v>
      </c>
      <c r="Q719" s="50" t="s">
        <v>102</v>
      </c>
      <c r="R719" s="50">
        <v>100</v>
      </c>
      <c r="S719" s="50">
        <v>35</v>
      </c>
      <c r="T719" s="50">
        <v>30</v>
      </c>
      <c r="U719" s="50" t="s">
        <v>22</v>
      </c>
      <c r="V719" s="50"/>
      <c r="W719" s="50"/>
      <c r="X719" s="50"/>
      <c r="Y719" s="51">
        <f>IF(ISBLANK(O719),"",(IF(O719=UPPER("IB"),0.005,0.01)))</f>
        <v>0.01</v>
      </c>
      <c r="Z719" s="52">
        <f>IF(ISBLANK(O719),"",IF(O719="IB",8.63*200,IF(O719="IR",16*100,IF(O719="YT",20*100,IF(O719="YT-XT",24*200,IF(O719="TED",80*100,IF(O719="IR|YT",300*100)))))))</f>
        <v>1600</v>
      </c>
      <c r="AA719" s="52" t="s">
        <v>925</v>
      </c>
      <c r="AB719" s="52"/>
      <c r="AC719" s="52" t="s">
        <v>2274</v>
      </c>
      <c r="AD719" s="231">
        <v>-0.17</v>
      </c>
      <c r="AE719" s="49"/>
      <c r="AF719" s="84"/>
      <c r="AG719" s="49"/>
      <c r="AH719" s="49"/>
      <c r="AI719" s="49"/>
      <c r="AJ719" s="226"/>
      <c r="AK719" s="49"/>
      <c r="AL719" s="113">
        <f t="shared" si="306"/>
        <v>-32</v>
      </c>
      <c r="AM719" s="113">
        <f t="shared" si="301"/>
        <v>-2080</v>
      </c>
      <c r="AN719" s="218"/>
      <c r="AO719" s="49"/>
      <c r="AP719" s="49" t="s">
        <v>1212</v>
      </c>
      <c r="AQ719" s="84" t="s">
        <v>142</v>
      </c>
      <c r="AR719" s="49" t="s">
        <v>1397</v>
      </c>
      <c r="AS719" s="55">
        <v>-0.16</v>
      </c>
      <c r="AT719" s="55">
        <f>IF(ISBLANK(AS719),,IF(U719="S",AD719-AS719,AS719-AD719))</f>
        <v>1.0000000000000009E-2</v>
      </c>
      <c r="AU719" s="54">
        <f>AV719*R719</f>
        <v>1600.0000000000014</v>
      </c>
      <c r="AV719" s="56">
        <f t="shared" si="307"/>
        <v>16.000000000000014</v>
      </c>
      <c r="AW719" s="57" t="s">
        <v>101</v>
      </c>
      <c r="AX719" s="153"/>
      <c r="AY719" s="153"/>
      <c r="AZ719" s="153"/>
      <c r="BA719" s="153"/>
      <c r="BB719" s="153"/>
      <c r="BC719" s="153"/>
      <c r="BD719" s="151"/>
      <c r="BE719" s="152"/>
      <c r="BF719" s="151"/>
      <c r="BG719" s="94">
        <f>SUM($AV$4:AV719)</f>
        <v>4716.6140742929865</v>
      </c>
      <c r="BH719" s="95">
        <f>SUM($AU$4:AU719)</f>
        <v>46258.639220779289</v>
      </c>
      <c r="BI719" s="80">
        <f>SUMIFS($AU$3:AU734,$Q$3:Q734,"F")</f>
        <v>32973.293506493508</v>
      </c>
      <c r="BJ719" s="80">
        <f>SUMIFS($AU$3:AU734,$Q$3:Q734,"S")</f>
        <v>20002.285714285714</v>
      </c>
      <c r="BK719" s="87">
        <f>SUMIFS($AU$3:AU734,$P$3:P734,"W")</f>
        <v>31576.759220779561</v>
      </c>
      <c r="BL719" s="87">
        <f>SUMIFS($AU$3:AU734,$P$3:P734,"R")</f>
        <v>15726.00000000016</v>
      </c>
      <c r="BM719" s="87">
        <f>SUMIFS($AU$3:AU734,$AQ$3:AQ734,"M")</f>
        <v>10931.179999998967</v>
      </c>
      <c r="BN719" s="87">
        <f>SUMIFS($AU$3:AU734,$AQ$3:AQ734,"H")</f>
        <v>14523.200000000877</v>
      </c>
      <c r="BO719" s="87">
        <f>SUMIFS($AU$3:AU734,$AQ$3:AQ734,"D")</f>
        <v>8014.9928571427408</v>
      </c>
      <c r="BP719" s="87">
        <f>SUMIFS($AS$3:AS1311,$AO$3:AO1311,"W")</f>
        <v>0</v>
      </c>
      <c r="BQ719" s="87">
        <f>SUMIFS($AU$3:AU734,$Q$3:Q734,"O")</f>
        <v>-5384.9400000000251</v>
      </c>
      <c r="BR719" s="87">
        <f>SUMIFS($AU$3:AU734,$AA$3:AA734,"*")</f>
        <v>37075.122077921827</v>
      </c>
      <c r="BS719" s="87">
        <f>SUMIFS($AU$3:AU734,$AB$3:AB734,"*")</f>
        <v>12971.859999999973</v>
      </c>
      <c r="BT719" s="87">
        <f>SUMIFS($AU$3:AU734,$AC$3:AC734,"*")</f>
        <v>40173.293506493676</v>
      </c>
      <c r="BU719" s="87">
        <f>SUMIFS($AU$3:AU734,$AA$3:AA734,"*",$AB$3:AB734,"*")</f>
        <v>8011.9999999997544</v>
      </c>
      <c r="BV719" s="87">
        <f>SUMIFS($AU$3:AU734,$AA$3:AA734,"*",$AC$3:AC734,"*")</f>
        <v>28153.636363636531</v>
      </c>
      <c r="BW719" s="87">
        <f>SUMIFS($AU$3:AU734,$AB$3:AB734,"*",$AC$3:AC734,"*")</f>
        <v>9360</v>
      </c>
      <c r="BX719" s="87">
        <f>SUMIFS($AV$3:AV734,$Q$3:Q734,"F")</f>
        <v>462.72914667325267</v>
      </c>
      <c r="BY719" s="87">
        <f>SUMIFS($AV$3:AV734,$Q$3:Q734,"S")</f>
        <v>738.32562762001328</v>
      </c>
      <c r="BZ719" s="87">
        <f>SUMIFS($AV$3:AV734,$Q$3:Q734,"O")</f>
        <v>471.55929999966099</v>
      </c>
    </row>
    <row r="720" spans="1:78" ht="15.75" customHeight="1">
      <c r="A720" s="45" t="s">
        <v>1819</v>
      </c>
      <c r="B720" s="59"/>
      <c r="C720" s="46"/>
      <c r="D720" s="46"/>
      <c r="E720" s="66"/>
      <c r="F720" s="47"/>
      <c r="G720" s="48"/>
      <c r="H720" s="49"/>
      <c r="I720" s="49"/>
      <c r="J720" s="49"/>
      <c r="K720" s="50"/>
      <c r="L720" s="49"/>
      <c r="M720" s="49"/>
      <c r="N720" s="49"/>
      <c r="O720" s="50"/>
      <c r="P720" s="50"/>
      <c r="Q720" s="50"/>
      <c r="R720" s="50"/>
      <c r="S720" s="50"/>
      <c r="T720" s="50"/>
      <c r="U720" s="50"/>
      <c r="V720" s="50"/>
      <c r="W720" s="50"/>
      <c r="X720" s="50"/>
      <c r="Y720" s="50"/>
      <c r="Z720" s="50"/>
      <c r="AA720" s="52"/>
      <c r="AB720" s="52"/>
      <c r="AC720" s="52"/>
      <c r="AD720" s="231"/>
      <c r="AE720" s="49"/>
      <c r="AF720" s="84"/>
      <c r="AG720" s="49"/>
      <c r="AH720" s="49"/>
      <c r="AI720" s="49"/>
      <c r="AJ720" s="226"/>
      <c r="AK720" s="49"/>
      <c r="AL720" s="113">
        <f t="shared" si="306"/>
        <v>0</v>
      </c>
      <c r="AM720" s="113">
        <f t="shared" si="301"/>
        <v>0</v>
      </c>
      <c r="AN720" s="218"/>
      <c r="AO720" s="49"/>
      <c r="AP720" s="49"/>
      <c r="AQ720" s="84" t="str">
        <f>UPPER(RIGHT(Journal_Live[[#This Row],[DURATION ]]))</f>
        <v/>
      </c>
      <c r="AR720" s="49"/>
      <c r="AS720" s="55"/>
      <c r="AT720" s="55"/>
      <c r="AU720" s="54"/>
      <c r="AV720" s="56"/>
      <c r="AW720" s="57"/>
      <c r="AX720" s="153"/>
      <c r="AY720" s="153"/>
      <c r="AZ720" s="153"/>
      <c r="BA720" s="153"/>
      <c r="BB720" s="153"/>
      <c r="BC720" s="153"/>
      <c r="BD720" s="151"/>
      <c r="BE720" s="152"/>
      <c r="BF720" s="151"/>
      <c r="BG720" s="94">
        <f>SUM($AV$4:AV720)</f>
        <v>4716.6140742929865</v>
      </c>
      <c r="BH720" s="95">
        <f>SUM($AU$4:AU720)</f>
        <v>46258.639220779289</v>
      </c>
      <c r="BI720" s="80">
        <f>SUMIFS($AU$3:AU721,$Q$3:Q721,"F")</f>
        <v>29133.293506493508</v>
      </c>
      <c r="BJ720" s="80">
        <f>SUMIFS($AU$3:AU721,$Q$3:Q721,"S")</f>
        <v>20002.285714285714</v>
      </c>
      <c r="BK720" s="87">
        <f>SUMIFS($AU$3:AU721,$P$3:P721,"W")</f>
        <v>27736.759220779561</v>
      </c>
      <c r="BL720" s="87">
        <f>SUMIFS($AU$3:AU721,$P$3:P721,"R")</f>
        <v>15726.00000000016</v>
      </c>
      <c r="BM720" s="87">
        <f>SUMIFS($AU$3:AU721,$AQ$3:AQ721,"M")</f>
        <v>10815.179999999073</v>
      </c>
      <c r="BN720" s="87">
        <f>SUMIFS($AU$3:AU721,$AQ$3:AQ721,"H")</f>
        <v>14523.200000000877</v>
      </c>
      <c r="BO720" s="87">
        <f>SUMIFS($AU$3:AU721,$AQ$3:AQ721,"D")</f>
        <v>4174.9928571427417</v>
      </c>
      <c r="BP720" s="87">
        <f>SUMIFS($AS$3:AS1309,$AO$3:AO1309,"W")</f>
        <v>0</v>
      </c>
      <c r="BQ720" s="87">
        <f>SUMIFS($AU$3:AU721,$Q$3:Q721,"O")</f>
        <v>-5500.9399999999196</v>
      </c>
      <c r="BR720" s="87">
        <f>SUMIFS($AU$3:AU721,$AA$3:AA721,"*")</f>
        <v>36719.122077921929</v>
      </c>
      <c r="BS720" s="87">
        <f>SUMIFS($AU$3:AU721,$AB$3:AB721,"*")</f>
        <v>12971.859999999973</v>
      </c>
      <c r="BT720" s="87">
        <f>SUMIFS($AU$3:AU721,$AC$3:AC721,"*")</f>
        <v>36333.293506493676</v>
      </c>
      <c r="BU720" s="87">
        <f>SUMIFS($AU$3:AU721,$AA$3:AA721,"*",$AB$3:AB721,"*")</f>
        <v>8011.9999999997544</v>
      </c>
      <c r="BV720" s="87">
        <f>SUMIFS($AU$3:AU721,$AA$3:AA721,"*",$AC$3:AC721,"*")</f>
        <v>27913.636363636531</v>
      </c>
      <c r="BW720" s="87">
        <f>SUMIFS($AU$3:AU721,$AB$3:AB721,"*",$AC$3:AC721,"*")</f>
        <v>9360</v>
      </c>
      <c r="BX720" s="87">
        <f>SUMIFS($AV$3:AV721,$Q$3:Q721,"F")</f>
        <v>416.72914667325267</v>
      </c>
      <c r="BY720" s="87">
        <f>SUMIFS($AV$3:AV721,$Q$3:Q721,"S")</f>
        <v>738.32562762001328</v>
      </c>
      <c r="BZ720" s="87">
        <f>SUMIFS($AV$3:AV721,$Q$3:Q721,"O")</f>
        <v>413.55929999971374</v>
      </c>
    </row>
    <row r="721" spans="1:78" ht="15.75" customHeight="1">
      <c r="A721" s="45" t="s">
        <v>1819</v>
      </c>
      <c r="B721" s="59">
        <v>45442</v>
      </c>
      <c r="C721" s="46" t="s">
        <v>1143</v>
      </c>
      <c r="D721" s="46" t="s">
        <v>107</v>
      </c>
      <c r="E721" s="66" t="s">
        <v>2275</v>
      </c>
      <c r="F721" s="47"/>
      <c r="G721" s="48"/>
      <c r="H721" s="49"/>
      <c r="I721" s="49"/>
      <c r="J721" s="49">
        <v>1</v>
      </c>
      <c r="K721" s="50" t="s">
        <v>155</v>
      </c>
      <c r="L721" s="49"/>
      <c r="M721" s="49"/>
      <c r="N721" s="49"/>
      <c r="O721" s="50"/>
      <c r="P721" s="50"/>
      <c r="Q721" s="50"/>
      <c r="R721" s="50"/>
      <c r="S721" s="50"/>
      <c r="T721" s="50"/>
      <c r="U721" s="50"/>
      <c r="V721" s="50"/>
      <c r="W721" s="50"/>
      <c r="X721" s="50"/>
      <c r="Y721" s="50"/>
      <c r="Z721" s="50"/>
      <c r="AA721" s="52"/>
      <c r="AB721" s="52"/>
      <c r="AC721" s="52"/>
      <c r="AD721" s="231"/>
      <c r="AE721" s="49"/>
      <c r="AF721" s="84"/>
      <c r="AG721" s="49"/>
      <c r="AH721" s="49"/>
      <c r="AI721" s="49"/>
      <c r="AJ721" s="226"/>
      <c r="AK721" s="49"/>
      <c r="AL721" s="113">
        <f t="shared" si="306"/>
        <v>0</v>
      </c>
      <c r="AM721" s="113">
        <f t="shared" si="301"/>
        <v>0</v>
      </c>
      <c r="AN721" s="218"/>
      <c r="AO721" s="49"/>
      <c r="AP721" s="49"/>
      <c r="AQ721" s="84" t="str">
        <f>UPPER(RIGHT(Journal_Live[[#This Row],[DURATION ]]))</f>
        <v/>
      </c>
      <c r="AR721" s="49"/>
      <c r="AS721" s="55"/>
      <c r="AT721" s="55"/>
      <c r="AU721" s="54"/>
      <c r="AV721" s="56"/>
      <c r="AW721" s="57"/>
      <c r="AX721" s="153"/>
      <c r="AY721" s="153"/>
      <c r="AZ721" s="153"/>
      <c r="BA721" s="153"/>
      <c r="BB721" s="153"/>
      <c r="BC721" s="153"/>
      <c r="BD721" s="151"/>
      <c r="BE721" s="152"/>
      <c r="BF721" s="151"/>
      <c r="BG721" s="94">
        <f>SUM($AV$4:AV721)</f>
        <v>4716.6140742929865</v>
      </c>
      <c r="BH721" s="95">
        <f>SUM($AU$4:AU721)</f>
        <v>46258.639220779289</v>
      </c>
      <c r="BI721" s="80">
        <f>SUMIFS($AU$3:AU722,$Q$3:Q722,"F")</f>
        <v>29133.293506493508</v>
      </c>
      <c r="BJ721" s="80">
        <f>SUMIFS($AU$3:AU722,$Q$3:Q722,"S")</f>
        <v>20002.285714285714</v>
      </c>
      <c r="BK721" s="87">
        <f>SUMIFS($AU$3:AU722,$P$3:P722,"W")</f>
        <v>27736.759220779561</v>
      </c>
      <c r="BL721" s="87">
        <f>SUMIFS($AU$3:AU722,$P$3:P722,"R")</f>
        <v>15726.00000000016</v>
      </c>
      <c r="BM721" s="87">
        <f>SUMIFS($AU$3:AU722,$AQ$3:AQ722,"M")</f>
        <v>10815.179999999073</v>
      </c>
      <c r="BN721" s="87">
        <f>SUMIFS($AU$3:AU722,$AQ$3:AQ722,"H")</f>
        <v>14523.200000000877</v>
      </c>
      <c r="BO721" s="87">
        <f>SUMIFS($AU$3:AU722,$AQ$3:AQ722,"D")</f>
        <v>4174.9928571427417</v>
      </c>
      <c r="BP721" s="87">
        <f>SUMIFS($AS$3:AS1310,$AO$3:AO1310,"W")</f>
        <v>0</v>
      </c>
      <c r="BQ721" s="87">
        <f>SUMIFS($AU$3:AU722,$Q$3:Q722,"O")</f>
        <v>-5500.9399999999196</v>
      </c>
      <c r="BR721" s="87">
        <f>SUMIFS($AU$3:AU722,$AA$3:AA722,"*")</f>
        <v>36719.122077921929</v>
      </c>
      <c r="BS721" s="87">
        <f>SUMIFS($AU$3:AU722,$AB$3:AB722,"*")</f>
        <v>12971.859999999973</v>
      </c>
      <c r="BT721" s="87">
        <f>SUMIFS($AU$3:AU722,$AC$3:AC722,"*")</f>
        <v>36333.293506493676</v>
      </c>
      <c r="BU721" s="87">
        <f>SUMIFS($AU$3:AU722,$AA$3:AA722,"*",$AB$3:AB722,"*")</f>
        <v>8011.9999999997544</v>
      </c>
      <c r="BV721" s="87">
        <f>SUMIFS($AU$3:AU722,$AA$3:AA722,"*",$AC$3:AC722,"*")</f>
        <v>27913.636363636531</v>
      </c>
      <c r="BW721" s="87">
        <f>SUMIFS($AU$3:AU722,$AB$3:AB722,"*",$AC$3:AC722,"*")</f>
        <v>9360</v>
      </c>
      <c r="BX721" s="87">
        <f>SUMIFS($AV$3:AV722,$Q$3:Q722,"F")</f>
        <v>416.72914667325267</v>
      </c>
      <c r="BY721" s="87">
        <f>SUMIFS($AV$3:AV722,$Q$3:Q722,"S")</f>
        <v>738.32562762001328</v>
      </c>
      <c r="BZ721" s="87">
        <f>SUMIFS($AV$3:AV722,$Q$3:Q722,"O")</f>
        <v>413.55929999971374</v>
      </c>
    </row>
    <row r="722" spans="1:78" ht="15.75" customHeight="1">
      <c r="A722" s="45" t="s">
        <v>1819</v>
      </c>
      <c r="B722" s="59"/>
      <c r="C722" s="46"/>
      <c r="D722" s="46"/>
      <c r="E722" s="66" t="s">
        <v>2276</v>
      </c>
      <c r="F722" s="47"/>
      <c r="G722" s="48"/>
      <c r="H722" s="49"/>
      <c r="I722" s="49">
        <v>1</v>
      </c>
      <c r="J722" s="49"/>
      <c r="K722" s="50"/>
      <c r="L722" s="49"/>
      <c r="M722" s="49"/>
      <c r="N722" s="49"/>
      <c r="O722" s="50"/>
      <c r="P722" s="50"/>
      <c r="Q722" s="50"/>
      <c r="R722" s="50"/>
      <c r="S722" s="50"/>
      <c r="T722" s="50"/>
      <c r="U722" s="50"/>
      <c r="V722" s="50"/>
      <c r="W722" s="50"/>
      <c r="X722" s="50"/>
      <c r="Y722" s="50"/>
      <c r="Z722" s="50"/>
      <c r="AA722" s="52"/>
      <c r="AB722" s="52"/>
      <c r="AC722" s="52"/>
      <c r="AD722" s="231"/>
      <c r="AE722" s="49"/>
      <c r="AF722" s="84"/>
      <c r="AG722" s="49"/>
      <c r="AH722" s="49"/>
      <c r="AI722" s="49"/>
      <c r="AJ722" s="226"/>
      <c r="AK722" s="49"/>
      <c r="AL722" s="113">
        <f t="shared" si="306"/>
        <v>0</v>
      </c>
      <c r="AM722" s="113">
        <f t="shared" si="301"/>
        <v>0</v>
      </c>
      <c r="AN722" s="218"/>
      <c r="AO722" s="49"/>
      <c r="AP722" s="49"/>
      <c r="AQ722" s="84" t="str">
        <f>UPPER(RIGHT(Journal_Live[[#This Row],[DURATION ]]))</f>
        <v/>
      </c>
      <c r="AR722" s="49"/>
      <c r="AS722" s="55"/>
      <c r="AT722" s="55"/>
      <c r="AU722" s="54"/>
      <c r="AV722" s="56"/>
      <c r="AW722" s="57"/>
      <c r="AX722" s="153"/>
      <c r="AY722" s="153"/>
      <c r="AZ722" s="153"/>
      <c r="BA722" s="153"/>
      <c r="BB722" s="153"/>
      <c r="BC722" s="153"/>
      <c r="BD722" s="151"/>
      <c r="BE722" s="152"/>
      <c r="BF722" s="151"/>
      <c r="BG722" s="94">
        <f>SUM($AV$4:AV722)</f>
        <v>4716.6140742929865</v>
      </c>
      <c r="BH722" s="95">
        <f>SUM($AU$4:AU722)</f>
        <v>46258.639220779289</v>
      </c>
      <c r="BI722" s="80">
        <f>SUMIFS($AU$3:AU734,$Q$3:Q734,"F")</f>
        <v>32973.293506493508</v>
      </c>
      <c r="BJ722" s="80">
        <f>SUMIFS($AU$3:AU734,$Q$3:Q734,"S")</f>
        <v>20002.285714285714</v>
      </c>
      <c r="BK722" s="87">
        <f>SUMIFS($AU$3:AU734,$P$3:P734,"W")</f>
        <v>31576.759220779561</v>
      </c>
      <c r="BL722" s="87">
        <f>SUMIFS($AU$3:AU734,$P$3:P734,"R")</f>
        <v>15726.00000000016</v>
      </c>
      <c r="BM722" s="87">
        <f>SUMIFS($AU$3:AU734,$AQ$3:AQ734,"M")</f>
        <v>10931.179999998967</v>
      </c>
      <c r="BN722" s="87">
        <f>SUMIFS($AU$3:AU734,$AQ$3:AQ734,"H")</f>
        <v>14523.200000000877</v>
      </c>
      <c r="BO722" s="87">
        <f>SUMIFS($AU$3:AU734,$AQ$3:AQ734,"D")</f>
        <v>8014.9928571427408</v>
      </c>
      <c r="BP722" s="87">
        <f>SUMIFS($AS$3:AS1311,$AO$3:AO1311,"W")</f>
        <v>0</v>
      </c>
      <c r="BQ722" s="87">
        <f>SUMIFS($AU$3:AU734,$Q$3:Q734,"O")</f>
        <v>-5384.9400000000251</v>
      </c>
      <c r="BR722" s="87">
        <f>SUMIFS($AU$3:AU734,$AA$3:AA734,"*")</f>
        <v>37075.122077921827</v>
      </c>
      <c r="BS722" s="87">
        <f>SUMIFS($AU$3:AU734,$AB$3:AB734,"*")</f>
        <v>12971.859999999973</v>
      </c>
      <c r="BT722" s="87">
        <f>SUMIFS($AU$3:AU734,$AC$3:AC734,"*")</f>
        <v>40173.293506493676</v>
      </c>
      <c r="BU722" s="87">
        <f>SUMIFS($AU$3:AU734,$AA$3:AA734,"*",$AB$3:AB734,"*")</f>
        <v>8011.9999999997544</v>
      </c>
      <c r="BV722" s="87">
        <f>SUMIFS($AU$3:AU734,$AA$3:AA734,"*",$AC$3:AC734,"*")</f>
        <v>28153.636363636531</v>
      </c>
      <c r="BW722" s="87">
        <f>SUMIFS($AU$3:AU734,$AB$3:AB734,"*",$AC$3:AC734,"*")</f>
        <v>9360</v>
      </c>
      <c r="BX722" s="87">
        <f>SUMIFS($AV$3:AV734,$Q$3:Q734,"F")</f>
        <v>462.72914667325267</v>
      </c>
      <c r="BY722" s="87">
        <f>SUMIFS($AV$3:AV734,$Q$3:Q734,"S")</f>
        <v>738.32562762001328</v>
      </c>
      <c r="BZ722" s="87">
        <f>SUMIFS($AV$3:AV734,$Q$3:Q734,"O")</f>
        <v>471.55929999966099</v>
      </c>
    </row>
    <row r="723" spans="1:78" ht="15.75" customHeight="1">
      <c r="A723" s="45" t="s">
        <v>1819</v>
      </c>
      <c r="B723" s="59">
        <v>45443</v>
      </c>
      <c r="C723" s="46" t="s">
        <v>2277</v>
      </c>
      <c r="D723" s="46" t="s">
        <v>115</v>
      </c>
      <c r="E723" s="66"/>
      <c r="F723" s="47"/>
      <c r="G723" s="48" t="s">
        <v>463</v>
      </c>
      <c r="H723" s="49"/>
      <c r="I723" s="49"/>
      <c r="J723" s="49"/>
      <c r="K723" s="50"/>
      <c r="L723" s="49"/>
      <c r="M723" s="49"/>
      <c r="N723" s="49"/>
      <c r="O723" s="50"/>
      <c r="P723" s="50"/>
      <c r="Q723" s="50"/>
      <c r="R723" s="50"/>
      <c r="S723" s="50"/>
      <c r="T723" s="50"/>
      <c r="U723" s="50"/>
      <c r="V723" s="50"/>
      <c r="W723" s="50"/>
      <c r="X723" s="50"/>
      <c r="Y723" s="51"/>
      <c r="Z723" s="52"/>
      <c r="AA723" s="52"/>
      <c r="AB723" s="52"/>
      <c r="AC723" s="52"/>
      <c r="AD723" s="231"/>
      <c r="AE723" s="49"/>
      <c r="AF723" s="84"/>
      <c r="AG723" s="49"/>
      <c r="AH723" s="49"/>
      <c r="AI723" s="49"/>
      <c r="AJ723" s="226"/>
      <c r="AK723" s="49"/>
      <c r="AL723" s="113">
        <f>-0.01*Z723</f>
        <v>0</v>
      </c>
      <c r="AM723" s="113">
        <f t="shared" si="301"/>
        <v>0</v>
      </c>
      <c r="AN723" s="218"/>
      <c r="AO723" s="49"/>
      <c r="AP723" s="49"/>
      <c r="AQ723" s="84" t="str">
        <f>UPPER(RIGHT(Journal_Live[[#This Row],[DURATION ]]))</f>
        <v/>
      </c>
      <c r="AR723" s="49"/>
      <c r="AS723" s="55"/>
      <c r="AT723" s="55"/>
      <c r="AU723" s="54"/>
      <c r="AV723" s="56"/>
      <c r="AW723" s="57"/>
      <c r="AX723" s="153"/>
      <c r="AY723" s="153"/>
      <c r="AZ723" s="153"/>
      <c r="BA723" s="153"/>
      <c r="BB723" s="153"/>
      <c r="BC723" s="153"/>
      <c r="BD723" s="151"/>
      <c r="BE723" s="152"/>
      <c r="BF723" s="151"/>
      <c r="BG723" s="94">
        <f>SUM($AV$4:AV723)</f>
        <v>4716.6140742929865</v>
      </c>
      <c r="BH723" s="95">
        <f>SUM($AU$4:AU723)</f>
        <v>46258.639220779289</v>
      </c>
      <c r="BI723" s="80">
        <f>SUMIFS($AU$3:AU731,$Q$3:Q731,"F")</f>
        <v>32973.293506493508</v>
      </c>
      <c r="BJ723" s="80">
        <f>SUMIFS($AU$3:AU731,$Q$3:Q731,"S")</f>
        <v>20002.285714285714</v>
      </c>
      <c r="BK723" s="87">
        <f>SUMIFS($AU$3:AU731,$P$3:P731,"W")</f>
        <v>31576.759220779561</v>
      </c>
      <c r="BL723" s="87">
        <f>SUMIFS($AU$3:AU731,$P$3:P731,"R")</f>
        <v>15726.00000000016</v>
      </c>
      <c r="BM723" s="87">
        <f>SUMIFS($AU$3:AU731,$AQ$3:AQ731,"M")</f>
        <v>10931.179999998967</v>
      </c>
      <c r="BN723" s="87">
        <f>SUMIFS($AU$3:AU731,$AQ$3:AQ731,"H")</f>
        <v>14523.200000000877</v>
      </c>
      <c r="BO723" s="87">
        <f>SUMIFS($AU$3:AU731,$AQ$3:AQ731,"D")</f>
        <v>8014.9928571427408</v>
      </c>
      <c r="BP723" s="87">
        <f>SUMIFS($AS$3:AS1308,$AO$3:AO1308,"W")</f>
        <v>0</v>
      </c>
      <c r="BQ723" s="87">
        <f>SUMIFS($AU$3:AU731,$Q$3:Q731,"O")</f>
        <v>-5384.9400000000251</v>
      </c>
      <c r="BR723" s="87">
        <f>SUMIFS($AU$3:AU731,$AA$3:AA731,"*")</f>
        <v>37075.122077921827</v>
      </c>
      <c r="BS723" s="87">
        <f>SUMIFS($AU$3:AU731,$AB$3:AB731,"*")</f>
        <v>12971.859999999973</v>
      </c>
      <c r="BT723" s="87">
        <f>SUMIFS($AU$3:AU731,$AC$3:AC731,"*")</f>
        <v>40173.293506493676</v>
      </c>
      <c r="BU723" s="87">
        <f>SUMIFS($AU$3:AU731,$AA$3:AA731,"*",$AB$3:AB731,"*")</f>
        <v>8011.9999999997544</v>
      </c>
      <c r="BV723" s="87">
        <f>SUMIFS($AU$3:AU731,$AA$3:AA731,"*",$AC$3:AC731,"*")</f>
        <v>28153.636363636531</v>
      </c>
      <c r="BW723" s="87">
        <f>SUMIFS($AU$3:AU731,$AB$3:AB731,"*",$AC$3:AC731,"*")</f>
        <v>9360</v>
      </c>
      <c r="BX723" s="87">
        <f>SUMIFS($AV$3:AV731,$Q$3:Q731,"F")</f>
        <v>462.72914667325267</v>
      </c>
      <c r="BY723" s="87">
        <f>SUMIFS($AV$3:AV731,$Q$3:Q731,"S")</f>
        <v>738.32562762001328</v>
      </c>
      <c r="BZ723" s="87">
        <f>SUMIFS($AV$3:AV731,$Q$3:Q731,"O")</f>
        <v>471.55929999966099</v>
      </c>
    </row>
    <row r="724" spans="1:78" ht="15.75" customHeight="1">
      <c r="A724" s="45" t="s">
        <v>1819</v>
      </c>
      <c r="B724" s="59">
        <v>45443</v>
      </c>
      <c r="C724" s="46" t="s">
        <v>738</v>
      </c>
      <c r="D724" s="46" t="s">
        <v>115</v>
      </c>
      <c r="E724" s="66"/>
      <c r="F724" s="47"/>
      <c r="G724" s="178" t="s">
        <v>1606</v>
      </c>
      <c r="H724" s="49"/>
      <c r="I724" s="49"/>
      <c r="J724" s="49"/>
      <c r="K724" s="50"/>
      <c r="L724" s="49"/>
      <c r="M724" s="49">
        <v>1</v>
      </c>
      <c r="N724" s="49"/>
      <c r="O724" s="50" t="s">
        <v>740</v>
      </c>
      <c r="P724" s="50" t="s">
        <v>126</v>
      </c>
      <c r="Q724" s="50"/>
      <c r="R724" s="50">
        <v>1</v>
      </c>
      <c r="S724" s="50">
        <v>0</v>
      </c>
      <c r="T724" s="50">
        <v>1</v>
      </c>
      <c r="U724" s="50" t="s">
        <v>22</v>
      </c>
      <c r="V724" s="50"/>
      <c r="W724" s="50"/>
      <c r="X724" s="50"/>
      <c r="Y724" s="51">
        <f>IF(ISBLANK(O724),"",(IF(O724=UPPER("IB"),0.005,0.01)))</f>
        <v>0.01</v>
      </c>
      <c r="Z724" s="52">
        <f>IF(ISBLANK(O724),"",IF(O724="IB",8.63*200,IF(O724="IR",16*100,IF(O724="YT",20*100,IF(O724="YT-XT",24*200,IF(O724="TED",80*100,IF(O724="IR|YT",300*100)))))))</f>
        <v>30000</v>
      </c>
      <c r="AA724" s="52" t="s">
        <v>2278</v>
      </c>
      <c r="AB724" s="52"/>
      <c r="AC724" s="52"/>
      <c r="AD724" s="231">
        <v>-0.01</v>
      </c>
      <c r="AE724" s="49"/>
      <c r="AF724" s="84"/>
      <c r="AG724" s="49"/>
      <c r="AH724" s="49"/>
      <c r="AI724" s="49"/>
      <c r="AJ724" s="226"/>
      <c r="AK724" s="49"/>
      <c r="AL724" s="113">
        <f t="shared" ref="AL724:AL729" si="308">-0.02*Z724</f>
        <v>-600</v>
      </c>
      <c r="AM724" s="113">
        <f t="shared" si="301"/>
        <v>-600</v>
      </c>
      <c r="AN724" s="218"/>
      <c r="AO724" s="49"/>
      <c r="AP724" s="49"/>
      <c r="AQ724" s="84" t="s">
        <v>142</v>
      </c>
      <c r="AR724" s="49"/>
      <c r="AS724" s="55">
        <v>-0.01</v>
      </c>
      <c r="AT724" s="55">
        <f>IF(ISBLANK(AS724),,IF(U724="S",AD724-AS724,AS724-AD724))</f>
        <v>0</v>
      </c>
      <c r="AU724" s="54">
        <f>AV724*R724</f>
        <v>0</v>
      </c>
      <c r="AV724" s="56">
        <f t="shared" ref="AV724:AV730" si="309">IF(ISBLANK(AS724),,(AT724*Z724))</f>
        <v>0</v>
      </c>
      <c r="AW724" s="57" t="s">
        <v>155</v>
      </c>
      <c r="AX724" s="153"/>
      <c r="AY724" s="153"/>
      <c r="AZ724" s="153"/>
      <c r="BA724" s="153"/>
      <c r="BB724" s="153"/>
      <c r="BC724" s="153"/>
      <c r="BD724" s="151"/>
      <c r="BE724" s="152"/>
      <c r="BF724" s="151"/>
      <c r="BG724" s="94">
        <f>SUM($AV$4:AV724)</f>
        <v>4716.6140742929865</v>
      </c>
      <c r="BH724" s="95">
        <f>SUM($AU$4:AU724)</f>
        <v>46258.639220779289</v>
      </c>
      <c r="BI724" s="80">
        <f>SUMIFS($AU$3:AU725,$Q$3:Q725,"F")</f>
        <v>29133.293506493508</v>
      </c>
      <c r="BJ724" s="80">
        <f>SUMIFS($AU$3:AU725,$Q$3:Q725,"S")</f>
        <v>20002.285714285714</v>
      </c>
      <c r="BK724" s="87">
        <f>SUMIFS($AU$3:AU725,$P$3:P725,"W")</f>
        <v>27736.759220779561</v>
      </c>
      <c r="BL724" s="87">
        <f>SUMIFS($AU$3:AU725,$P$3:P725,"R")</f>
        <v>15726.00000000016</v>
      </c>
      <c r="BM724" s="87">
        <f>SUMIFS($AU$3:AU725,$AQ$3:AQ725,"M")</f>
        <v>10931.179999998967</v>
      </c>
      <c r="BN724" s="87">
        <f>SUMIFS($AU$3:AU725,$AQ$3:AQ725,"H")</f>
        <v>14523.200000000877</v>
      </c>
      <c r="BO724" s="87">
        <f>SUMIFS($AU$3:AU725,$AQ$3:AQ725,"D")</f>
        <v>4174.9928571427417</v>
      </c>
      <c r="BP724" s="87">
        <f>SUMIFS($AS$3:AS1306,$AO$3:AO1306,"W")</f>
        <v>0</v>
      </c>
      <c r="BQ724" s="87">
        <f>SUMIFS($AU$3:AU725,$Q$3:Q725,"O")</f>
        <v>-5384.9400000000251</v>
      </c>
      <c r="BR724" s="87">
        <f>SUMIFS($AU$3:AU725,$AA$3:AA725,"*")</f>
        <v>36835.122077921827</v>
      </c>
      <c r="BS724" s="87">
        <f>SUMIFS($AU$3:AU725,$AB$3:AB725,"*")</f>
        <v>12971.859999999973</v>
      </c>
      <c r="BT724" s="87">
        <f>SUMIFS($AU$3:AU725,$AC$3:AC725,"*")</f>
        <v>36333.293506493676</v>
      </c>
      <c r="BU724" s="87">
        <f>SUMIFS($AU$3:AU725,$AA$3:AA725,"*",$AB$3:AB725,"*")</f>
        <v>8011.9999999997544</v>
      </c>
      <c r="BV724" s="87">
        <f>SUMIFS($AU$3:AU725,$AA$3:AA725,"*",$AC$3:AC725,"*")</f>
        <v>27913.636363636531</v>
      </c>
      <c r="BW724" s="87">
        <f>SUMIFS($AU$3:AU725,$AB$3:AB725,"*",$AC$3:AC725,"*")</f>
        <v>9360</v>
      </c>
      <c r="BX724" s="87">
        <f>SUMIFS($AV$3:AV725,$Q$3:Q725,"F")</f>
        <v>416.72914667325267</v>
      </c>
      <c r="BY724" s="87">
        <f>SUMIFS($AV$3:AV725,$Q$3:Q725,"S")</f>
        <v>738.32562762001328</v>
      </c>
      <c r="BZ724" s="87">
        <f>SUMIFS($AV$3:AV725,$Q$3:Q725,"O")</f>
        <v>471.55929999966099</v>
      </c>
    </row>
    <row r="725" spans="1:78" ht="15.75" customHeight="1">
      <c r="A725" s="45" t="s">
        <v>1819</v>
      </c>
      <c r="B725" s="59">
        <v>45443</v>
      </c>
      <c r="C725" s="46" t="s">
        <v>2279</v>
      </c>
      <c r="D725" s="46" t="s">
        <v>115</v>
      </c>
      <c r="E725" s="66"/>
      <c r="F725" s="47"/>
      <c r="G725" s="104" t="s">
        <v>1169</v>
      </c>
      <c r="H725" s="49"/>
      <c r="I725" s="49"/>
      <c r="J725" s="49"/>
      <c r="K725" s="50"/>
      <c r="L725" s="49"/>
      <c r="M725" s="49">
        <v>1</v>
      </c>
      <c r="N725" s="49"/>
      <c r="O725" s="50" t="s">
        <v>196</v>
      </c>
      <c r="P725" s="50" t="s">
        <v>197</v>
      </c>
      <c r="Q725" s="50" t="s">
        <v>198</v>
      </c>
      <c r="R725" s="50">
        <v>2</v>
      </c>
      <c r="S725" s="50">
        <v>0</v>
      </c>
      <c r="T725" s="50">
        <v>2</v>
      </c>
      <c r="U725" s="50" t="s">
        <v>22</v>
      </c>
      <c r="V725" s="50"/>
      <c r="W725" s="50"/>
      <c r="X725" s="50"/>
      <c r="Y725" s="51">
        <f>IF(ISBLANK(O725),"",(IF(O725=UPPER("IB"),0.005,0.01)))</f>
        <v>0.01</v>
      </c>
      <c r="Z725" s="52">
        <f>IF(ISBLANK(O725),"",IF(O725="IB",8.63*200,IF(O725="IR",16*100,IF(O725="YT",20*100,IF(O725="YT-XT",24*200,IF(O725="TED",80*100,IF(O725="XT",29*200)))))))</f>
        <v>5800</v>
      </c>
      <c r="AA725" s="52" t="s">
        <v>1887</v>
      </c>
      <c r="AB725" s="52"/>
      <c r="AC725" s="52"/>
      <c r="AD725" s="231">
        <v>95.54</v>
      </c>
      <c r="AE725" s="49"/>
      <c r="AF725" s="84"/>
      <c r="AG725" s="49" t="s">
        <v>2280</v>
      </c>
      <c r="AH725" s="49"/>
      <c r="AI725" s="49"/>
      <c r="AJ725" s="226"/>
      <c r="AK725" s="49"/>
      <c r="AL725" s="113">
        <f t="shared" si="308"/>
        <v>-116</v>
      </c>
      <c r="AM725" s="113">
        <f t="shared" si="301"/>
        <v>-232</v>
      </c>
      <c r="AN725" s="218"/>
      <c r="AO725" s="49"/>
      <c r="AP725" s="49" t="s">
        <v>532</v>
      </c>
      <c r="AQ725" s="84" t="s">
        <v>350</v>
      </c>
      <c r="AR725" s="49"/>
      <c r="AS725" s="55">
        <v>95.55</v>
      </c>
      <c r="AT725" s="55">
        <f>IF(ISBLANK(AS725),,IF(U725="S",AD725-AS725,AS725-AD725))</f>
        <v>9.9999999999909051E-3</v>
      </c>
      <c r="AU725" s="54">
        <f>AV725*R725</f>
        <v>115.9999999998945</v>
      </c>
      <c r="AV725" s="56">
        <f t="shared" si="309"/>
        <v>57.999999999947249</v>
      </c>
      <c r="AW725" s="57" t="s">
        <v>101</v>
      </c>
      <c r="AX725" s="153"/>
      <c r="AY725" s="153"/>
      <c r="AZ725" s="153"/>
      <c r="BA725" s="153"/>
      <c r="BB725" s="153"/>
      <c r="BC725" s="153"/>
      <c r="BD725" s="151"/>
      <c r="BE725" s="152"/>
      <c r="BF725" s="151"/>
      <c r="BG725" s="94">
        <f>SUM($AV$4:AV725)</f>
        <v>4774.6140742929338</v>
      </c>
      <c r="BH725" s="95">
        <f>SUM($AU$4:AU725)</f>
        <v>46374.63922077918</v>
      </c>
      <c r="BI725" s="80">
        <f>SUMIFS($AU$3:AU726,$Q$3:Q726,"F")</f>
        <v>29133.293506493508</v>
      </c>
      <c r="BJ725" s="80">
        <f>SUMIFS($AU$3:AU726,$Q$3:Q726,"S")</f>
        <v>20002.285714285714</v>
      </c>
      <c r="BK725" s="87">
        <f>SUMIFS($AU$3:AU726,$P$3:P726,"W")</f>
        <v>27736.759220779561</v>
      </c>
      <c r="BL725" s="87">
        <f>SUMIFS($AU$3:AU726,$P$3:P726,"R")</f>
        <v>15726.00000000016</v>
      </c>
      <c r="BM725" s="87">
        <f>SUMIFS($AU$3:AU726,$AQ$3:AQ726,"M")</f>
        <v>10931.179999998967</v>
      </c>
      <c r="BN725" s="87">
        <f>SUMIFS($AU$3:AU726,$AQ$3:AQ726,"H")</f>
        <v>14523.200000000877</v>
      </c>
      <c r="BO725" s="87">
        <f>SUMIFS($AU$3:AU726,$AQ$3:AQ726,"D")</f>
        <v>4174.9928571427417</v>
      </c>
      <c r="BP725" s="87">
        <f>SUMIFS($AS$3:AS1307,$AO$3:AO1307,"W")</f>
        <v>0</v>
      </c>
      <c r="BQ725" s="87">
        <f>SUMIFS($AU$3:AU726,$Q$3:Q726,"O")</f>
        <v>-5384.9400000000251</v>
      </c>
      <c r="BR725" s="87">
        <f>SUMIFS($AU$3:AU726,$AA$3:AA726,"*")</f>
        <v>36835.122077921827</v>
      </c>
      <c r="BS725" s="87">
        <f>SUMIFS($AU$3:AU726,$AB$3:AB726,"*")</f>
        <v>12971.859999999973</v>
      </c>
      <c r="BT725" s="87">
        <f>SUMIFS($AU$3:AU726,$AC$3:AC726,"*")</f>
        <v>36333.293506493676</v>
      </c>
      <c r="BU725" s="87">
        <f>SUMIFS($AU$3:AU726,$AA$3:AA726,"*",$AB$3:AB726,"*")</f>
        <v>8011.9999999997544</v>
      </c>
      <c r="BV725" s="87">
        <f>SUMIFS($AU$3:AU726,$AA$3:AA726,"*",$AC$3:AC726,"*")</f>
        <v>27913.636363636531</v>
      </c>
      <c r="BW725" s="87">
        <f>SUMIFS($AU$3:AU726,$AB$3:AB726,"*",$AC$3:AC726,"*")</f>
        <v>9360</v>
      </c>
      <c r="BX725" s="87">
        <f>SUMIFS($AV$3:AV726,$Q$3:Q726,"F")</f>
        <v>416.72914667325267</v>
      </c>
      <c r="BY725" s="87">
        <f>SUMIFS($AV$3:AV726,$Q$3:Q726,"S")</f>
        <v>738.32562762001328</v>
      </c>
      <c r="BZ725" s="87">
        <f>SUMIFS($AV$3:AV726,$Q$3:Q726,"O")</f>
        <v>471.55929999966099</v>
      </c>
    </row>
    <row r="726" spans="1:78" ht="15.75" customHeight="1">
      <c r="A726" s="45" t="s">
        <v>1819</v>
      </c>
      <c r="B726" s="59">
        <v>45443</v>
      </c>
      <c r="C726" s="46" t="s">
        <v>871</v>
      </c>
      <c r="D726" s="46" t="s">
        <v>115</v>
      </c>
      <c r="E726" s="66" t="s">
        <v>2281</v>
      </c>
      <c r="F726" s="47"/>
      <c r="G726" s="48"/>
      <c r="H726" s="49"/>
      <c r="I726" s="49"/>
      <c r="J726" s="49"/>
      <c r="K726" s="50"/>
      <c r="L726" s="49"/>
      <c r="M726" s="49"/>
      <c r="N726" s="49"/>
      <c r="O726" s="50"/>
      <c r="P726" s="50"/>
      <c r="Q726" s="50"/>
      <c r="R726" s="50"/>
      <c r="S726" s="50"/>
      <c r="T726" s="50"/>
      <c r="U726" s="50"/>
      <c r="V726" s="50"/>
      <c r="W726" s="50"/>
      <c r="X726" s="50"/>
      <c r="Y726" s="51"/>
      <c r="Z726" s="52"/>
      <c r="AA726" s="52"/>
      <c r="AB726" s="52"/>
      <c r="AC726" s="52"/>
      <c r="AD726" s="231"/>
      <c r="AE726" s="49"/>
      <c r="AF726" s="84"/>
      <c r="AG726" s="49"/>
      <c r="AH726" s="49"/>
      <c r="AI726" s="49"/>
      <c r="AJ726" s="226"/>
      <c r="AK726" s="49"/>
      <c r="AL726" s="113">
        <f t="shared" si="308"/>
        <v>0</v>
      </c>
      <c r="AM726" s="113">
        <f t="shared" si="301"/>
        <v>0</v>
      </c>
      <c r="AN726" s="218"/>
      <c r="AO726" s="49"/>
      <c r="AP726" s="49"/>
      <c r="AQ726" s="84" t="str">
        <f>UPPER(RIGHT(Journal_Live[[#This Row],[DURATION ]]))</f>
        <v/>
      </c>
      <c r="AR726" s="49"/>
      <c r="AS726" s="55"/>
      <c r="AT726" s="55"/>
      <c r="AU726" s="54"/>
      <c r="AV726" s="56"/>
      <c r="AW726" s="57"/>
      <c r="AX726" s="153"/>
      <c r="AY726" s="153"/>
      <c r="AZ726" s="153"/>
      <c r="BA726" s="153"/>
      <c r="BB726" s="153"/>
      <c r="BC726" s="153"/>
      <c r="BD726" s="151"/>
      <c r="BE726" s="152"/>
      <c r="BF726" s="151"/>
      <c r="BG726" s="94">
        <f>SUM($AV$4:AV726)</f>
        <v>4774.6140742929338</v>
      </c>
      <c r="BH726" s="95">
        <f>SUM($AU$4:AU726)</f>
        <v>46374.63922077918</v>
      </c>
      <c r="BI726" s="80">
        <f>SUMIFS($AU$3:AU731,$Q$3:Q731,"F")</f>
        <v>32973.293506493508</v>
      </c>
      <c r="BJ726" s="80">
        <f>SUMIFS($AU$3:AU731,$Q$3:Q731,"S")</f>
        <v>20002.285714285714</v>
      </c>
      <c r="BK726" s="87">
        <f>SUMIFS($AU$3:AU731,$P$3:P731,"W")</f>
        <v>31576.759220779561</v>
      </c>
      <c r="BL726" s="87">
        <f>SUMIFS($AU$3:AU731,$P$3:P731,"R")</f>
        <v>15726.00000000016</v>
      </c>
      <c r="BM726" s="87">
        <f>SUMIFS($AU$3:AU731,$AQ$3:AQ731,"M")</f>
        <v>10931.179999998967</v>
      </c>
      <c r="BN726" s="87">
        <f>SUMIFS($AU$3:AU731,$AQ$3:AQ731,"H")</f>
        <v>14523.200000000877</v>
      </c>
      <c r="BO726" s="87">
        <f>SUMIFS($AU$3:AU731,$AQ$3:AQ731,"D")</f>
        <v>8014.9928571427408</v>
      </c>
      <c r="BP726" s="87">
        <f>SUMIFS($AS$3:AS1308,$AO$3:AO1308,"W")</f>
        <v>0</v>
      </c>
      <c r="BQ726" s="87">
        <f>SUMIFS($AU$3:AU731,$Q$3:Q731,"O")</f>
        <v>-5384.9400000000251</v>
      </c>
      <c r="BR726" s="87">
        <f>SUMIFS($AU$3:AU731,$AA$3:AA731,"*")</f>
        <v>37075.122077921827</v>
      </c>
      <c r="BS726" s="87">
        <f>SUMIFS($AU$3:AU731,$AB$3:AB731,"*")</f>
        <v>12971.859999999973</v>
      </c>
      <c r="BT726" s="87">
        <f>SUMIFS($AU$3:AU731,$AC$3:AC731,"*")</f>
        <v>40173.293506493676</v>
      </c>
      <c r="BU726" s="87">
        <f>SUMIFS($AU$3:AU731,$AA$3:AA731,"*",$AB$3:AB731,"*")</f>
        <v>8011.9999999997544</v>
      </c>
      <c r="BV726" s="87">
        <f>SUMIFS($AU$3:AU731,$AA$3:AA731,"*",$AC$3:AC731,"*")</f>
        <v>28153.636363636531</v>
      </c>
      <c r="BW726" s="87">
        <f>SUMIFS($AU$3:AU731,$AB$3:AB731,"*",$AC$3:AC731,"*")</f>
        <v>9360</v>
      </c>
      <c r="BX726" s="87">
        <f>SUMIFS($AV$3:AV731,$Q$3:Q731,"F")</f>
        <v>462.72914667325267</v>
      </c>
      <c r="BY726" s="87">
        <f>SUMIFS($AV$3:AV731,$Q$3:Q731,"S")</f>
        <v>738.32562762001328</v>
      </c>
      <c r="BZ726" s="87">
        <f>SUMIFS($AV$3:AV731,$Q$3:Q731,"O")</f>
        <v>471.55929999966099</v>
      </c>
    </row>
    <row r="727" spans="1:78" ht="15.75" customHeight="1">
      <c r="A727" s="45" t="s">
        <v>1819</v>
      </c>
      <c r="B727" s="59"/>
      <c r="C727" s="46"/>
      <c r="D727" s="46"/>
      <c r="E727" s="66" t="s">
        <v>2282</v>
      </c>
      <c r="F727" s="47" t="s">
        <v>2283</v>
      </c>
      <c r="G727" s="48"/>
      <c r="H727" s="49"/>
      <c r="I727" s="49"/>
      <c r="J727" s="49">
        <v>1</v>
      </c>
      <c r="K727" s="50" t="s">
        <v>155</v>
      </c>
      <c r="L727" s="49"/>
      <c r="M727" s="49"/>
      <c r="N727" s="49"/>
      <c r="O727" s="50"/>
      <c r="P727" s="50"/>
      <c r="Q727" s="50"/>
      <c r="R727" s="50"/>
      <c r="S727" s="50"/>
      <c r="T727" s="50"/>
      <c r="U727" s="50"/>
      <c r="V727" s="50"/>
      <c r="W727" s="50"/>
      <c r="X727" s="50"/>
      <c r="Y727" s="51"/>
      <c r="Z727" s="52"/>
      <c r="AA727" s="52"/>
      <c r="AB727" s="52"/>
      <c r="AC727" s="52"/>
      <c r="AD727" s="231"/>
      <c r="AE727" s="49"/>
      <c r="AF727" s="84"/>
      <c r="AG727" s="49"/>
      <c r="AH727" s="49"/>
      <c r="AI727" s="49"/>
      <c r="AJ727" s="226"/>
      <c r="AK727" s="49"/>
      <c r="AL727" s="113">
        <f t="shared" si="308"/>
        <v>0</v>
      </c>
      <c r="AM727" s="113">
        <f t="shared" si="301"/>
        <v>0</v>
      </c>
      <c r="AN727" s="218"/>
      <c r="AO727" s="49"/>
      <c r="AP727" s="49"/>
      <c r="AQ727" s="84" t="str">
        <f>UPPER(RIGHT(Journal_Live[[#This Row],[DURATION ]]))</f>
        <v/>
      </c>
      <c r="AR727" s="49"/>
      <c r="AS727" s="55"/>
      <c r="AT727" s="55"/>
      <c r="AU727" s="54"/>
      <c r="AV727" s="56"/>
      <c r="AW727" s="57"/>
      <c r="AX727" s="153"/>
      <c r="AY727" s="153"/>
      <c r="AZ727" s="153"/>
      <c r="BA727" s="153"/>
      <c r="BB727" s="153"/>
      <c r="BC727" s="153"/>
      <c r="BD727" s="151"/>
      <c r="BE727" s="152"/>
      <c r="BF727" s="151"/>
      <c r="BG727" s="94">
        <f>SUM($AV$4:AV727)</f>
        <v>4774.6140742929338</v>
      </c>
      <c r="BH727" s="95">
        <f>SUM($AU$4:AU727)</f>
        <v>46374.63922077918</v>
      </c>
      <c r="BI727" s="80">
        <f>SUMIFS($AU$3:AU728,$Q$3:Q728,"F")</f>
        <v>29133.293506493508</v>
      </c>
      <c r="BJ727" s="80">
        <f>SUMIFS($AU$3:AU728,$Q$3:Q728,"S")</f>
        <v>20002.285714285714</v>
      </c>
      <c r="BK727" s="87">
        <f>SUMIFS($AU$3:AU728,$P$3:P728,"W")</f>
        <v>27736.759220779561</v>
      </c>
      <c r="BL727" s="87">
        <f>SUMIFS($AU$3:AU728,$P$3:P728,"R")</f>
        <v>15726.00000000016</v>
      </c>
      <c r="BM727" s="87">
        <f>SUMIFS($AU$3:AU728,$AQ$3:AQ728,"M")</f>
        <v>10931.179999998967</v>
      </c>
      <c r="BN727" s="87">
        <f>SUMIFS($AU$3:AU728,$AQ$3:AQ728,"H")</f>
        <v>14523.200000000877</v>
      </c>
      <c r="BO727" s="87">
        <f>SUMIFS($AU$3:AU728,$AQ$3:AQ728,"D")</f>
        <v>4174.9928571427417</v>
      </c>
      <c r="BP727" s="87">
        <f>SUMIFS($AS$3:AS1305,$AO$3:AO1305,"W")</f>
        <v>0</v>
      </c>
      <c r="BQ727" s="87">
        <f>SUMIFS($AU$3:AU728,$Q$3:Q728,"O")</f>
        <v>-5384.9400000000251</v>
      </c>
      <c r="BR727" s="87">
        <f>SUMIFS($AU$3:AU728,$AA$3:AA728,"*")</f>
        <v>36835.122077921827</v>
      </c>
      <c r="BS727" s="87">
        <f>SUMIFS($AU$3:AU728,$AB$3:AB728,"*")</f>
        <v>12971.859999999973</v>
      </c>
      <c r="BT727" s="87">
        <f>SUMIFS($AU$3:AU728,$AC$3:AC728,"*")</f>
        <v>36333.293506493676</v>
      </c>
      <c r="BU727" s="87">
        <f>SUMIFS($AU$3:AU728,$AA$3:AA728,"*",$AB$3:AB728,"*")</f>
        <v>8011.9999999997544</v>
      </c>
      <c r="BV727" s="87">
        <f>SUMIFS($AU$3:AU728,$AA$3:AA728,"*",$AC$3:AC728,"*")</f>
        <v>27913.636363636531</v>
      </c>
      <c r="BW727" s="87">
        <f>SUMIFS($AU$3:AU728,$AB$3:AB728,"*",$AC$3:AC728,"*")</f>
        <v>9360</v>
      </c>
      <c r="BX727" s="87">
        <f>SUMIFS($AV$3:AV728,$Q$3:Q728,"F")</f>
        <v>416.72914667325267</v>
      </c>
      <c r="BY727" s="87">
        <f>SUMIFS($AV$3:AV728,$Q$3:Q728,"S")</f>
        <v>738.32562762001328</v>
      </c>
      <c r="BZ727" s="87">
        <f>SUMIFS($AV$3:AV728,$Q$3:Q728,"O")</f>
        <v>471.55929999966099</v>
      </c>
    </row>
    <row r="728" spans="1:78" ht="15.75" customHeight="1">
      <c r="A728" s="45" t="s">
        <v>1819</v>
      </c>
      <c r="B728" s="59">
        <v>45443</v>
      </c>
      <c r="C728" s="46" t="s">
        <v>2284</v>
      </c>
      <c r="D728" s="46" t="s">
        <v>115</v>
      </c>
      <c r="E728" s="66"/>
      <c r="F728" s="47"/>
      <c r="G728" s="184" t="s">
        <v>377</v>
      </c>
      <c r="H728" s="49"/>
      <c r="I728" s="49"/>
      <c r="J728" s="49"/>
      <c r="K728" s="50"/>
      <c r="L728" s="49">
        <v>1</v>
      </c>
      <c r="M728" s="49"/>
      <c r="N728" s="49"/>
      <c r="O728" s="50" t="s">
        <v>476</v>
      </c>
      <c r="P728" s="50" t="s">
        <v>197</v>
      </c>
      <c r="Q728" s="50" t="s">
        <v>198</v>
      </c>
      <c r="R728" s="50">
        <v>1</v>
      </c>
      <c r="S728" s="50">
        <v>0</v>
      </c>
      <c r="T728" s="50">
        <v>1</v>
      </c>
      <c r="U728" s="50" t="s">
        <v>22</v>
      </c>
      <c r="V728" s="50"/>
      <c r="W728" s="50"/>
      <c r="X728" s="50"/>
      <c r="Y728" s="51">
        <f>IF(ISBLANK(O728),"",(IF(O728=UPPER("IB"),0.005,0.01)))</f>
        <v>0.01</v>
      </c>
      <c r="Z728" s="52">
        <f>IF(ISBLANK(O728),"",IF(O728="IB",8.63*200,IF(O728="IR",16*100,IF(O728="YT",20*100,IF(O728="YT-XT",24*200,IF(O728="TED",80*100,IF(O728="XT",29*200)))))))</f>
        <v>2000</v>
      </c>
      <c r="AA728" s="52" t="s">
        <v>2285</v>
      </c>
      <c r="AB728" s="52"/>
      <c r="AC728" s="52"/>
      <c r="AD728" s="231">
        <v>-0.2</v>
      </c>
      <c r="AE728" s="49"/>
      <c r="AF728" s="84"/>
      <c r="AG728" s="49"/>
      <c r="AH728" s="49"/>
      <c r="AI728" s="49"/>
      <c r="AJ728" s="226"/>
      <c r="AK728" s="49"/>
      <c r="AL728" s="113">
        <f t="shared" si="308"/>
        <v>-40</v>
      </c>
      <c r="AM728" s="113">
        <f t="shared" ref="AM728:AM738" si="310">AL728*(R728-S728)</f>
        <v>-40</v>
      </c>
      <c r="AN728" s="218"/>
      <c r="AO728" s="49"/>
      <c r="AP728" s="49"/>
      <c r="AQ728" s="84" t="str">
        <f>UPPER(RIGHT(Journal_Live[[#This Row],[DURATION ]]))</f>
        <v/>
      </c>
      <c r="AR728" s="49"/>
      <c r="AS728" s="55">
        <v>-0.2</v>
      </c>
      <c r="AT728" s="55">
        <f>IF(ISBLANK(AS728),,IF(U728="S",AD728-AS728,AS728-AD728))</f>
        <v>0</v>
      </c>
      <c r="AU728" s="54">
        <f>AV728*R728</f>
        <v>0</v>
      </c>
      <c r="AV728" s="56">
        <f t="shared" si="309"/>
        <v>0</v>
      </c>
      <c r="AW728" s="57" t="s">
        <v>155</v>
      </c>
      <c r="AX728" s="153"/>
      <c r="AY728" s="153"/>
      <c r="AZ728" s="153"/>
      <c r="BA728" s="153"/>
      <c r="BB728" s="153"/>
      <c r="BC728" s="153"/>
      <c r="BD728" s="151"/>
      <c r="BE728" s="152"/>
      <c r="BF728" s="151"/>
      <c r="BG728" s="94">
        <f>SUM($AV$4:AV728)</f>
        <v>4774.6140742929338</v>
      </c>
      <c r="BH728" s="95">
        <f>SUM($AU$4:AU728)</f>
        <v>46374.63922077918</v>
      </c>
      <c r="BI728" s="80">
        <f>SUMIFS($AU$3:AU729,$Q$3:Q729,"F")</f>
        <v>29133.293506493508</v>
      </c>
      <c r="BJ728" s="80">
        <f>SUMIFS($AU$3:AU729,$Q$3:Q729,"S")</f>
        <v>20002.285714285714</v>
      </c>
      <c r="BK728" s="87">
        <f>SUMIFS($AU$3:AU729,$P$3:P729,"W")</f>
        <v>27736.759220779561</v>
      </c>
      <c r="BL728" s="87">
        <f>SUMIFS($AU$3:AU729,$P$3:P729,"R")</f>
        <v>15726.00000000016</v>
      </c>
      <c r="BM728" s="87">
        <f>SUMIFS($AU$3:AU729,$AQ$3:AQ729,"M")</f>
        <v>10931.179999998967</v>
      </c>
      <c r="BN728" s="87">
        <f>SUMIFS($AU$3:AU729,$AQ$3:AQ729,"H")</f>
        <v>14523.200000000877</v>
      </c>
      <c r="BO728" s="87">
        <f>SUMIFS($AU$3:AU729,$AQ$3:AQ729,"D")</f>
        <v>4174.9928571427417</v>
      </c>
      <c r="BP728" s="87">
        <f>SUMIFS($AS$3:AS1306,$AO$3:AO1306,"W")</f>
        <v>0</v>
      </c>
      <c r="BQ728" s="87">
        <f>SUMIFS($AU$3:AU729,$Q$3:Q729,"O")</f>
        <v>-5384.9400000000251</v>
      </c>
      <c r="BR728" s="87">
        <f>SUMIFS($AU$3:AU729,$AA$3:AA729,"*")</f>
        <v>36835.122077921827</v>
      </c>
      <c r="BS728" s="87">
        <f>SUMIFS($AU$3:AU729,$AB$3:AB729,"*")</f>
        <v>12971.859999999973</v>
      </c>
      <c r="BT728" s="87">
        <f>SUMIFS($AU$3:AU729,$AC$3:AC729,"*")</f>
        <v>36333.293506493676</v>
      </c>
      <c r="BU728" s="87">
        <f>SUMIFS($AU$3:AU729,$AA$3:AA729,"*",$AB$3:AB729,"*")</f>
        <v>8011.9999999997544</v>
      </c>
      <c r="BV728" s="87">
        <f>SUMIFS($AU$3:AU729,$AA$3:AA729,"*",$AC$3:AC729,"*")</f>
        <v>27913.636363636531</v>
      </c>
      <c r="BW728" s="87">
        <f>SUMIFS($AU$3:AU729,$AB$3:AB729,"*",$AC$3:AC729,"*")</f>
        <v>9360</v>
      </c>
      <c r="BX728" s="87">
        <f>SUMIFS($AV$3:AV729,$Q$3:Q729,"F")</f>
        <v>416.72914667325267</v>
      </c>
      <c r="BY728" s="87">
        <f>SUMIFS($AV$3:AV729,$Q$3:Q729,"S")</f>
        <v>738.32562762001328</v>
      </c>
      <c r="BZ728" s="87">
        <f>SUMIFS($AV$3:AV729,$Q$3:Q729,"O")</f>
        <v>471.55929999966099</v>
      </c>
    </row>
    <row r="729" spans="1:78" ht="15.75" customHeight="1">
      <c r="A729" s="45" t="s">
        <v>1819</v>
      </c>
      <c r="B729" s="59">
        <v>45443</v>
      </c>
      <c r="C729" s="46" t="s">
        <v>2286</v>
      </c>
      <c r="D729" s="46" t="s">
        <v>115</v>
      </c>
      <c r="E729" s="66"/>
      <c r="F729" s="47"/>
      <c r="G729" s="184" t="s">
        <v>1718</v>
      </c>
      <c r="H729" s="49"/>
      <c r="I729" s="49"/>
      <c r="J729" s="49"/>
      <c r="K729" s="50"/>
      <c r="L729" s="49"/>
      <c r="M729" s="49">
        <v>1</v>
      </c>
      <c r="N729" s="49"/>
      <c r="O729" s="50" t="s">
        <v>740</v>
      </c>
      <c r="P729" s="50" t="s">
        <v>126</v>
      </c>
      <c r="Q729" s="50"/>
      <c r="R729" s="50">
        <v>1</v>
      </c>
      <c r="S729" s="50">
        <v>0</v>
      </c>
      <c r="T729" s="50">
        <v>1</v>
      </c>
      <c r="U729" s="50" t="s">
        <v>22</v>
      </c>
      <c r="V729" s="50"/>
      <c r="W729" s="50"/>
      <c r="X729" s="50"/>
      <c r="Y729" s="51">
        <f>IF(ISBLANK(O729),"",(IF(O729=UPPER("IB"),0.005,0.01)))</f>
        <v>0.01</v>
      </c>
      <c r="Z729" s="52">
        <f>IF(ISBLANK(O729),"",IF(O729="IB",8.63*200,IF(O729="IR",16*100,IF(O729="YT",20*100,IF(O729="YT-XT",24*200,IF(O729="TED",80*100,IF(O729="IR|YT",300*100)))))))</f>
        <v>30000</v>
      </c>
      <c r="AA729" s="52" t="s">
        <v>2287</v>
      </c>
      <c r="AB729" s="52"/>
      <c r="AC729" s="52"/>
      <c r="AD729" s="231">
        <v>-0.13</v>
      </c>
      <c r="AE729" s="49"/>
      <c r="AF729" s="84"/>
      <c r="AG729" s="49"/>
      <c r="AH729" s="49"/>
      <c r="AI729" s="49"/>
      <c r="AJ729" s="226"/>
      <c r="AK729" s="49"/>
      <c r="AL729" s="113">
        <f t="shared" si="308"/>
        <v>-600</v>
      </c>
      <c r="AM729" s="113">
        <f t="shared" si="310"/>
        <v>-600</v>
      </c>
      <c r="AN729" s="218"/>
      <c r="AO729" s="49"/>
      <c r="AP729" s="49" t="s">
        <v>1386</v>
      </c>
      <c r="AQ729" s="84" t="s">
        <v>142</v>
      </c>
      <c r="AR729" s="49"/>
      <c r="AS729" s="55">
        <v>-0.13</v>
      </c>
      <c r="AT729" s="55">
        <f>IF(ISBLANK(AS729),,IF(U729="S",AD729-AS729,AS729-AD729))</f>
        <v>0</v>
      </c>
      <c r="AU729" s="54">
        <f>AV729*R729</f>
        <v>0</v>
      </c>
      <c r="AV729" s="56">
        <f t="shared" si="309"/>
        <v>0</v>
      </c>
      <c r="AW729" s="57" t="s">
        <v>155</v>
      </c>
      <c r="AX729" s="153" t="s">
        <v>2288</v>
      </c>
      <c r="AY729" s="153" t="s">
        <v>2289</v>
      </c>
      <c r="AZ729" s="153" t="s">
        <v>2290</v>
      </c>
      <c r="BA729" s="153"/>
      <c r="BB729" s="153"/>
      <c r="BC729" s="153"/>
      <c r="BD729" s="151"/>
      <c r="BE729" s="152"/>
      <c r="BF729" s="151"/>
      <c r="BG729" s="94">
        <f>SUM($AV$4:AV729)</f>
        <v>4774.6140742929338</v>
      </c>
      <c r="BH729" s="95">
        <f>SUM($AU$4:AU729)</f>
        <v>46374.63922077918</v>
      </c>
      <c r="BI729" s="80">
        <f>SUMIFS($AU$3:AU730,$Q$3:Q730,"F")</f>
        <v>32733.293506493508</v>
      </c>
      <c r="BJ729" s="80">
        <f>SUMIFS($AU$3:AU730,$Q$3:Q730,"S")</f>
        <v>20002.285714285714</v>
      </c>
      <c r="BK729" s="87">
        <f>SUMIFS($AU$3:AU730,$P$3:P730,"W")</f>
        <v>31336.759220779561</v>
      </c>
      <c r="BL729" s="87">
        <f>SUMIFS($AU$3:AU730,$P$3:P730,"R")</f>
        <v>15726.00000000016</v>
      </c>
      <c r="BM729" s="87">
        <f>SUMIFS($AU$3:AU730,$AQ$3:AQ730,"M")</f>
        <v>10931.179999998967</v>
      </c>
      <c r="BN729" s="87">
        <f>SUMIFS($AU$3:AU730,$AQ$3:AQ730,"H")</f>
        <v>14523.200000000877</v>
      </c>
      <c r="BO729" s="87">
        <f>SUMIFS($AU$3:AU730,$AQ$3:AQ730,"D")</f>
        <v>7774.9928571427408</v>
      </c>
      <c r="BP729" s="87">
        <f>SUMIFS($AS$3:AS1307,$AO$3:AO1307,"W")</f>
        <v>0</v>
      </c>
      <c r="BQ729" s="87">
        <f>SUMIFS($AU$3:AU730,$Q$3:Q730,"O")</f>
        <v>-5384.9400000000251</v>
      </c>
      <c r="BR729" s="87">
        <f>SUMIFS($AU$3:AU730,$AA$3:AA730,"*")</f>
        <v>36835.122077921827</v>
      </c>
      <c r="BS729" s="87">
        <f>SUMIFS($AU$3:AU730,$AB$3:AB730,"*")</f>
        <v>12971.859999999973</v>
      </c>
      <c r="BT729" s="87">
        <f>SUMIFS($AU$3:AU730,$AC$3:AC730,"*")</f>
        <v>39933.293506493676</v>
      </c>
      <c r="BU729" s="87">
        <f>SUMIFS($AU$3:AU730,$AA$3:AA730,"*",$AB$3:AB730,"*")</f>
        <v>8011.9999999997544</v>
      </c>
      <c r="BV729" s="87">
        <f>SUMIFS($AU$3:AU730,$AA$3:AA730,"*",$AC$3:AC730,"*")</f>
        <v>27913.636363636531</v>
      </c>
      <c r="BW729" s="87">
        <f>SUMIFS($AU$3:AU730,$AB$3:AB730,"*",$AC$3:AC730,"*")</f>
        <v>9360</v>
      </c>
      <c r="BX729" s="87">
        <f>SUMIFS($AV$3:AV730,$Q$3:Q730,"F")</f>
        <v>446.72914667325267</v>
      </c>
      <c r="BY729" s="87">
        <f>SUMIFS($AV$3:AV730,$Q$3:Q730,"S")</f>
        <v>738.32562762001328</v>
      </c>
      <c r="BZ729" s="87">
        <f>SUMIFS($AV$3:AV730,$Q$3:Q730,"O")</f>
        <v>471.55929999966099</v>
      </c>
    </row>
    <row r="730" spans="1:78" ht="15.75" customHeight="1">
      <c r="A730" s="45" t="s">
        <v>1819</v>
      </c>
      <c r="B730" s="59">
        <v>45443</v>
      </c>
      <c r="C730" s="46" t="s">
        <v>2291</v>
      </c>
      <c r="D730" s="46" t="s">
        <v>115</v>
      </c>
      <c r="E730" s="66"/>
      <c r="F730" s="47"/>
      <c r="G730" s="110" t="s">
        <v>2292</v>
      </c>
      <c r="H730" s="49"/>
      <c r="I730" s="49"/>
      <c r="J730" s="49"/>
      <c r="K730" s="50"/>
      <c r="L730" s="49"/>
      <c r="M730" s="49">
        <v>2</v>
      </c>
      <c r="N730" s="49"/>
      <c r="O730" s="50" t="s">
        <v>100</v>
      </c>
      <c r="P730" s="50" t="s">
        <v>101</v>
      </c>
      <c r="Q730" s="50" t="s">
        <v>127</v>
      </c>
      <c r="R730" s="50">
        <v>120</v>
      </c>
      <c r="S730" s="50">
        <v>95</v>
      </c>
      <c r="T730" s="50">
        <v>15</v>
      </c>
      <c r="U730" s="50" t="s">
        <v>102</v>
      </c>
      <c r="V730" s="50"/>
      <c r="W730" s="50"/>
      <c r="X730" s="50"/>
      <c r="Y730" s="51">
        <f>IF(ISBLANK(O730),"",(IF(O730=UPPER("IB"),0.005,0.01)))</f>
        <v>0.01</v>
      </c>
      <c r="Z730" s="52">
        <f>IF(ISBLANK(O730),"",IF(O730="IB",8.63*200,IF(O730="IR",16*100,IF(O730="YT",20*100,IF(O730="YT-XT",24*200,IF(O730="TED",80*100,IF(O730="IR|YT",300*100)))))))</f>
        <v>1600</v>
      </c>
      <c r="AA730" s="52"/>
      <c r="AB730" s="52"/>
      <c r="AC730" s="52" t="s">
        <v>2293</v>
      </c>
      <c r="AD730" s="231">
        <f>(0.03*60+0.04*60)/120</f>
        <v>3.4999999999999996E-2</v>
      </c>
      <c r="AE730" s="49"/>
      <c r="AF730" s="84"/>
      <c r="AG730" s="49"/>
      <c r="AH730" s="49"/>
      <c r="AI730" s="49"/>
      <c r="AJ730" s="226" t="s">
        <v>2294</v>
      </c>
      <c r="AK730" s="49"/>
      <c r="AL730" s="113">
        <f>-0.02*Z730</f>
        <v>-32</v>
      </c>
      <c r="AM730" s="113">
        <f t="shared" si="310"/>
        <v>-800</v>
      </c>
      <c r="AN730" s="218"/>
      <c r="AO730" s="49"/>
      <c r="AP730" s="49" t="s">
        <v>265</v>
      </c>
      <c r="AQ730" s="84" t="s">
        <v>155</v>
      </c>
      <c r="AR730" s="49" t="s">
        <v>2295</v>
      </c>
      <c r="AS730" s="55">
        <f>((0.02*20)+(0.02*30)+(0.01*20)+(0.01*25)+(0.02*25))/120</f>
        <v>1.6250000000000001E-2</v>
      </c>
      <c r="AT730" s="55">
        <f>IF(ISBLANK(AS730),,IF(U730="S",AD730-AS730,AS730-AD730))</f>
        <v>1.8749999999999996E-2</v>
      </c>
      <c r="AU730" s="54">
        <f>AV730*R730</f>
        <v>3599.9999999999991</v>
      </c>
      <c r="AV730" s="56">
        <f t="shared" si="309"/>
        <v>29.999999999999993</v>
      </c>
      <c r="AW730" s="57" t="s">
        <v>101</v>
      </c>
      <c r="AX730" s="153" t="s">
        <v>2296</v>
      </c>
      <c r="AY730" s="153"/>
      <c r="AZ730" s="153"/>
      <c r="BA730" s="153"/>
      <c r="BB730" s="153"/>
      <c r="BC730" s="153"/>
      <c r="BD730" s="151"/>
      <c r="BE730" s="152"/>
      <c r="BF730" s="151"/>
      <c r="BG730" s="94">
        <f>SUM($AV$4:AV730)</f>
        <v>4804.6140742929338</v>
      </c>
      <c r="BH730" s="95">
        <f>SUM($AU$4:AU730)</f>
        <v>49974.63922077918</v>
      </c>
      <c r="BI730" s="80">
        <f>SUMIFS($AU$3:AU731,$Q$3:Q731,"F")</f>
        <v>32973.293506493508</v>
      </c>
      <c r="BJ730" s="80">
        <f>SUMIFS($AU$3:AU731,$Q$3:Q731,"S")</f>
        <v>20002.285714285714</v>
      </c>
      <c r="BK730" s="87">
        <f>SUMIFS($AU$3:AU731,$P$3:P731,"W")</f>
        <v>31576.759220779561</v>
      </c>
      <c r="BL730" s="87">
        <f>SUMIFS($AU$3:AU731,$P$3:P731,"R")</f>
        <v>15726.00000000016</v>
      </c>
      <c r="BM730" s="87">
        <f>SUMIFS($AU$3:AU731,$AQ$3:AQ731,"M")</f>
        <v>10931.179999998967</v>
      </c>
      <c r="BN730" s="87">
        <f>SUMIFS($AU$3:AU731,$AQ$3:AQ731,"H")</f>
        <v>14523.200000000877</v>
      </c>
      <c r="BO730" s="87">
        <f>SUMIFS($AU$3:AU731,$AQ$3:AQ731,"D")</f>
        <v>8014.9928571427408</v>
      </c>
      <c r="BP730" s="87">
        <f>SUMIFS($AS$3:AS1308,$AO$3:AO1308,"W")</f>
        <v>0</v>
      </c>
      <c r="BQ730" s="87">
        <f>SUMIFS($AU$3:AU731,$Q$3:Q731,"O")</f>
        <v>-5384.9400000000251</v>
      </c>
      <c r="BR730" s="87">
        <f>SUMIFS($AU$3:AU731,$AA$3:AA731,"*")</f>
        <v>37075.122077921827</v>
      </c>
      <c r="BS730" s="87">
        <f>SUMIFS($AU$3:AU731,$AB$3:AB731,"*")</f>
        <v>12971.859999999973</v>
      </c>
      <c r="BT730" s="87">
        <f>SUMIFS($AU$3:AU731,$AC$3:AC731,"*")</f>
        <v>40173.293506493676</v>
      </c>
      <c r="BU730" s="87">
        <f>SUMIFS($AU$3:AU731,$AA$3:AA731,"*",$AB$3:AB731,"*")</f>
        <v>8011.9999999997544</v>
      </c>
      <c r="BV730" s="87">
        <f>SUMIFS($AU$3:AU731,$AA$3:AA731,"*",$AC$3:AC731,"*")</f>
        <v>28153.636363636531</v>
      </c>
      <c r="BW730" s="87">
        <f>SUMIFS($AU$3:AU731,$AB$3:AB731,"*",$AC$3:AC731,"*")</f>
        <v>9360</v>
      </c>
      <c r="BX730" s="87">
        <f>SUMIFS($AV$3:AV731,$Q$3:Q731,"F")</f>
        <v>462.72914667325267</v>
      </c>
      <c r="BY730" s="87">
        <f>SUMIFS($AV$3:AV731,$Q$3:Q731,"S")</f>
        <v>738.32562762001328</v>
      </c>
      <c r="BZ730" s="87">
        <f>SUMIFS($AV$3:AV731,$Q$3:Q731,"O")</f>
        <v>471.55929999966099</v>
      </c>
    </row>
    <row r="731" spans="1:78" ht="15.75" customHeight="1">
      <c r="A731" s="45" t="s">
        <v>1819</v>
      </c>
      <c r="B731" s="59">
        <v>45443</v>
      </c>
      <c r="C731" s="46" t="s">
        <v>2291</v>
      </c>
      <c r="D731" s="46" t="s">
        <v>115</v>
      </c>
      <c r="E731" s="66"/>
      <c r="F731" s="47"/>
      <c r="G731" s="104" t="s">
        <v>2297</v>
      </c>
      <c r="H731" s="49"/>
      <c r="I731" s="49"/>
      <c r="J731" s="49"/>
      <c r="K731" s="50"/>
      <c r="L731" s="49"/>
      <c r="M731" s="49">
        <v>2</v>
      </c>
      <c r="N731" s="49"/>
      <c r="O731" s="50" t="s">
        <v>100</v>
      </c>
      <c r="P731" s="50" t="s">
        <v>101</v>
      </c>
      <c r="Q731" s="50" t="s">
        <v>127</v>
      </c>
      <c r="R731" s="50">
        <v>15</v>
      </c>
      <c r="S731" s="50">
        <v>0</v>
      </c>
      <c r="T731" s="50">
        <v>15</v>
      </c>
      <c r="U731" s="50" t="s">
        <v>102</v>
      </c>
      <c r="V731" s="50"/>
      <c r="W731" s="50"/>
      <c r="X731" s="50"/>
      <c r="Y731" s="51">
        <f>IF(ISBLANK(O731),"",(IF(O731=UPPER("IB"),0.005,0.01)))</f>
        <v>0.01</v>
      </c>
      <c r="Z731" s="52">
        <f>IF(ISBLANK(O731),"",IF(O731="IB",8.63*200,IF(O731="IR",16*100,IF(O731="YT",20*100,IF(O731="YT-XT",24*200,IF(O731="TED",80*100,IF(O731="IR|YT",300*100)))))))</f>
        <v>1600</v>
      </c>
      <c r="AA731" s="52" t="s">
        <v>1909</v>
      </c>
      <c r="AB731" s="52"/>
      <c r="AC731" s="52" t="s">
        <v>2298</v>
      </c>
      <c r="AD731" s="231">
        <v>0.06</v>
      </c>
      <c r="AE731" s="49"/>
      <c r="AF731" s="84"/>
      <c r="AG731" s="49"/>
      <c r="AH731" s="49" t="s">
        <v>1368</v>
      </c>
      <c r="AI731" s="49"/>
      <c r="AJ731" s="226" t="s">
        <v>2299</v>
      </c>
      <c r="AK731" s="49"/>
      <c r="AL731" s="113">
        <f t="shared" si="306"/>
        <v>-32</v>
      </c>
      <c r="AM731" s="113">
        <f t="shared" si="310"/>
        <v>-480</v>
      </c>
      <c r="AN731" s="218"/>
      <c r="AO731" s="49"/>
      <c r="AP731" s="49" t="s">
        <v>279</v>
      </c>
      <c r="AQ731" s="84" t="s">
        <v>155</v>
      </c>
      <c r="AR731" s="49"/>
      <c r="AS731" s="55">
        <v>0.05</v>
      </c>
      <c r="AT731" s="55">
        <f>IF(ISBLANK(AS731),,IF(U731="S",AD731-AS731,AS731-AD731))</f>
        <v>9.999999999999995E-3</v>
      </c>
      <c r="AU731" s="54">
        <f>AV731*R731</f>
        <v>239.99999999999989</v>
      </c>
      <c r="AV731" s="56">
        <f t="shared" si="307"/>
        <v>15.999999999999993</v>
      </c>
      <c r="AW731" s="57" t="s">
        <v>101</v>
      </c>
      <c r="AX731" s="153"/>
      <c r="AY731" s="153"/>
      <c r="AZ731" s="153"/>
      <c r="BA731" s="153"/>
      <c r="BB731" s="153"/>
      <c r="BC731" s="153"/>
      <c r="BD731" s="151"/>
      <c r="BE731" s="152"/>
      <c r="BF731" s="151"/>
      <c r="BG731" s="94">
        <f>SUM($AV$4:AV731)</f>
        <v>4820.6140742929338</v>
      </c>
      <c r="BH731" s="95">
        <f>SUM($AU$4:AU731)</f>
        <v>50214.63922077918</v>
      </c>
      <c r="BI731" s="80">
        <f>SUMIFS($AU$3:AU732,$Q$3:Q732,"F")</f>
        <v>32973.293506493508</v>
      </c>
      <c r="BJ731" s="80">
        <f>SUMIFS($AU$3:AU732,$Q$3:Q732,"S")</f>
        <v>20002.285714285714</v>
      </c>
      <c r="BK731" s="87">
        <f>SUMIFS($AU$3:AU732,$P$3:P732,"W")</f>
        <v>31576.759220779561</v>
      </c>
      <c r="BL731" s="87">
        <f>SUMIFS($AU$3:AU732,$P$3:P732,"R")</f>
        <v>15726.00000000016</v>
      </c>
      <c r="BM731" s="87">
        <f>SUMIFS($AU$3:AU732,$AQ$3:AQ732,"M")</f>
        <v>10931.179999998967</v>
      </c>
      <c r="BN731" s="87">
        <f>SUMIFS($AU$3:AU732,$AQ$3:AQ732,"H")</f>
        <v>14523.200000000877</v>
      </c>
      <c r="BO731" s="87">
        <f>SUMIFS($AU$3:AU732,$AQ$3:AQ732,"D")</f>
        <v>8014.9928571427408</v>
      </c>
      <c r="BP731" s="87">
        <f>SUMIFS($AS$3:AS1309,$AO$3:AO1309,"W")</f>
        <v>0</v>
      </c>
      <c r="BQ731" s="87">
        <f>SUMIFS($AU$3:AU732,$Q$3:Q732,"O")</f>
        <v>-5384.9400000000251</v>
      </c>
      <c r="BR731" s="87">
        <f>SUMIFS($AU$3:AU732,$AA$3:AA732,"*")</f>
        <v>37075.122077921827</v>
      </c>
      <c r="BS731" s="87">
        <f>SUMIFS($AU$3:AU732,$AB$3:AB732,"*")</f>
        <v>12971.859999999973</v>
      </c>
      <c r="BT731" s="87">
        <f>SUMIFS($AU$3:AU732,$AC$3:AC732,"*")</f>
        <v>40173.293506493676</v>
      </c>
      <c r="BU731" s="87">
        <f>SUMIFS($AU$3:AU732,$AA$3:AA732,"*",$AB$3:AB732,"*")</f>
        <v>8011.9999999997544</v>
      </c>
      <c r="BV731" s="87">
        <f>SUMIFS($AU$3:AU732,$AA$3:AA732,"*",$AC$3:AC732,"*")</f>
        <v>28153.636363636531</v>
      </c>
      <c r="BW731" s="87">
        <f>SUMIFS($AU$3:AU732,$AB$3:AB732,"*",$AC$3:AC732,"*")</f>
        <v>9360</v>
      </c>
      <c r="BX731" s="87">
        <f>SUMIFS($AV$3:AV732,$Q$3:Q732,"F")</f>
        <v>462.72914667325267</v>
      </c>
      <c r="BY731" s="87">
        <f>SUMIFS($AV$3:AV732,$Q$3:Q732,"S")</f>
        <v>738.32562762001328</v>
      </c>
      <c r="BZ731" s="87">
        <f>SUMIFS($AV$3:AV732,$Q$3:Q732,"O")</f>
        <v>471.55929999966099</v>
      </c>
    </row>
    <row r="732" spans="1:78" ht="15.75" customHeight="1">
      <c r="A732" s="45" t="s">
        <v>1819</v>
      </c>
      <c r="B732" s="59">
        <v>45443</v>
      </c>
      <c r="C732" s="46"/>
      <c r="D732" s="46" t="s">
        <v>115</v>
      </c>
      <c r="E732" s="66" t="s">
        <v>2300</v>
      </c>
      <c r="F732" s="47"/>
      <c r="G732" s="48"/>
      <c r="H732" s="49"/>
      <c r="I732" s="49"/>
      <c r="J732" s="49"/>
      <c r="K732" s="50"/>
      <c r="L732" s="49"/>
      <c r="M732" s="49"/>
      <c r="N732" s="49"/>
      <c r="O732" s="50"/>
      <c r="P732" s="50"/>
      <c r="Q732" s="50"/>
      <c r="R732" s="50"/>
      <c r="S732" s="50"/>
      <c r="T732" s="50"/>
      <c r="U732" s="50"/>
      <c r="V732" s="50"/>
      <c r="W732" s="50"/>
      <c r="X732" s="50"/>
      <c r="Y732" s="51"/>
      <c r="Z732" s="52"/>
      <c r="AA732" s="52"/>
      <c r="AB732" s="52"/>
      <c r="AC732" s="52"/>
      <c r="AD732" s="231"/>
      <c r="AE732" s="49"/>
      <c r="AF732" s="84"/>
      <c r="AG732" s="49"/>
      <c r="AH732" s="49"/>
      <c r="AI732" s="49"/>
      <c r="AJ732" s="226"/>
      <c r="AK732" s="49"/>
      <c r="AL732" s="113">
        <f t="shared" si="306"/>
        <v>0</v>
      </c>
      <c r="AM732" s="113">
        <f t="shared" si="310"/>
        <v>0</v>
      </c>
      <c r="AN732" s="218"/>
      <c r="AO732" s="49"/>
      <c r="AP732" s="49"/>
      <c r="AQ732" s="84" t="str">
        <f>UPPER(RIGHT(Journal_Live[[#This Row],[DURATION ]]))</f>
        <v/>
      </c>
      <c r="AR732" s="49"/>
      <c r="AS732" s="55"/>
      <c r="AT732" s="55"/>
      <c r="AU732" s="54"/>
      <c r="AV732" s="56"/>
      <c r="AW732" s="57"/>
      <c r="AX732" s="99" t="s">
        <v>2301</v>
      </c>
      <c r="AY732" s="99" t="s">
        <v>2302</v>
      </c>
      <c r="AZ732" s="153"/>
      <c r="BA732" s="153"/>
      <c r="BB732" s="153"/>
      <c r="BC732" s="153"/>
      <c r="BD732" s="151"/>
      <c r="BE732" s="152"/>
      <c r="BF732" s="151"/>
      <c r="BG732" s="94">
        <f>SUM($AV$4:AV732)</f>
        <v>4820.6140742929338</v>
      </c>
      <c r="BH732" s="95">
        <f>SUM($AU$4:AU732)</f>
        <v>50214.63922077918</v>
      </c>
      <c r="BI732" s="80">
        <f>SUMIFS($AU$3:AU733,$Q$3:Q733,"F")</f>
        <v>32973.293506493508</v>
      </c>
      <c r="BJ732" s="80">
        <f>SUMIFS($AU$3:AU733,$Q$3:Q733,"S")</f>
        <v>20002.285714285714</v>
      </c>
      <c r="BK732" s="87">
        <f>SUMIFS($AU$3:AU733,$P$3:P733,"W")</f>
        <v>31576.759220779561</v>
      </c>
      <c r="BL732" s="87">
        <f>SUMIFS($AU$3:AU733,$P$3:P733,"R")</f>
        <v>15726.00000000016</v>
      </c>
      <c r="BM732" s="87">
        <f>SUMIFS($AU$3:AU733,$AQ$3:AQ733,"M")</f>
        <v>10931.179999998967</v>
      </c>
      <c r="BN732" s="87">
        <f>SUMIFS($AU$3:AU733,$AQ$3:AQ733,"H")</f>
        <v>14523.200000000877</v>
      </c>
      <c r="BO732" s="87">
        <f>SUMIFS($AU$3:AU733,$AQ$3:AQ733,"D")</f>
        <v>8014.9928571427408</v>
      </c>
      <c r="BP732" s="87">
        <f>SUMIFS($AS$3:AS1310,$AO$3:AO1310,"W")</f>
        <v>0</v>
      </c>
      <c r="BQ732" s="87">
        <f>SUMIFS($AU$3:AU733,$Q$3:Q733,"O")</f>
        <v>-5384.9400000000251</v>
      </c>
      <c r="BR732" s="87">
        <f>SUMIFS($AU$3:AU733,$AA$3:AA733,"*")</f>
        <v>37075.122077921827</v>
      </c>
      <c r="BS732" s="87">
        <f>SUMIFS($AU$3:AU733,$AB$3:AB733,"*")</f>
        <v>12971.859999999973</v>
      </c>
      <c r="BT732" s="87">
        <f>SUMIFS($AU$3:AU733,$AC$3:AC733,"*")</f>
        <v>40173.293506493676</v>
      </c>
      <c r="BU732" s="87">
        <f>SUMIFS($AU$3:AU733,$AA$3:AA733,"*",$AB$3:AB733,"*")</f>
        <v>8011.9999999997544</v>
      </c>
      <c r="BV732" s="87">
        <f>SUMIFS($AU$3:AU733,$AA$3:AA733,"*",$AC$3:AC733,"*")</f>
        <v>28153.636363636531</v>
      </c>
      <c r="BW732" s="87">
        <f>SUMIFS($AU$3:AU733,$AB$3:AB733,"*",$AC$3:AC733,"*")</f>
        <v>9360</v>
      </c>
      <c r="BX732" s="87">
        <f>SUMIFS($AV$3:AV733,$Q$3:Q733,"F")</f>
        <v>462.72914667325267</v>
      </c>
      <c r="BY732" s="87">
        <f>SUMIFS($AV$3:AV733,$Q$3:Q733,"S")</f>
        <v>738.32562762001328</v>
      </c>
      <c r="BZ732" s="87">
        <f>SUMIFS($AV$3:AV733,$Q$3:Q733,"O")</f>
        <v>471.55929999966099</v>
      </c>
    </row>
    <row r="733" spans="1:78" ht="15.75" customHeight="1">
      <c r="A733" s="45" t="s">
        <v>1819</v>
      </c>
      <c r="B733" s="59"/>
      <c r="C733" s="46"/>
      <c r="D733" s="46"/>
      <c r="E733" s="66"/>
      <c r="F733" s="47"/>
      <c r="G733" s="48"/>
      <c r="H733" s="49"/>
      <c r="I733" s="49"/>
      <c r="J733" s="49"/>
      <c r="K733" s="50"/>
      <c r="L733" s="49"/>
      <c r="M733" s="49"/>
      <c r="N733" s="49"/>
      <c r="O733" s="50"/>
      <c r="P733" s="50"/>
      <c r="Q733" s="50"/>
      <c r="R733" s="50"/>
      <c r="S733" s="50"/>
      <c r="T733" s="50"/>
      <c r="U733" s="50"/>
      <c r="V733" s="50"/>
      <c r="W733" s="50"/>
      <c r="X733" s="50"/>
      <c r="Y733" s="51"/>
      <c r="Z733" s="52"/>
      <c r="AA733" s="52"/>
      <c r="AB733" s="52"/>
      <c r="AC733" s="52"/>
      <c r="AD733" s="231"/>
      <c r="AE733" s="49"/>
      <c r="AF733" s="84"/>
      <c r="AG733" s="49"/>
      <c r="AH733" s="49"/>
      <c r="AI733" s="49"/>
      <c r="AJ733" s="226"/>
      <c r="AK733" s="49"/>
      <c r="AL733" s="113">
        <f t="shared" si="306"/>
        <v>0</v>
      </c>
      <c r="AM733" s="113">
        <f t="shared" si="310"/>
        <v>0</v>
      </c>
      <c r="AN733" s="218"/>
      <c r="AO733" s="49"/>
      <c r="AP733" s="49"/>
      <c r="AQ733" s="84" t="str">
        <f>UPPER(RIGHT(Journal_Live[[#This Row],[DURATION ]]))</f>
        <v/>
      </c>
      <c r="AR733" s="49"/>
      <c r="AS733" s="55"/>
      <c r="AT733" s="55"/>
      <c r="AU733" s="54"/>
      <c r="AV733" s="56"/>
      <c r="AW733" s="57"/>
      <c r="AX733" s="153"/>
      <c r="AY733" s="153"/>
      <c r="AZ733" s="153"/>
      <c r="BA733" s="153"/>
      <c r="BB733" s="153"/>
      <c r="BC733" s="153"/>
      <c r="BD733" s="151"/>
      <c r="BE733" s="152"/>
      <c r="BF733" s="151"/>
      <c r="BG733" s="94">
        <f>SUM($AV$4:AV733)</f>
        <v>4820.6140742929338</v>
      </c>
      <c r="BH733" s="95">
        <f>SUM($AU$4:AU733)</f>
        <v>50214.63922077918</v>
      </c>
      <c r="BI733" s="80">
        <f>SUMIFS($AU$3:AU734,$Q$3:Q734,"F")</f>
        <v>32973.293506493508</v>
      </c>
      <c r="BJ733" s="80">
        <f>SUMIFS($AU$3:AU734,$Q$3:Q734,"S")</f>
        <v>20002.285714285714</v>
      </c>
      <c r="BK733" s="87">
        <f>SUMIFS($AU$3:AU734,$P$3:P734,"W")</f>
        <v>31576.759220779561</v>
      </c>
      <c r="BL733" s="87">
        <f>SUMIFS($AU$3:AU734,$P$3:P734,"R")</f>
        <v>15726.00000000016</v>
      </c>
      <c r="BM733" s="87">
        <f>SUMIFS($AU$3:AU734,$AQ$3:AQ734,"M")</f>
        <v>10931.179999998967</v>
      </c>
      <c r="BN733" s="87">
        <f>SUMIFS($AU$3:AU734,$AQ$3:AQ734,"H")</f>
        <v>14523.200000000877</v>
      </c>
      <c r="BO733" s="87">
        <f>SUMIFS($AU$3:AU734,$AQ$3:AQ734,"D")</f>
        <v>8014.9928571427408</v>
      </c>
      <c r="BP733" s="87">
        <f>SUMIFS($AS$3:AS1311,$AO$3:AO1311,"W")</f>
        <v>0</v>
      </c>
      <c r="BQ733" s="87">
        <f>SUMIFS($AU$3:AU734,$Q$3:Q734,"O")</f>
        <v>-5384.9400000000251</v>
      </c>
      <c r="BR733" s="87">
        <f>SUMIFS($AU$3:AU734,$AA$3:AA734,"*")</f>
        <v>37075.122077921827</v>
      </c>
      <c r="BS733" s="87">
        <f>SUMIFS($AU$3:AU734,$AB$3:AB734,"*")</f>
        <v>12971.859999999973</v>
      </c>
      <c r="BT733" s="87">
        <f>SUMIFS($AU$3:AU734,$AC$3:AC734,"*")</f>
        <v>40173.293506493676</v>
      </c>
      <c r="BU733" s="87">
        <f>SUMIFS($AU$3:AU734,$AA$3:AA734,"*",$AB$3:AB734,"*")</f>
        <v>8011.9999999997544</v>
      </c>
      <c r="BV733" s="87">
        <f>SUMIFS($AU$3:AU734,$AA$3:AA734,"*",$AC$3:AC734,"*")</f>
        <v>28153.636363636531</v>
      </c>
      <c r="BW733" s="87">
        <f>SUMIFS($AU$3:AU734,$AB$3:AB734,"*",$AC$3:AC734,"*")</f>
        <v>9360</v>
      </c>
      <c r="BX733" s="87">
        <f>SUMIFS($AV$3:AV734,$Q$3:Q734,"F")</f>
        <v>462.72914667325267</v>
      </c>
      <c r="BY733" s="87">
        <f>SUMIFS($AV$3:AV734,$Q$3:Q734,"S")</f>
        <v>738.32562762001328</v>
      </c>
      <c r="BZ733" s="87">
        <f>SUMIFS($AV$3:AV734,$Q$3:Q734,"O")</f>
        <v>471.55929999966099</v>
      </c>
    </row>
    <row r="734" spans="1:78" ht="15.75" customHeight="1">
      <c r="A734" s="45" t="s">
        <v>1819</v>
      </c>
      <c r="B734" s="59"/>
      <c r="C734" s="46"/>
      <c r="D734" s="46"/>
      <c r="E734" s="66"/>
      <c r="F734" s="47"/>
      <c r="G734" s="48"/>
      <c r="H734" s="49"/>
      <c r="I734" s="49"/>
      <c r="J734" s="49"/>
      <c r="K734" s="50"/>
      <c r="L734" s="49"/>
      <c r="M734" s="49"/>
      <c r="N734" s="49"/>
      <c r="O734" s="50"/>
      <c r="P734" s="50"/>
      <c r="Q734" s="50"/>
      <c r="R734" s="50"/>
      <c r="S734" s="50"/>
      <c r="T734" s="50"/>
      <c r="U734" s="50"/>
      <c r="V734" s="50"/>
      <c r="W734" s="50"/>
      <c r="X734" s="50"/>
      <c r="Y734" s="51"/>
      <c r="Z734" s="52"/>
      <c r="AA734" s="52"/>
      <c r="AB734" s="52"/>
      <c r="AC734" s="52"/>
      <c r="AD734" s="231"/>
      <c r="AE734" s="49"/>
      <c r="AF734" s="84"/>
      <c r="AG734" s="49"/>
      <c r="AH734" s="49"/>
      <c r="AI734" s="49"/>
      <c r="AJ734" s="226"/>
      <c r="AK734" s="49"/>
      <c r="AL734" s="113">
        <f t="shared" si="304"/>
        <v>0</v>
      </c>
      <c r="AM734" s="113">
        <f t="shared" si="310"/>
        <v>0</v>
      </c>
      <c r="AN734" s="218"/>
      <c r="AO734" s="49"/>
      <c r="AP734" s="49"/>
      <c r="AQ734" s="84" t="str">
        <f>UPPER(RIGHT(Journal_Live[[#This Row],[DURATION ]]))</f>
        <v/>
      </c>
      <c r="AR734" s="49"/>
      <c r="AS734" s="55"/>
      <c r="AT734" s="55"/>
      <c r="AU734" s="54"/>
      <c r="AV734" s="56"/>
      <c r="AW734" s="57"/>
      <c r="AX734" s="151"/>
      <c r="AY734" s="151"/>
      <c r="AZ734" s="151"/>
      <c r="BA734" s="151"/>
      <c r="BB734" s="153"/>
      <c r="BC734" s="153"/>
      <c r="BD734" s="151"/>
      <c r="BE734" s="152"/>
      <c r="BF734" s="151"/>
      <c r="BG734" s="94">
        <f>SUM($AV$4:AV734)</f>
        <v>4820.6140742929338</v>
      </c>
      <c r="BH734" s="95">
        <f>SUM($AU$4:AU734)</f>
        <v>50214.63922077918</v>
      </c>
      <c r="BI734" s="80">
        <f>SUMIFS($AU$3:AU735,$Q$3:Q735,"F")</f>
        <v>32973.293506493508</v>
      </c>
      <c r="BJ734" s="80">
        <f>SUMIFS($AU$3:AU735,$Q$3:Q735,"S")</f>
        <v>20002.285714285714</v>
      </c>
      <c r="BK734" s="87">
        <f>SUMIFS($AU$3:AU735,$P$3:P735,"W")</f>
        <v>31576.759220779561</v>
      </c>
      <c r="BL734" s="87">
        <f>SUMIFS($AU$3:AU735,$P$3:P735,"R")</f>
        <v>15726.00000000016</v>
      </c>
      <c r="BM734" s="87">
        <f>SUMIFS($AU$3:AU735,$AQ$3:AQ735,"M")</f>
        <v>10931.179999998967</v>
      </c>
      <c r="BN734" s="87">
        <f>SUMIFS($AU$3:AU735,$AQ$3:AQ735,"H")</f>
        <v>14523.200000000877</v>
      </c>
      <c r="BO734" s="87">
        <f>SUMIFS($AU$3:AU735,$AQ$3:AQ735,"D")</f>
        <v>8014.9928571427408</v>
      </c>
      <c r="BP734" s="87">
        <f>SUMIFS($AS$3:AS1312,$AO$3:AO1312,"W")</f>
        <v>0</v>
      </c>
      <c r="BQ734" s="87">
        <f>SUMIFS($AU$3:AU735,$Q$3:Q735,"O")</f>
        <v>-5384.9400000000251</v>
      </c>
      <c r="BR734" s="87">
        <f>SUMIFS($AU$3:AU735,$AA$3:AA735,"*")</f>
        <v>37075.122077921827</v>
      </c>
      <c r="BS734" s="87">
        <f>SUMIFS($AU$3:AU735,$AB$3:AB735,"*")</f>
        <v>12971.859999999973</v>
      </c>
      <c r="BT734" s="87">
        <f>SUMIFS($AU$3:AU735,$AC$3:AC735,"*")</f>
        <v>40173.293506493676</v>
      </c>
      <c r="BU734" s="87">
        <f>SUMIFS($AU$3:AU735,$AA$3:AA735,"*",$AB$3:AB735,"*")</f>
        <v>8011.9999999997544</v>
      </c>
      <c r="BV734" s="87">
        <f>SUMIFS($AU$3:AU735,$AA$3:AA735,"*",$AC$3:AC735,"*")</f>
        <v>28153.636363636531</v>
      </c>
      <c r="BW734" s="87">
        <f>SUMIFS($AU$3:AU735,$AB$3:AB735,"*",$AC$3:AC735,"*")</f>
        <v>9360</v>
      </c>
      <c r="BX734" s="87">
        <f>SUMIFS($AV$3:AV735,$Q$3:Q735,"F")</f>
        <v>462.72914667325267</v>
      </c>
      <c r="BY734" s="87">
        <f>SUMIFS($AV$3:AV735,$Q$3:Q735,"S")</f>
        <v>738.32562762001328</v>
      </c>
      <c r="BZ734" s="87">
        <f>SUMIFS($AV$3:AV735,$Q$3:Q735,"O")</f>
        <v>471.55929999966099</v>
      </c>
    </row>
    <row r="735" spans="1:78" ht="15.75" customHeight="1">
      <c r="A735" s="45" t="s">
        <v>1819</v>
      </c>
      <c r="B735" s="59"/>
      <c r="C735" s="46"/>
      <c r="D735" s="46"/>
      <c r="E735" s="66"/>
      <c r="F735" s="47"/>
      <c r="G735" s="48"/>
      <c r="H735" s="49"/>
      <c r="I735" s="49"/>
      <c r="J735" s="49"/>
      <c r="K735" s="50"/>
      <c r="L735" s="49"/>
      <c r="M735" s="49"/>
      <c r="N735" s="49"/>
      <c r="O735" s="50"/>
      <c r="P735" s="50"/>
      <c r="Q735" s="50"/>
      <c r="R735" s="50"/>
      <c r="S735" s="50"/>
      <c r="T735" s="50"/>
      <c r="U735" s="50"/>
      <c r="V735" s="50"/>
      <c r="W735" s="50"/>
      <c r="X735" s="50"/>
      <c r="Y735" s="50"/>
      <c r="Z735" s="50"/>
      <c r="AA735" s="52"/>
      <c r="AB735" s="52"/>
      <c r="AC735" s="52"/>
      <c r="AD735" s="231"/>
      <c r="AE735" s="49"/>
      <c r="AF735" s="84"/>
      <c r="AG735" s="49"/>
      <c r="AH735" s="49"/>
      <c r="AI735" s="49"/>
      <c r="AJ735" s="226"/>
      <c r="AK735" s="49"/>
      <c r="AL735" s="113">
        <f t="shared" si="298"/>
        <v>0</v>
      </c>
      <c r="AM735" s="113">
        <f t="shared" si="310"/>
        <v>0</v>
      </c>
      <c r="AN735" s="218"/>
      <c r="AO735" s="49"/>
      <c r="AP735" s="49"/>
      <c r="AQ735" s="84" t="str">
        <f>UPPER(RIGHT(Journal_Live[[#This Row],[DURATION ]]))</f>
        <v/>
      </c>
      <c r="AR735" s="49"/>
      <c r="AS735" s="55"/>
      <c r="AT735" s="55"/>
      <c r="AU735" s="54"/>
      <c r="AV735" s="56"/>
      <c r="AW735" s="57"/>
      <c r="AX735" s="153" t="s">
        <v>2303</v>
      </c>
      <c r="AY735" s="153" t="s">
        <v>2304</v>
      </c>
      <c r="AZ735" s="153" t="s">
        <v>2305</v>
      </c>
      <c r="BA735" s="153" t="s">
        <v>2306</v>
      </c>
      <c r="BB735" s="153" t="s">
        <v>2307</v>
      </c>
      <c r="BC735" s="153"/>
      <c r="BD735" s="151"/>
      <c r="BE735" s="152"/>
      <c r="BF735" s="151"/>
      <c r="BG735" s="94">
        <f>SUM($AV$4:AV735)</f>
        <v>4820.6140742929338</v>
      </c>
      <c r="BH735" s="95">
        <f>SUM($AU$4:AU735)</f>
        <v>50214.63922077918</v>
      </c>
      <c r="BI735" s="80">
        <f>SUMIFS($AU$3:AU736,$Q$3:Q736,"F")</f>
        <v>32973.293506493508</v>
      </c>
      <c r="BJ735" s="80">
        <f>SUMIFS($AU$3:AU736,$Q$3:Q736,"S")</f>
        <v>20002.285714285714</v>
      </c>
      <c r="BK735" s="87">
        <f>SUMIFS($AU$3:AU736,$P$3:P736,"W")</f>
        <v>31576.759220779561</v>
      </c>
      <c r="BL735" s="87">
        <f>SUMIFS($AU$3:AU736,$P$3:P736,"R")</f>
        <v>15726.00000000016</v>
      </c>
      <c r="BM735" s="87">
        <f>SUMIFS($AU$3:AU736,$AQ$3:AQ736,"M")</f>
        <v>10931.179999998967</v>
      </c>
      <c r="BN735" s="87">
        <f>SUMIFS($AU$3:AU736,$AQ$3:AQ736,"H")</f>
        <v>14523.200000000877</v>
      </c>
      <c r="BO735" s="87">
        <f>SUMIFS($AU$3:AU736,$AQ$3:AQ736,"D")</f>
        <v>8014.9928571427408</v>
      </c>
      <c r="BP735" s="87">
        <f>SUMIFS($AS$3:AS1313,$AO$3:AO1313,"W")</f>
        <v>0</v>
      </c>
      <c r="BQ735" s="87">
        <f>SUMIFS($AU$3:AU736,$Q$3:Q736,"O")</f>
        <v>-5384.9400000000251</v>
      </c>
      <c r="BR735" s="87">
        <f>SUMIFS($AU$3:AU736,$AA$3:AA736,"*")</f>
        <v>37075.122077921827</v>
      </c>
      <c r="BS735" s="87">
        <f>SUMIFS($AU$3:AU736,$AB$3:AB736,"*")</f>
        <v>12971.859999999973</v>
      </c>
      <c r="BT735" s="87">
        <f>SUMIFS($AU$3:AU736,$AC$3:AC736,"*")</f>
        <v>40173.293506493676</v>
      </c>
      <c r="BU735" s="87">
        <f>SUMIFS($AU$3:AU736,$AA$3:AA736,"*",$AB$3:AB736,"*")</f>
        <v>8011.9999999997544</v>
      </c>
      <c r="BV735" s="87">
        <f>SUMIFS($AU$3:AU736,$AA$3:AA736,"*",$AC$3:AC736,"*")</f>
        <v>28153.636363636531</v>
      </c>
      <c r="BW735" s="87">
        <f>SUMIFS($AU$3:AU736,$AB$3:AB736,"*",$AC$3:AC736,"*")</f>
        <v>9360</v>
      </c>
      <c r="BX735" s="87">
        <f>SUMIFS($AV$3:AV736,$Q$3:Q736,"F")</f>
        <v>462.72914667325267</v>
      </c>
      <c r="BY735" s="87">
        <f>SUMIFS($AV$3:AV736,$Q$3:Q736,"S")</f>
        <v>738.32562762001328</v>
      </c>
      <c r="BZ735" s="87">
        <f>SUMIFS($AV$3:AV736,$Q$3:Q736,"O")</f>
        <v>471.55929999966099</v>
      </c>
    </row>
    <row r="736" spans="1:78" ht="15.75" customHeight="1">
      <c r="A736" s="45" t="s">
        <v>1819</v>
      </c>
      <c r="B736" s="59"/>
      <c r="C736" s="46"/>
      <c r="D736" s="46"/>
      <c r="E736" s="66"/>
      <c r="F736" s="47"/>
      <c r="G736" s="48"/>
      <c r="H736" s="49"/>
      <c r="I736" s="49"/>
      <c r="J736" s="49"/>
      <c r="K736" s="50"/>
      <c r="L736" s="49"/>
      <c r="M736" s="49"/>
      <c r="N736" s="49"/>
      <c r="O736" s="50"/>
      <c r="P736" s="50"/>
      <c r="Q736" s="50"/>
      <c r="R736" s="50"/>
      <c r="S736" s="50"/>
      <c r="T736" s="50"/>
      <c r="U736" s="50"/>
      <c r="V736" s="50"/>
      <c r="W736" s="50"/>
      <c r="X736" s="50"/>
      <c r="Y736" s="50"/>
      <c r="Z736" s="50"/>
      <c r="AA736" s="52"/>
      <c r="AB736" s="52"/>
      <c r="AC736" s="52"/>
      <c r="AD736" s="231"/>
      <c r="AE736" s="49"/>
      <c r="AF736" s="84"/>
      <c r="AG736" s="49"/>
      <c r="AH736" s="49"/>
      <c r="AI736" s="49"/>
      <c r="AJ736" s="226"/>
      <c r="AK736" s="49"/>
      <c r="AL736" s="113">
        <f t="shared" si="298"/>
        <v>0</v>
      </c>
      <c r="AM736" s="113">
        <f t="shared" si="310"/>
        <v>0</v>
      </c>
      <c r="AN736" s="218"/>
      <c r="AO736" s="49"/>
      <c r="AP736" s="49"/>
      <c r="AQ736" s="84" t="str">
        <f>UPPER(RIGHT(Journal_Live[[#This Row],[DURATION ]]))</f>
        <v/>
      </c>
      <c r="AR736" s="49"/>
      <c r="AS736" s="55"/>
      <c r="AT736" s="55"/>
      <c r="AU736" s="54"/>
      <c r="AV736" s="56"/>
      <c r="AW736" s="57"/>
      <c r="AX736" s="153" t="s">
        <v>2308</v>
      </c>
      <c r="AY736" s="153">
        <f>3520+800+1900 + 5360</f>
        <v>11580</v>
      </c>
      <c r="AZ736" s="153" t="s">
        <v>2309</v>
      </c>
      <c r="BA736" s="153"/>
      <c r="BB736" s="153"/>
      <c r="BC736" s="153"/>
      <c r="BD736" s="151"/>
      <c r="BE736" s="152"/>
      <c r="BF736" s="151"/>
      <c r="BG736" s="94">
        <f>SUM($AV$4:AV736)</f>
        <v>4820.6140742929338</v>
      </c>
      <c r="BH736" s="95">
        <f>SUM($AU$4:AU736)</f>
        <v>50214.63922077918</v>
      </c>
      <c r="BI736" s="80">
        <f>SUMIFS($AU$3:AU737,$Q$3:Q737,"F")</f>
        <v>32973.293506493508</v>
      </c>
      <c r="BJ736" s="80">
        <f>SUMIFS($AU$3:AU737,$Q$3:Q737,"S")</f>
        <v>20002.285714285714</v>
      </c>
      <c r="BK736" s="87">
        <f>SUMIFS($AU$3:AU737,$P$3:P737,"W")</f>
        <v>31576.759220779561</v>
      </c>
      <c r="BL736" s="87">
        <f>SUMIFS($AU$3:AU737,$P$3:P737,"R")</f>
        <v>15726.00000000016</v>
      </c>
      <c r="BM736" s="87">
        <f>SUMIFS($AU$3:AU737,$AQ$3:AQ737,"M")</f>
        <v>10931.179999998967</v>
      </c>
      <c r="BN736" s="87">
        <f>SUMIFS($AU$3:AU737,$AQ$3:AQ737,"H")</f>
        <v>14523.200000000877</v>
      </c>
      <c r="BO736" s="87">
        <f>SUMIFS($AU$3:AU737,$AQ$3:AQ737,"D")</f>
        <v>8014.9928571427408</v>
      </c>
      <c r="BP736" s="87">
        <f>SUMIFS($AS$3:AS1314,$AO$3:AO1314,"W")</f>
        <v>0</v>
      </c>
      <c r="BQ736" s="87">
        <f>SUMIFS($AU$3:AU737,$Q$3:Q737,"O")</f>
        <v>-5384.9400000000251</v>
      </c>
      <c r="BR736" s="87">
        <f>SUMIFS($AU$3:AU737,$AA$3:AA737,"*")</f>
        <v>37075.122077921827</v>
      </c>
      <c r="BS736" s="87">
        <f>SUMIFS($AU$3:AU737,$AB$3:AB737,"*")</f>
        <v>12971.859999999973</v>
      </c>
      <c r="BT736" s="87">
        <f>SUMIFS($AU$3:AU737,$AC$3:AC737,"*")</f>
        <v>40173.293506493676</v>
      </c>
      <c r="BU736" s="87">
        <f>SUMIFS($AU$3:AU737,$AA$3:AA737,"*",$AB$3:AB737,"*")</f>
        <v>8011.9999999997544</v>
      </c>
      <c r="BV736" s="87">
        <f>SUMIFS($AU$3:AU737,$AA$3:AA737,"*",$AC$3:AC737,"*")</f>
        <v>28153.636363636531</v>
      </c>
      <c r="BW736" s="87">
        <f>SUMIFS($AU$3:AU737,$AB$3:AB737,"*",$AC$3:AC737,"*")</f>
        <v>9360</v>
      </c>
      <c r="BX736" s="87">
        <f>SUMIFS($AV$3:AV737,$Q$3:Q737,"F")</f>
        <v>462.72914667325267</v>
      </c>
      <c r="BY736" s="87">
        <f>SUMIFS($AV$3:AV737,$Q$3:Q737,"S")</f>
        <v>738.32562762001328</v>
      </c>
      <c r="BZ736" s="87">
        <f>SUMIFS($AV$3:AV737,$Q$3:Q737,"O")</f>
        <v>471.55929999966099</v>
      </c>
    </row>
    <row r="737" spans="1:78" ht="15.75" customHeight="1">
      <c r="A737" s="45" t="s">
        <v>1819</v>
      </c>
      <c r="B737" s="59"/>
      <c r="C737" s="46"/>
      <c r="D737" s="46"/>
      <c r="E737" s="66"/>
      <c r="F737" s="47"/>
      <c r="G737" s="48"/>
      <c r="H737" s="49"/>
      <c r="I737" s="49"/>
      <c r="J737" s="49"/>
      <c r="K737" s="50"/>
      <c r="L737" s="49"/>
      <c r="M737" s="49"/>
      <c r="N737" s="49"/>
      <c r="O737" s="50"/>
      <c r="P737" s="50"/>
      <c r="Q737" s="50"/>
      <c r="R737" s="50"/>
      <c r="S737" s="50"/>
      <c r="T737" s="50"/>
      <c r="U737" s="50"/>
      <c r="V737" s="50"/>
      <c r="W737" s="50"/>
      <c r="X737" s="50"/>
      <c r="Y737" s="50"/>
      <c r="Z737" s="50"/>
      <c r="AA737" s="52"/>
      <c r="AB737" s="52"/>
      <c r="AC737" s="52"/>
      <c r="AD737" s="231"/>
      <c r="AE737" s="49"/>
      <c r="AF737" s="84"/>
      <c r="AG737" s="49"/>
      <c r="AH737" s="49"/>
      <c r="AI737" s="49"/>
      <c r="AJ737" s="226"/>
      <c r="AK737" s="49"/>
      <c r="AL737" s="113">
        <f t="shared" si="295"/>
        <v>0</v>
      </c>
      <c r="AM737" s="113">
        <f t="shared" si="310"/>
        <v>0</v>
      </c>
      <c r="AN737" s="218"/>
      <c r="AO737" s="49"/>
      <c r="AP737" s="49"/>
      <c r="AQ737" s="84" t="str">
        <f>UPPER(RIGHT(Journal_Live[[#This Row],[DURATION ]]))</f>
        <v/>
      </c>
      <c r="AR737" s="49"/>
      <c r="AS737" s="55"/>
      <c r="AT737" s="55"/>
      <c r="AU737" s="54"/>
      <c r="AV737" s="56"/>
      <c r="AW737" s="57"/>
      <c r="AX737" s="99"/>
      <c r="AY737" s="151"/>
      <c r="AZ737" s="99"/>
      <c r="BA737" s="99"/>
      <c r="BB737" s="99"/>
      <c r="BC737" s="99"/>
      <c r="BD737" s="99"/>
      <c r="BE737" s="99"/>
      <c r="BF737" s="99"/>
      <c r="BG737" s="94">
        <f>SUM($AV$4:AV737)</f>
        <v>4820.6140742929338</v>
      </c>
      <c r="BH737" s="95">
        <f>SUM($AU$4:AU737)</f>
        <v>50214.63922077918</v>
      </c>
      <c r="BI737" s="80">
        <f>SUMIFS($AU$3:AU738,$Q$3:Q738,"F")</f>
        <v>32973.293506493508</v>
      </c>
      <c r="BJ737" s="80">
        <f>SUMIFS($AU$3:AU738,$Q$3:Q738,"S")</f>
        <v>20002.285714285714</v>
      </c>
      <c r="BK737" s="87">
        <f>SUMIFS($AU$3:AU738,$P$3:P738,"W")</f>
        <v>31576.759220779561</v>
      </c>
      <c r="BL737" s="87">
        <f>SUMIFS($AU$3:AU738,$P$3:P738,"R")</f>
        <v>15726.00000000016</v>
      </c>
      <c r="BM737" s="87">
        <f>SUMIFS($AU$3:AU738,$AQ$3:AQ738,"M")</f>
        <v>10931.179999998967</v>
      </c>
      <c r="BN737" s="87">
        <f>SUMIFS($AU$3:AU738,$AQ$3:AQ738,"H")</f>
        <v>14523.200000000877</v>
      </c>
      <c r="BO737" s="87">
        <f>SUMIFS($AU$3:AU738,$AQ$3:AQ738,"D")</f>
        <v>8014.9928571427408</v>
      </c>
      <c r="BP737" s="87">
        <f>SUMIFS($AS$3:AS1315,$AO$3:AO1315,"W")</f>
        <v>0</v>
      </c>
      <c r="BQ737" s="87">
        <f>SUMIFS($AU$3:AU738,$Q$3:Q738,"O")</f>
        <v>-5384.9400000000251</v>
      </c>
      <c r="BR737" s="87">
        <f>SUMIFS($AU$3:AU738,$AA$3:AA738,"*")</f>
        <v>37075.122077921827</v>
      </c>
      <c r="BS737" s="87">
        <f>SUMIFS($AU$3:AU738,$AB$3:AB738,"*")</f>
        <v>12971.859999999973</v>
      </c>
      <c r="BT737" s="87">
        <f>SUMIFS($AU$3:AU738,$AC$3:AC738,"*")</f>
        <v>40173.293506493676</v>
      </c>
      <c r="BU737" s="87">
        <f>SUMIFS($AU$3:AU738,$AA$3:AA738,"*",$AB$3:AB738,"*")</f>
        <v>8011.9999999997544</v>
      </c>
      <c r="BV737" s="87">
        <f>SUMIFS($AU$3:AU738,$AA$3:AA738,"*",$AC$3:AC738,"*")</f>
        <v>28153.636363636531</v>
      </c>
      <c r="BW737" s="87">
        <f>SUMIFS($AU$3:AU738,$AB$3:AB738,"*",$AC$3:AC738,"*")</f>
        <v>9360</v>
      </c>
      <c r="BX737" s="87">
        <f>SUMIFS($AV$3:AV738,$Q$3:Q738,"F")</f>
        <v>462.72914667325267</v>
      </c>
      <c r="BY737" s="87">
        <f>SUMIFS($AV$3:AV738,$Q$3:Q738,"S")</f>
        <v>738.32562762001328</v>
      </c>
      <c r="BZ737" s="87">
        <f>SUMIFS($AV$3:AV738,$Q$3:Q738,"O")</f>
        <v>471.55929999966099</v>
      </c>
    </row>
    <row r="738" spans="1:78" ht="15.75" customHeight="1">
      <c r="A738" s="45" t="s">
        <v>1819</v>
      </c>
      <c r="B738" s="59"/>
      <c r="C738" s="46"/>
      <c r="D738" s="46"/>
      <c r="E738" s="66"/>
      <c r="F738" s="47"/>
      <c r="G738" s="48"/>
      <c r="H738" s="49"/>
      <c r="I738" s="49"/>
      <c r="J738" s="49"/>
      <c r="K738" s="50"/>
      <c r="L738" s="49"/>
      <c r="M738" s="49"/>
      <c r="N738" s="49"/>
      <c r="O738" s="50"/>
      <c r="P738" s="50"/>
      <c r="Q738" s="50"/>
      <c r="R738" s="50"/>
      <c r="S738" s="50"/>
      <c r="T738" s="50"/>
      <c r="U738" s="50"/>
      <c r="V738" s="50"/>
      <c r="W738" s="50"/>
      <c r="X738" s="50"/>
      <c r="Y738" s="50"/>
      <c r="Z738" s="50"/>
      <c r="AA738" s="52"/>
      <c r="AB738" s="52"/>
      <c r="AC738" s="52"/>
      <c r="AD738" s="231"/>
      <c r="AE738" s="49"/>
      <c r="AF738" s="84"/>
      <c r="AG738" s="49"/>
      <c r="AH738" s="49"/>
      <c r="AI738" s="49"/>
      <c r="AJ738" s="226"/>
      <c r="AK738" s="49"/>
      <c r="AL738" s="113">
        <f t="shared" si="295"/>
        <v>0</v>
      </c>
      <c r="AM738" s="113">
        <f t="shared" si="310"/>
        <v>0</v>
      </c>
      <c r="AN738" s="218"/>
      <c r="AO738" s="49"/>
      <c r="AP738" s="49"/>
      <c r="AQ738" s="84" t="str">
        <f>UPPER(RIGHT(Journal_Live[[#This Row],[DURATION ]]))</f>
        <v/>
      </c>
      <c r="AR738" s="49"/>
      <c r="AS738" s="55"/>
      <c r="AT738" s="55"/>
      <c r="AU738" s="54"/>
      <c r="AV738" s="56"/>
      <c r="AW738" s="57"/>
      <c r="AX738" s="99"/>
      <c r="AY738" s="153"/>
      <c r="AZ738" s="151"/>
      <c r="BA738" s="177"/>
      <c r="BB738" s="177"/>
      <c r="BC738" s="177"/>
      <c r="BD738" s="151"/>
      <c r="BE738" s="152"/>
      <c r="BF738" s="151"/>
      <c r="BG738" s="94">
        <f>SUM($AV$4:AV738)</f>
        <v>4820.6140742929338</v>
      </c>
      <c r="BH738" s="95">
        <f>SUM($AU$4:AU738)</f>
        <v>50214.63922077918</v>
      </c>
      <c r="BI738" s="80">
        <f>SUMIFS($AU$3:AU739,$Q$3:Q739,"F")</f>
        <v>32973.293506493508</v>
      </c>
      <c r="BJ738" s="80">
        <f>SUMIFS($AU$3:AU739,$Q$3:Q739,"S")</f>
        <v>20002.285714285714</v>
      </c>
      <c r="BK738" s="87">
        <f>SUMIFS($AU$3:AU739,$P$3:P739,"W")</f>
        <v>31576.759220779561</v>
      </c>
      <c r="BL738" s="87">
        <f>SUMIFS($AU$3:AU739,$P$3:P739,"R")</f>
        <v>15726.00000000016</v>
      </c>
      <c r="BM738" s="87">
        <f>SUMIFS($AU$3:AU739,$AQ$3:AQ739,"M")</f>
        <v>10931.179999998967</v>
      </c>
      <c r="BN738" s="87">
        <f>SUMIFS($AU$3:AU739,$AQ$3:AQ739,"H")</f>
        <v>14523.200000000877</v>
      </c>
      <c r="BO738" s="87">
        <f>SUMIFS($AU$3:AU739,$AQ$3:AQ739,"D")</f>
        <v>8014.9928571427408</v>
      </c>
      <c r="BP738" s="87">
        <f>SUMIFS($AS$3:AS1316,$AO$3:AO1316,"W")</f>
        <v>0</v>
      </c>
      <c r="BQ738" s="87">
        <f>SUMIFS($AU$3:AU739,$Q$3:Q739,"O")</f>
        <v>-5384.9400000000251</v>
      </c>
      <c r="BR738" s="87">
        <f>SUMIFS($AU$3:AU739,$AA$3:AA739,"*")</f>
        <v>37075.122077921827</v>
      </c>
      <c r="BS738" s="87">
        <f>SUMIFS($AU$3:AU739,$AB$3:AB739,"*")</f>
        <v>12971.859999999973</v>
      </c>
      <c r="BT738" s="87">
        <f>SUMIFS($AU$3:AU739,$AC$3:AC739,"*")</f>
        <v>40173.293506493676</v>
      </c>
      <c r="BU738" s="87">
        <f>SUMIFS($AU$3:AU739,$AA$3:AA739,"*",$AB$3:AB739,"*")</f>
        <v>8011.9999999997544</v>
      </c>
      <c r="BV738" s="87">
        <f>SUMIFS($AU$3:AU739,$AA$3:AA739,"*",$AC$3:AC739,"*")</f>
        <v>28153.636363636531</v>
      </c>
      <c r="BW738" s="87">
        <f>SUMIFS($AU$3:AU739,$AB$3:AB739,"*",$AC$3:AC739,"*")</f>
        <v>9360</v>
      </c>
      <c r="BX738" s="87">
        <f>SUMIFS($AV$3:AV739,$Q$3:Q739,"F")</f>
        <v>462.72914667325267</v>
      </c>
      <c r="BY738" s="87">
        <f>SUMIFS($AV$3:AV739,$Q$3:Q739,"S")</f>
        <v>738.32562762001328</v>
      </c>
      <c r="BZ738" s="87">
        <f>SUMIFS($AV$3:AV739,$Q$3:Q739,"O")</f>
        <v>471.55929999966099</v>
      </c>
    </row>
    <row r="739" spans="1:78" ht="15.75" customHeight="1">
      <c r="A739" s="111" t="s">
        <v>2310</v>
      </c>
      <c r="B739" s="68"/>
      <c r="C739" s="60"/>
      <c r="D739" s="60"/>
      <c r="E739" s="61"/>
      <c r="F739" s="62"/>
      <c r="G739" s="60"/>
      <c r="H739" s="60"/>
      <c r="I739" s="60"/>
      <c r="J739" s="60"/>
      <c r="K739" s="63"/>
      <c r="L739" s="60"/>
      <c r="M739" s="60"/>
      <c r="N739" s="60"/>
      <c r="O739" s="63"/>
      <c r="P739" s="63"/>
      <c r="Q739" s="63"/>
      <c r="R739" s="63"/>
      <c r="S739" s="63"/>
      <c r="T739" s="63"/>
      <c r="U739" s="63"/>
      <c r="V739" s="63"/>
      <c r="W739" s="63"/>
      <c r="X739" s="63"/>
      <c r="Y739" s="63"/>
      <c r="Z739" s="64" t="str">
        <f>IF(ISBLANK(O739),"",IF(O739="IB",8.63*200,IF(O739="IR",16*100,IF(O739="YT",20*100,IF(O739="YT-XT",24*200,IF(O739="TED",80*100))))))</f>
        <v/>
      </c>
      <c r="AA739" s="64"/>
      <c r="AB739" s="64"/>
      <c r="AC739" s="64"/>
      <c r="AD739" s="232"/>
      <c r="AE739" s="60"/>
      <c r="AF739" s="60"/>
      <c r="AG739" s="60"/>
      <c r="AH739" s="60"/>
      <c r="AI739" s="60"/>
      <c r="AJ739" s="227"/>
      <c r="AK739" s="60"/>
      <c r="AL739" s="60"/>
      <c r="AM739" s="60"/>
      <c r="AN739" s="219"/>
      <c r="AO739" s="60"/>
      <c r="AP739" s="60"/>
      <c r="AQ739" s="85" t="str">
        <f>UPPER(RIGHT(Journal_Live[[#This Row],[DURATION ]]))</f>
        <v/>
      </c>
      <c r="AR739" s="60"/>
      <c r="AS739" s="60"/>
      <c r="AT739" s="60"/>
      <c r="AU739" s="60"/>
      <c r="AV739" s="60"/>
      <c r="AW739" s="60"/>
      <c r="AX739" s="99"/>
      <c r="AY739" s="98"/>
      <c r="AZ739" s="98"/>
      <c r="BA739" s="98"/>
      <c r="BB739" s="98"/>
      <c r="BC739" s="98"/>
      <c r="BD739" s="98"/>
      <c r="BE739" s="98"/>
      <c r="BF739" s="98"/>
      <c r="BG739" s="94">
        <f>SUM($AV$4:AV739)</f>
        <v>4820.6140742929338</v>
      </c>
      <c r="BH739" s="95">
        <f>SUM($AU$4:AU739)</f>
        <v>50214.63922077918</v>
      </c>
      <c r="BI739" s="80">
        <f>SUMIFS($AU$3:AU996,$Q$3:Q996,"F")</f>
        <v>28758.758121878131</v>
      </c>
      <c r="BJ739" s="80">
        <f>SUMIFS($AU$3:AU996,$Q$3:Q996,"S")</f>
        <v>18338.285714285717</v>
      </c>
      <c r="BK739" s="87">
        <f>SUMIFS($AU$3:AU996,$P$3:P996,"W")</f>
        <v>16085.423836163443</v>
      </c>
      <c r="BL739" s="87">
        <f>SUMIFS($AU$3:AU996,$P$3:P996,"R")</f>
        <v>23278.800000000327</v>
      </c>
      <c r="BM739" s="87">
        <f>SUMIFS($AU$3:AU996,$AQ$3:AQ996,"M")</f>
        <v>9563.1799999983832</v>
      </c>
      <c r="BN739" s="87">
        <f>SUMIFS($AU$3:AU996,$AQ$3:AQ996,"H")</f>
        <v>12587.200000000877</v>
      </c>
      <c r="BO739" s="87">
        <f>SUMIFS($AU$3:AU996,$AQ$3:AQ996,"D")</f>
        <v>11195.57747252718</v>
      </c>
      <c r="BP739" s="87">
        <f>SUMIFS($AS$3:AS1440,$AO$3:AO1440,"W")</f>
        <v>0</v>
      </c>
      <c r="BQ739" s="87">
        <f>SUMIFS($AU$3:AU996,$Q$3:Q996,"O")</f>
        <v>-9366.1400000007852</v>
      </c>
      <c r="BR739" s="87">
        <f>SUMIFS($AU$3:AU996,$AA$3:AA996,"*")</f>
        <v>39156.002077921221</v>
      </c>
      <c r="BS739" s="87">
        <f>SUMIFS($AU$3:AU996,$AB$3:AB996,"*")</f>
        <v>7005.8599999997941</v>
      </c>
      <c r="BT739" s="87">
        <f>SUMIFS($AU$3:AU996,$AC$3:AC996,"*")</f>
        <v>31968.358121878122</v>
      </c>
      <c r="BU739" s="87">
        <f>SUMIFS($AU$3:AU996,$AA$3:AA996,"*",$AB$3:AB996,"*")</f>
        <v>7301.9999999995771</v>
      </c>
      <c r="BV739" s="87">
        <f>SUMIFS($AU$3:AU996,$AA$3:AA996,"*",$AC$3:AC996,"*")</f>
        <v>29949.316363636532</v>
      </c>
      <c r="BW739" s="87">
        <f>SUMIFS($AU$3:AU996,$AB$3:AB996,"*",$AC$3:AC996,"*")</f>
        <v>3739.199999999998</v>
      </c>
      <c r="BX739" s="87">
        <f>SUMIFS($AV$3:AV996,$Q$3:Q996,"F")</f>
        <v>396.72999236351012</v>
      </c>
      <c r="BY739" s="87">
        <f>SUMIFS($AV$3:AV996,$Q$3:Q996,"S")</f>
        <v>775.76285705724263</v>
      </c>
      <c r="BZ739" s="87">
        <f>SUMIFS($AV$3:AV996,$Q$3:Q996,"O")</f>
        <v>569.29929999965555</v>
      </c>
    </row>
    <row r="740" spans="1:78" ht="15.75" customHeight="1">
      <c r="A740" s="45" t="s">
        <v>2311</v>
      </c>
      <c r="B740" s="59"/>
      <c r="C740" s="46"/>
      <c r="D740" s="46"/>
      <c r="E740" s="66"/>
      <c r="F740" s="47"/>
      <c r="G740" s="48"/>
      <c r="H740" s="49"/>
      <c r="I740" s="49"/>
      <c r="J740" s="49"/>
      <c r="K740" s="50"/>
      <c r="L740" s="49"/>
      <c r="M740" s="49"/>
      <c r="N740" s="49"/>
      <c r="O740" s="50"/>
      <c r="P740" s="50"/>
      <c r="Q740" s="50"/>
      <c r="R740" s="50"/>
      <c r="S740" s="50"/>
      <c r="T740" s="50"/>
      <c r="U740" s="50"/>
      <c r="V740" s="50"/>
      <c r="W740" s="50"/>
      <c r="X740" s="50"/>
      <c r="Y740" s="50"/>
      <c r="Z740" s="50"/>
      <c r="AA740" s="52"/>
      <c r="AB740" s="52"/>
      <c r="AC740" s="52"/>
      <c r="AD740" s="231"/>
      <c r="AE740" s="49"/>
      <c r="AF740" s="84"/>
      <c r="AG740" s="49"/>
      <c r="AH740" s="49"/>
      <c r="AI740" s="49"/>
      <c r="AJ740" s="226"/>
      <c r="AK740" s="49"/>
      <c r="AL740" s="113">
        <f t="shared" ref="AL740:AL895" si="311">-0.02*Z740</f>
        <v>0</v>
      </c>
      <c r="AM740" s="113">
        <f t="shared" ref="AM740:AM771" si="312">AL740*(R740-S740)</f>
        <v>0</v>
      </c>
      <c r="AN740" s="218"/>
      <c r="AO740" s="49"/>
      <c r="AP740" s="49"/>
      <c r="AQ740" s="84" t="str">
        <f>UPPER(RIGHT(Journal_Live[[#This Row],[DURATION ]]))</f>
        <v/>
      </c>
      <c r="AR740" s="49"/>
      <c r="AS740" s="55"/>
      <c r="AT740" s="55"/>
      <c r="AU740" s="54"/>
      <c r="AV740" s="56"/>
      <c r="AW740" s="57"/>
      <c r="AX740" s="151" t="s">
        <v>2215</v>
      </c>
      <c r="AY740" s="99" t="s">
        <v>2209</v>
      </c>
      <c r="AZ740" s="99" t="s">
        <v>2216</v>
      </c>
      <c r="BA740" s="99" t="s">
        <v>2204</v>
      </c>
      <c r="BB740" s="99" t="s">
        <v>2212</v>
      </c>
      <c r="BC740" s="99" t="s">
        <v>2213</v>
      </c>
      <c r="BD740" s="151" t="s">
        <v>2312</v>
      </c>
      <c r="BE740" s="152" t="s">
        <v>2313</v>
      </c>
      <c r="BF740" s="151"/>
      <c r="BG740" s="94">
        <f>SUM($AV$4:AV740)</f>
        <v>4820.6140742929338</v>
      </c>
      <c r="BH740" s="95">
        <f>SUM($AU$4:AU740)</f>
        <v>50214.63922077918</v>
      </c>
      <c r="BI740" s="80">
        <f>SUMIFS($AU$3:AU894,$Q$3:Q894,"F")</f>
        <v>29235.078121878127</v>
      </c>
      <c r="BJ740" s="80">
        <f>SUMIFS($AU$3:AU894,$Q$3:Q894,"S")</f>
        <v>17938.285714285706</v>
      </c>
      <c r="BK740" s="87">
        <f>SUMIFS($AU$3:AU894,$P$3:P894,"W")</f>
        <v>17144.143836163403</v>
      </c>
      <c r="BL740" s="87">
        <f>SUMIFS($AU$3:AU894,$P$3:P894,"R")</f>
        <v>22616.400000000325</v>
      </c>
      <c r="BM740" s="87">
        <f>SUMIFS($AU$3:AU894,$AQ$3:AQ894,"M")</f>
        <v>8875.1799999983887</v>
      </c>
      <c r="BN740" s="87">
        <f>SUMIFS($AU$3:AU894,$AQ$3:AQ894,"H")</f>
        <v>11643.200000000877</v>
      </c>
      <c r="BO740" s="87">
        <f>SUMIFS($AU$3:AU894,$AQ$3:AQ894,"D")</f>
        <v>13122.377472527351</v>
      </c>
      <c r="BP740" s="87">
        <f>SUMIFS($AS$3:AS1314,$AO$3:AO1314,"W")</f>
        <v>0</v>
      </c>
      <c r="BQ740" s="87">
        <f>SUMIFS($AU$3:AU894,$Q$3:Q894,"O")</f>
        <v>-9340.9400000006026</v>
      </c>
      <c r="BR740" s="87">
        <f>SUMIFS($AU$3:AU894,$AA$3:AA894,"*")</f>
        <v>37881.5220779214</v>
      </c>
      <c r="BS740" s="87">
        <f>SUMIFS($AU$3:AU894,$AB$3:AB894,"*")</f>
        <v>7475.8599999999715</v>
      </c>
      <c r="BT740" s="87">
        <f>SUMIFS($AU$3:AU894,$AC$3:AC894,"*")</f>
        <v>33251.078121878119</v>
      </c>
      <c r="BU740" s="87">
        <f>SUMIFS($AU$3:AU894,$AA$3:AA894,"*",$AB$3:AB894,"*")</f>
        <v>7915.9999999997544</v>
      </c>
      <c r="BV740" s="87">
        <f>SUMIFS($AU$3:AU894,$AA$3:AA894,"*",$AC$3:AC894,"*")</f>
        <v>29696.036363636529</v>
      </c>
      <c r="BW740" s="87">
        <f>SUMIFS($AU$3:AU894,$AB$3:AB894,"*",$AC$3:AC894,"*")</f>
        <v>3863.9999999999991</v>
      </c>
      <c r="BX740" s="87">
        <f>SUMIFS($AV$3:AV894,$Q$3:Q894,"F")</f>
        <v>383.04019562430165</v>
      </c>
      <c r="BY740" s="87">
        <f>SUMIFS($AV$3:AV894,$Q$3:Q894,"S")</f>
        <v>676.61134190572739</v>
      </c>
      <c r="BZ740" s="87">
        <f>SUMIFS($AV$3:AV894,$Q$3:Q894,"O")</f>
        <v>378.55929999967736</v>
      </c>
    </row>
    <row r="741" spans="1:78" ht="15.75" customHeight="1">
      <c r="A741" s="45" t="s">
        <v>2311</v>
      </c>
      <c r="B741" s="59"/>
      <c r="C741" s="46"/>
      <c r="D741" s="46"/>
      <c r="E741" s="66"/>
      <c r="F741" s="47"/>
      <c r="G741" s="48"/>
      <c r="H741" s="49"/>
      <c r="I741" s="49"/>
      <c r="J741" s="49"/>
      <c r="K741" s="50"/>
      <c r="L741" s="49"/>
      <c r="M741" s="49"/>
      <c r="N741" s="49"/>
      <c r="O741" s="50"/>
      <c r="P741" s="50"/>
      <c r="Q741" s="50"/>
      <c r="R741" s="50"/>
      <c r="S741" s="50"/>
      <c r="T741" s="50"/>
      <c r="U741" s="50"/>
      <c r="V741" s="50"/>
      <c r="W741" s="50"/>
      <c r="X741" s="50"/>
      <c r="Y741" s="50"/>
      <c r="Z741" s="50"/>
      <c r="AA741" s="52"/>
      <c r="AB741" s="52"/>
      <c r="AC741" s="52"/>
      <c r="AD741" s="231"/>
      <c r="AE741" s="49"/>
      <c r="AF741" s="84"/>
      <c r="AG741" s="49"/>
      <c r="AH741" s="49"/>
      <c r="AI741" s="49"/>
      <c r="AJ741" s="226"/>
      <c r="AK741" s="49"/>
      <c r="AL741" s="113">
        <f t="shared" ref="AL741:AL893" si="313">-0.02*Z741</f>
        <v>0</v>
      </c>
      <c r="AM741" s="113">
        <f t="shared" si="312"/>
        <v>0</v>
      </c>
      <c r="AN741" s="218"/>
      <c r="AO741" s="49"/>
      <c r="AP741" s="49"/>
      <c r="AQ741" s="84" t="str">
        <f>UPPER(RIGHT(Journal_Live[[#This Row],[DURATION ]]))</f>
        <v/>
      </c>
      <c r="AR741" s="49"/>
      <c r="AS741" s="55"/>
      <c r="AT741" s="55"/>
      <c r="AU741" s="54"/>
      <c r="AV741" s="56"/>
      <c r="AW741" s="57"/>
      <c r="AX741" s="99" t="s">
        <v>2314</v>
      </c>
      <c r="AY741" s="179" t="s">
        <v>2315</v>
      </c>
      <c r="AZ741" s="153"/>
      <c r="BA741" s="153"/>
      <c r="BB741" s="180" t="s">
        <v>2316</v>
      </c>
      <c r="BC741" s="153"/>
      <c r="BD741" s="117" t="s">
        <v>2317</v>
      </c>
      <c r="BE741" s="152"/>
      <c r="BF741" s="151"/>
      <c r="BG741" s="94">
        <f>SUM($AV$4:AV741)</f>
        <v>4820.6140742929338</v>
      </c>
      <c r="BH741" s="95">
        <f>SUM($AU$4:AU741)</f>
        <v>50214.63922077918</v>
      </c>
      <c r="BI741" s="80">
        <f>SUMIFS($AU$3:AU742,$Q$3:Q742,"F")</f>
        <v>32973.293506493508</v>
      </c>
      <c r="BJ741" s="80">
        <f>SUMIFS($AU$3:AU742,$Q$3:Q742,"S")</f>
        <v>20002.285714285714</v>
      </c>
      <c r="BK741" s="87">
        <f>SUMIFS($AU$3:AU742,$P$3:P742,"W")</f>
        <v>31576.759220779561</v>
      </c>
      <c r="BL741" s="87">
        <f>SUMIFS($AU$3:AU742,$P$3:P742,"R")</f>
        <v>15726.00000000016</v>
      </c>
      <c r="BM741" s="87">
        <f>SUMIFS($AU$3:AU742,$AQ$3:AQ742,"M")</f>
        <v>10931.179999998967</v>
      </c>
      <c r="BN741" s="87">
        <f>SUMIFS($AU$3:AU742,$AQ$3:AQ742,"H")</f>
        <v>14523.200000000877</v>
      </c>
      <c r="BO741" s="87">
        <f>SUMIFS($AU$3:AU742,$AQ$3:AQ742,"D")</f>
        <v>8014.9928571427408</v>
      </c>
      <c r="BP741" s="87">
        <f>SUMIFS($AS$3:AS1308,$AO$3:AO1308,"W")</f>
        <v>0</v>
      </c>
      <c r="BQ741" s="87">
        <f>SUMIFS($AU$3:AU742,$Q$3:Q742,"O")</f>
        <v>-5384.9400000000251</v>
      </c>
      <c r="BR741" s="87">
        <f>SUMIFS($AU$3:AU742,$AA$3:AA742,"*")</f>
        <v>37075.122077921827</v>
      </c>
      <c r="BS741" s="87">
        <f>SUMIFS($AU$3:AU742,$AB$3:AB742,"*")</f>
        <v>12971.859999999973</v>
      </c>
      <c r="BT741" s="87">
        <f>SUMIFS($AU$3:AU742,$AC$3:AC742,"*")</f>
        <v>40173.293506493676</v>
      </c>
      <c r="BU741" s="87">
        <f>SUMIFS($AU$3:AU742,$AA$3:AA742,"*",$AB$3:AB742,"*")</f>
        <v>8011.9999999997544</v>
      </c>
      <c r="BV741" s="87">
        <f>SUMIFS($AU$3:AU742,$AA$3:AA742,"*",$AC$3:AC742,"*")</f>
        <v>28153.636363636531</v>
      </c>
      <c r="BW741" s="87">
        <f>SUMIFS($AU$3:AU742,$AB$3:AB742,"*",$AC$3:AC742,"*")</f>
        <v>9360</v>
      </c>
      <c r="BX741" s="87">
        <f>SUMIFS($AV$3:AV742,$Q$3:Q742,"F")</f>
        <v>462.72914667325267</v>
      </c>
      <c r="BY741" s="87">
        <f>SUMIFS($AV$3:AV742,$Q$3:Q742,"S")</f>
        <v>738.32562762001328</v>
      </c>
      <c r="BZ741" s="87">
        <f>SUMIFS($AV$3:AV742,$Q$3:Q742,"O")</f>
        <v>471.55929999966099</v>
      </c>
    </row>
    <row r="742" spans="1:78" ht="15.75" customHeight="1">
      <c r="A742" s="45" t="s">
        <v>2311</v>
      </c>
      <c r="B742" s="59"/>
      <c r="C742" s="46"/>
      <c r="D742" s="46"/>
      <c r="E742" s="66"/>
      <c r="F742" s="47"/>
      <c r="G742" s="48"/>
      <c r="H742" s="49"/>
      <c r="I742" s="49"/>
      <c r="J742" s="49"/>
      <c r="K742" s="50"/>
      <c r="L742" s="49"/>
      <c r="M742" s="49"/>
      <c r="N742" s="49"/>
      <c r="O742" s="50"/>
      <c r="P742" s="50"/>
      <c r="Q742" s="50"/>
      <c r="R742" s="50"/>
      <c r="S742" s="50"/>
      <c r="T742" s="50"/>
      <c r="U742" s="50"/>
      <c r="V742" s="50"/>
      <c r="W742" s="50"/>
      <c r="X742" s="50"/>
      <c r="Y742" s="50"/>
      <c r="Z742" s="50"/>
      <c r="AA742" s="52"/>
      <c r="AB742" s="52"/>
      <c r="AC742" s="52"/>
      <c r="AD742" s="231"/>
      <c r="AE742" s="49"/>
      <c r="AF742" s="84"/>
      <c r="AG742" s="49"/>
      <c r="AH742" s="49"/>
      <c r="AI742" s="49"/>
      <c r="AJ742" s="226"/>
      <c r="AK742" s="49"/>
      <c r="AL742" s="113">
        <f t="shared" si="313"/>
        <v>0</v>
      </c>
      <c r="AM742" s="113">
        <f t="shared" si="312"/>
        <v>0</v>
      </c>
      <c r="AN742" s="218"/>
      <c r="AO742" s="49"/>
      <c r="AP742" s="49"/>
      <c r="AQ742" s="84" t="str">
        <f>UPPER(RIGHT(Journal_Live[[#This Row],[DURATION ]]))</f>
        <v/>
      </c>
      <c r="AR742" s="49"/>
      <c r="AS742" s="55"/>
      <c r="AT742" s="55"/>
      <c r="AU742" s="54"/>
      <c r="AV742" s="56"/>
      <c r="AW742" s="57"/>
      <c r="AX742" s="153" t="s">
        <v>2318</v>
      </c>
      <c r="AY742" s="153" t="s">
        <v>2319</v>
      </c>
      <c r="AZ742" s="153"/>
      <c r="BA742" s="153"/>
      <c r="BB742" s="180" t="s">
        <v>2320</v>
      </c>
      <c r="BC742" s="188" t="s">
        <v>2321</v>
      </c>
      <c r="BD742" s="117" t="s">
        <v>2322</v>
      </c>
      <c r="BE742" s="152"/>
      <c r="BF742" s="151"/>
      <c r="BG742" s="94">
        <f>SUM($AV$4:AV742)</f>
        <v>4820.6140742929338</v>
      </c>
      <c r="BH742" s="95">
        <f>SUM($AU$4:AU742)</f>
        <v>50214.63922077918</v>
      </c>
      <c r="BI742" s="80">
        <f>SUMIFS($AU$3:AU743,$Q$3:Q743,"F")</f>
        <v>32973.293506493508</v>
      </c>
      <c r="BJ742" s="80">
        <f>SUMIFS($AU$3:AU743,$Q$3:Q743,"S")</f>
        <v>20002.285714285714</v>
      </c>
      <c r="BK742" s="87">
        <f>SUMIFS($AU$3:AU743,$P$3:P743,"W")</f>
        <v>31576.759220779561</v>
      </c>
      <c r="BL742" s="87">
        <f>SUMIFS($AU$3:AU743,$P$3:P743,"R")</f>
        <v>15726.00000000016</v>
      </c>
      <c r="BM742" s="87">
        <f>SUMIFS($AU$3:AU743,$AQ$3:AQ743,"M")</f>
        <v>10931.179999998967</v>
      </c>
      <c r="BN742" s="87">
        <f>SUMIFS($AU$3:AU743,$AQ$3:AQ743,"H")</f>
        <v>14523.200000000877</v>
      </c>
      <c r="BO742" s="87">
        <f>SUMIFS($AU$3:AU743,$AQ$3:AQ743,"D")</f>
        <v>8014.9928571427408</v>
      </c>
      <c r="BP742" s="87">
        <f>SUMIFS($AS$3:AS1309,$AO$3:AO1309,"W")</f>
        <v>0</v>
      </c>
      <c r="BQ742" s="87">
        <f>SUMIFS($AU$3:AU743,$Q$3:Q743,"O")</f>
        <v>-5384.9400000000251</v>
      </c>
      <c r="BR742" s="87">
        <f>SUMIFS($AU$3:AU743,$AA$3:AA743,"*")</f>
        <v>37075.122077921827</v>
      </c>
      <c r="BS742" s="87">
        <f>SUMIFS($AU$3:AU743,$AB$3:AB743,"*")</f>
        <v>12971.859999999973</v>
      </c>
      <c r="BT742" s="87">
        <f>SUMIFS($AU$3:AU743,$AC$3:AC743,"*")</f>
        <v>40173.293506493676</v>
      </c>
      <c r="BU742" s="87">
        <f>SUMIFS($AU$3:AU743,$AA$3:AA743,"*",$AB$3:AB743,"*")</f>
        <v>8011.9999999997544</v>
      </c>
      <c r="BV742" s="87">
        <f>SUMIFS($AU$3:AU743,$AA$3:AA743,"*",$AC$3:AC743,"*")</f>
        <v>28153.636363636531</v>
      </c>
      <c r="BW742" s="87">
        <f>SUMIFS($AU$3:AU743,$AB$3:AB743,"*",$AC$3:AC743,"*")</f>
        <v>9360</v>
      </c>
      <c r="BX742" s="87">
        <f>SUMIFS($AV$3:AV743,$Q$3:Q743,"F")</f>
        <v>462.72914667325267</v>
      </c>
      <c r="BY742" s="87">
        <f>SUMIFS($AV$3:AV743,$Q$3:Q743,"S")</f>
        <v>738.32562762001328</v>
      </c>
      <c r="BZ742" s="87">
        <f>SUMIFS($AV$3:AV743,$Q$3:Q743,"O")</f>
        <v>471.55929999966099</v>
      </c>
    </row>
    <row r="743" spans="1:78" ht="15.75" customHeight="1">
      <c r="A743" s="45" t="s">
        <v>2311</v>
      </c>
      <c r="B743" s="59"/>
      <c r="C743" s="46"/>
      <c r="D743" s="46"/>
      <c r="E743" s="66"/>
      <c r="F743" s="47"/>
      <c r="G743" s="48"/>
      <c r="H743" s="49"/>
      <c r="I743" s="49"/>
      <c r="J743" s="49"/>
      <c r="K743" s="50"/>
      <c r="L743" s="49"/>
      <c r="M743" s="49"/>
      <c r="N743" s="49"/>
      <c r="O743" s="50"/>
      <c r="P743" s="50"/>
      <c r="Q743" s="50"/>
      <c r="R743" s="50"/>
      <c r="S743" s="50"/>
      <c r="T743" s="50"/>
      <c r="U743" s="50"/>
      <c r="V743" s="50"/>
      <c r="W743" s="50"/>
      <c r="X743" s="50"/>
      <c r="Y743" s="50"/>
      <c r="Z743" s="50"/>
      <c r="AA743" s="52"/>
      <c r="AB743" s="52"/>
      <c r="AC743" s="52"/>
      <c r="AD743" s="231"/>
      <c r="AE743" s="49"/>
      <c r="AF743" s="84"/>
      <c r="AG743" s="49"/>
      <c r="AH743" s="49"/>
      <c r="AI743" s="49"/>
      <c r="AJ743" s="226"/>
      <c r="AK743" s="49"/>
      <c r="AL743" s="113">
        <f t="shared" si="313"/>
        <v>0</v>
      </c>
      <c r="AM743" s="113">
        <f t="shared" si="312"/>
        <v>0</v>
      </c>
      <c r="AN743" s="218"/>
      <c r="AO743" s="49"/>
      <c r="AP743" s="49"/>
      <c r="AQ743" s="84" t="str">
        <f>UPPER(RIGHT(Journal_Live[[#This Row],[DURATION ]]))</f>
        <v/>
      </c>
      <c r="AR743" s="49"/>
      <c r="AS743" s="55"/>
      <c r="AT743" s="55"/>
      <c r="AU743" s="54"/>
      <c r="AV743" s="56"/>
      <c r="AW743" s="57"/>
      <c r="AX743" s="153" t="s">
        <v>2323</v>
      </c>
      <c r="AY743" s="179" t="s">
        <v>2324</v>
      </c>
      <c r="AZ743" s="153"/>
      <c r="BA743" s="153"/>
      <c r="BB743" s="180" t="s">
        <v>2320</v>
      </c>
      <c r="BC743" s="153"/>
      <c r="BD743" s="117" t="s">
        <v>2325</v>
      </c>
      <c r="BE743" s="152"/>
      <c r="BF743" s="151"/>
      <c r="BG743" s="94">
        <f>SUM($AV$4:AV743)</f>
        <v>4820.6140742929338</v>
      </c>
      <c r="BH743" s="95">
        <f>SUM($AU$4:AU743)</f>
        <v>50214.63922077918</v>
      </c>
      <c r="BI743" s="80">
        <f>SUMIFS($AU$3:AU744,$Q$3:Q744,"F")</f>
        <v>32973.293506493508</v>
      </c>
      <c r="BJ743" s="80">
        <f>SUMIFS($AU$3:AU744,$Q$3:Q744,"S")</f>
        <v>20002.285714285714</v>
      </c>
      <c r="BK743" s="87">
        <f>SUMIFS($AU$3:AU744,$P$3:P744,"W")</f>
        <v>31576.759220779561</v>
      </c>
      <c r="BL743" s="87">
        <f>SUMIFS($AU$3:AU744,$P$3:P744,"R")</f>
        <v>15726.00000000016</v>
      </c>
      <c r="BM743" s="87">
        <f>SUMIFS($AU$3:AU744,$AQ$3:AQ744,"M")</f>
        <v>10931.179999998967</v>
      </c>
      <c r="BN743" s="87">
        <f>SUMIFS($AU$3:AU744,$AQ$3:AQ744,"H")</f>
        <v>14523.200000000877</v>
      </c>
      <c r="BO743" s="87">
        <f>SUMIFS($AU$3:AU744,$AQ$3:AQ744,"D")</f>
        <v>8014.9928571427408</v>
      </c>
      <c r="BP743" s="87">
        <f>SUMIFS($AS$3:AS1310,$AO$3:AO1310,"W")</f>
        <v>0</v>
      </c>
      <c r="BQ743" s="87">
        <f>SUMIFS($AU$3:AU744,$Q$3:Q744,"O")</f>
        <v>-5384.9400000000251</v>
      </c>
      <c r="BR743" s="87">
        <f>SUMIFS($AU$3:AU744,$AA$3:AA744,"*")</f>
        <v>37075.122077921827</v>
      </c>
      <c r="BS743" s="87">
        <f>SUMIFS($AU$3:AU744,$AB$3:AB744,"*")</f>
        <v>12971.859999999973</v>
      </c>
      <c r="BT743" s="87">
        <f>SUMIFS($AU$3:AU744,$AC$3:AC744,"*")</f>
        <v>40173.293506493676</v>
      </c>
      <c r="BU743" s="87">
        <f>SUMIFS($AU$3:AU744,$AA$3:AA744,"*",$AB$3:AB744,"*")</f>
        <v>8011.9999999997544</v>
      </c>
      <c r="BV743" s="87">
        <f>SUMIFS($AU$3:AU744,$AA$3:AA744,"*",$AC$3:AC744,"*")</f>
        <v>28153.636363636531</v>
      </c>
      <c r="BW743" s="87">
        <f>SUMIFS($AU$3:AU744,$AB$3:AB744,"*",$AC$3:AC744,"*")</f>
        <v>9360</v>
      </c>
      <c r="BX743" s="87">
        <f>SUMIFS($AV$3:AV744,$Q$3:Q744,"F")</f>
        <v>462.72914667325267</v>
      </c>
      <c r="BY743" s="87">
        <f>SUMIFS($AV$3:AV744,$Q$3:Q744,"S")</f>
        <v>738.32562762001328</v>
      </c>
      <c r="BZ743" s="87">
        <f>SUMIFS($AV$3:AV744,$Q$3:Q744,"O")</f>
        <v>471.55929999966099</v>
      </c>
    </row>
    <row r="744" spans="1:78" ht="15.75" customHeight="1">
      <c r="A744" s="45" t="s">
        <v>2311</v>
      </c>
      <c r="B744" s="59"/>
      <c r="C744" s="46"/>
      <c r="D744" s="46"/>
      <c r="E744" s="66"/>
      <c r="F744" s="47"/>
      <c r="G744" s="48"/>
      <c r="H744" s="49"/>
      <c r="I744" s="49"/>
      <c r="J744" s="49"/>
      <c r="K744" s="50"/>
      <c r="L744" s="49"/>
      <c r="M744" s="49"/>
      <c r="N744" s="49"/>
      <c r="O744" s="50"/>
      <c r="P744" s="50"/>
      <c r="Q744" s="50"/>
      <c r="R744" s="50"/>
      <c r="S744" s="50"/>
      <c r="T744" s="50"/>
      <c r="U744" s="50"/>
      <c r="V744" s="50"/>
      <c r="W744" s="50"/>
      <c r="X744" s="50"/>
      <c r="Y744" s="50"/>
      <c r="Z744" s="50"/>
      <c r="AA744" s="52"/>
      <c r="AB744" s="52"/>
      <c r="AC744" s="52"/>
      <c r="AD744" s="231"/>
      <c r="AE744" s="49"/>
      <c r="AF744" s="84"/>
      <c r="AG744" s="49"/>
      <c r="AH744" s="49"/>
      <c r="AI744" s="49"/>
      <c r="AJ744" s="226"/>
      <c r="AK744" s="49"/>
      <c r="AL744" s="113">
        <f t="shared" si="313"/>
        <v>0</v>
      </c>
      <c r="AM744" s="113">
        <f t="shared" si="312"/>
        <v>0</v>
      </c>
      <c r="AN744" s="218"/>
      <c r="AO744" s="49"/>
      <c r="AP744" s="49"/>
      <c r="AQ744" s="84" t="str">
        <f>UPPER(RIGHT(Journal_Live[[#This Row],[DURATION ]]))</f>
        <v/>
      </c>
      <c r="AR744" s="49"/>
      <c r="AS744" s="55"/>
      <c r="AT744" s="55"/>
      <c r="AU744" s="54"/>
      <c r="AV744" s="56"/>
      <c r="AW744" s="57"/>
      <c r="AX744" s="153" t="s">
        <v>2326</v>
      </c>
      <c r="AY744" s="153" t="s">
        <v>2327</v>
      </c>
      <c r="AZ744" s="153"/>
      <c r="BA744" s="153"/>
      <c r="BB744" s="180" t="s">
        <v>2320</v>
      </c>
      <c r="BC744" s="153"/>
      <c r="BD744" s="117" t="s">
        <v>2328</v>
      </c>
      <c r="BE744" s="152"/>
      <c r="BF744" s="151"/>
      <c r="BG744" s="94">
        <f>SUM($AV$4:AV744)</f>
        <v>4820.6140742929338</v>
      </c>
      <c r="BH744" s="95">
        <f>SUM($AU$4:AU744)</f>
        <v>50214.63922077918</v>
      </c>
      <c r="BI744" s="80">
        <f>SUMIFS($AU$3:AU745,$Q$3:Q745,"F")</f>
        <v>32973.293506493508</v>
      </c>
      <c r="BJ744" s="80">
        <f>SUMIFS($AU$3:AU745,$Q$3:Q745,"S")</f>
        <v>20002.285714285714</v>
      </c>
      <c r="BK744" s="87">
        <f>SUMIFS($AU$3:AU745,$P$3:P745,"W")</f>
        <v>31576.759220779561</v>
      </c>
      <c r="BL744" s="87">
        <f>SUMIFS($AU$3:AU745,$P$3:P745,"R")</f>
        <v>15726.00000000016</v>
      </c>
      <c r="BM744" s="87">
        <f>SUMIFS($AU$3:AU745,$AQ$3:AQ745,"M")</f>
        <v>10931.179999998967</v>
      </c>
      <c r="BN744" s="87">
        <f>SUMIFS($AU$3:AU745,$AQ$3:AQ745,"H")</f>
        <v>14523.200000000877</v>
      </c>
      <c r="BO744" s="87">
        <f>SUMIFS($AU$3:AU745,$AQ$3:AQ745,"D")</f>
        <v>8014.9928571427408</v>
      </c>
      <c r="BP744" s="87">
        <f>SUMIFS($AS$3:AS1311,$AO$3:AO1311,"W")</f>
        <v>0</v>
      </c>
      <c r="BQ744" s="87">
        <f>SUMIFS($AU$3:AU745,$Q$3:Q745,"O")</f>
        <v>-5384.9400000000251</v>
      </c>
      <c r="BR744" s="87">
        <f>SUMIFS($AU$3:AU745,$AA$3:AA745,"*")</f>
        <v>37075.122077921827</v>
      </c>
      <c r="BS744" s="87">
        <f>SUMIFS($AU$3:AU745,$AB$3:AB745,"*")</f>
        <v>12971.859999999973</v>
      </c>
      <c r="BT744" s="87">
        <f>SUMIFS($AU$3:AU745,$AC$3:AC745,"*")</f>
        <v>40173.293506493676</v>
      </c>
      <c r="BU744" s="87">
        <f>SUMIFS($AU$3:AU745,$AA$3:AA745,"*",$AB$3:AB745,"*")</f>
        <v>8011.9999999997544</v>
      </c>
      <c r="BV744" s="87">
        <f>SUMIFS($AU$3:AU745,$AA$3:AA745,"*",$AC$3:AC745,"*")</f>
        <v>28153.636363636531</v>
      </c>
      <c r="BW744" s="87">
        <f>SUMIFS($AU$3:AU745,$AB$3:AB745,"*",$AC$3:AC745,"*")</f>
        <v>9360</v>
      </c>
      <c r="BX744" s="87">
        <f>SUMIFS($AV$3:AV745,$Q$3:Q745,"F")</f>
        <v>462.72914667325267</v>
      </c>
      <c r="BY744" s="87">
        <f>SUMIFS($AV$3:AV745,$Q$3:Q745,"S")</f>
        <v>738.32562762001328</v>
      </c>
      <c r="BZ744" s="87">
        <f>SUMIFS($AV$3:AV745,$Q$3:Q745,"O")</f>
        <v>471.55929999966099</v>
      </c>
    </row>
    <row r="745" spans="1:78" ht="15.75" customHeight="1">
      <c r="A745" s="45" t="s">
        <v>2311</v>
      </c>
      <c r="B745" s="59"/>
      <c r="C745" s="46"/>
      <c r="D745" s="46"/>
      <c r="E745" s="66"/>
      <c r="F745" s="47"/>
      <c r="G745" s="48"/>
      <c r="H745" s="49"/>
      <c r="I745" s="49"/>
      <c r="J745" s="49"/>
      <c r="K745" s="50"/>
      <c r="L745" s="49"/>
      <c r="M745" s="49"/>
      <c r="N745" s="49"/>
      <c r="O745" s="50"/>
      <c r="P745" s="50"/>
      <c r="Q745" s="50"/>
      <c r="R745" s="50"/>
      <c r="S745" s="50"/>
      <c r="T745" s="50"/>
      <c r="U745" s="50"/>
      <c r="V745" s="50"/>
      <c r="W745" s="50"/>
      <c r="X745" s="50"/>
      <c r="Y745" s="50"/>
      <c r="Z745" s="50"/>
      <c r="AA745" s="52"/>
      <c r="AB745" s="52"/>
      <c r="AC745" s="52"/>
      <c r="AD745" s="231"/>
      <c r="AE745" s="49"/>
      <c r="AF745" s="84"/>
      <c r="AG745" s="49"/>
      <c r="AH745" s="49"/>
      <c r="AI745" s="49"/>
      <c r="AJ745" s="226"/>
      <c r="AK745" s="49"/>
      <c r="AL745" s="113">
        <f t="shared" si="313"/>
        <v>0</v>
      </c>
      <c r="AM745" s="113">
        <f t="shared" si="312"/>
        <v>0</v>
      </c>
      <c r="AN745" s="218"/>
      <c r="AO745" s="49"/>
      <c r="AP745" s="49"/>
      <c r="AQ745" s="84" t="str">
        <f>UPPER(RIGHT(Journal_Live[[#This Row],[DURATION ]]))</f>
        <v/>
      </c>
      <c r="AR745" s="49"/>
      <c r="AS745" s="55"/>
      <c r="AT745" s="55"/>
      <c r="AU745" s="54"/>
      <c r="AV745" s="56"/>
      <c r="AW745" s="57"/>
      <c r="AX745" s="153" t="s">
        <v>2329</v>
      </c>
      <c r="AY745" s="153" t="s">
        <v>2330</v>
      </c>
      <c r="AZ745" s="153"/>
      <c r="BA745" s="153"/>
      <c r="BB745" s="180" t="s">
        <v>2320</v>
      </c>
      <c r="BC745" s="153"/>
      <c r="BD745" s="117" t="s">
        <v>2331</v>
      </c>
      <c r="BE745" s="152"/>
      <c r="BF745" s="151"/>
      <c r="BG745" s="94">
        <f>SUM($AV$4:AV745)</f>
        <v>4820.6140742929338</v>
      </c>
      <c r="BH745" s="95">
        <f>SUM($AU$4:AU745)</f>
        <v>50214.63922077918</v>
      </c>
      <c r="BI745" s="80">
        <f>SUMIFS($AU$3:AU746,$Q$3:Q746,"F")</f>
        <v>32973.293506493508</v>
      </c>
      <c r="BJ745" s="80">
        <f>SUMIFS($AU$3:AU746,$Q$3:Q746,"S")</f>
        <v>20002.285714285714</v>
      </c>
      <c r="BK745" s="87">
        <f>SUMIFS($AU$3:AU746,$P$3:P746,"W")</f>
        <v>31576.759220779561</v>
      </c>
      <c r="BL745" s="87">
        <f>SUMIFS($AU$3:AU746,$P$3:P746,"R")</f>
        <v>15726.00000000016</v>
      </c>
      <c r="BM745" s="87">
        <f>SUMIFS($AU$3:AU746,$AQ$3:AQ746,"M")</f>
        <v>10931.179999998967</v>
      </c>
      <c r="BN745" s="87">
        <f>SUMIFS($AU$3:AU746,$AQ$3:AQ746,"H")</f>
        <v>14523.200000000877</v>
      </c>
      <c r="BO745" s="87">
        <f>SUMIFS($AU$3:AU746,$AQ$3:AQ746,"D")</f>
        <v>8014.9928571427408</v>
      </c>
      <c r="BP745" s="87">
        <f>SUMIFS($AS$3:AS1312,$AO$3:AO1312,"W")</f>
        <v>0</v>
      </c>
      <c r="BQ745" s="87">
        <f>SUMIFS($AU$3:AU746,$Q$3:Q746,"O")</f>
        <v>-5384.9400000000251</v>
      </c>
      <c r="BR745" s="87">
        <f>SUMIFS($AU$3:AU746,$AA$3:AA746,"*")</f>
        <v>37075.122077921827</v>
      </c>
      <c r="BS745" s="87">
        <f>SUMIFS($AU$3:AU746,$AB$3:AB746,"*")</f>
        <v>12971.859999999973</v>
      </c>
      <c r="BT745" s="87">
        <f>SUMIFS($AU$3:AU746,$AC$3:AC746,"*")</f>
        <v>40173.293506493676</v>
      </c>
      <c r="BU745" s="87">
        <f>SUMIFS($AU$3:AU746,$AA$3:AA746,"*",$AB$3:AB746,"*")</f>
        <v>8011.9999999997544</v>
      </c>
      <c r="BV745" s="87">
        <f>SUMIFS($AU$3:AU746,$AA$3:AA746,"*",$AC$3:AC746,"*")</f>
        <v>28153.636363636531</v>
      </c>
      <c r="BW745" s="87">
        <f>SUMIFS($AU$3:AU746,$AB$3:AB746,"*",$AC$3:AC746,"*")</f>
        <v>9360</v>
      </c>
      <c r="BX745" s="87">
        <f>SUMIFS($AV$3:AV746,$Q$3:Q746,"F")</f>
        <v>462.72914667325267</v>
      </c>
      <c r="BY745" s="87">
        <f>SUMIFS($AV$3:AV746,$Q$3:Q746,"S")</f>
        <v>738.32562762001328</v>
      </c>
      <c r="BZ745" s="87">
        <f>SUMIFS($AV$3:AV746,$Q$3:Q746,"O")</f>
        <v>471.55929999966099</v>
      </c>
    </row>
    <row r="746" spans="1:78" ht="15.75" customHeight="1">
      <c r="A746" s="45" t="s">
        <v>2311</v>
      </c>
      <c r="B746" s="59"/>
      <c r="C746" s="46"/>
      <c r="D746" s="46"/>
      <c r="E746" s="66"/>
      <c r="F746" s="47"/>
      <c r="G746" s="48"/>
      <c r="H746" s="49"/>
      <c r="I746" s="49"/>
      <c r="J746" s="49"/>
      <c r="K746" s="50"/>
      <c r="L746" s="49"/>
      <c r="M746" s="49"/>
      <c r="N746" s="49"/>
      <c r="O746" s="50"/>
      <c r="P746" s="50"/>
      <c r="Q746" s="50"/>
      <c r="R746" s="50"/>
      <c r="S746" s="50"/>
      <c r="T746" s="50"/>
      <c r="U746" s="50"/>
      <c r="V746" s="50"/>
      <c r="W746" s="50"/>
      <c r="X746" s="50"/>
      <c r="Y746" s="50"/>
      <c r="Z746" s="50"/>
      <c r="AA746" s="52"/>
      <c r="AB746" s="52"/>
      <c r="AC746" s="52"/>
      <c r="AD746" s="231"/>
      <c r="AE746" s="49"/>
      <c r="AF746" s="84"/>
      <c r="AG746" s="49"/>
      <c r="AH746" s="49"/>
      <c r="AI746" s="49"/>
      <c r="AJ746" s="226"/>
      <c r="AK746" s="49"/>
      <c r="AL746" s="113">
        <f t="shared" si="313"/>
        <v>0</v>
      </c>
      <c r="AM746" s="113">
        <f t="shared" si="312"/>
        <v>0</v>
      </c>
      <c r="AN746" s="218"/>
      <c r="AO746" s="49"/>
      <c r="AP746" s="49"/>
      <c r="AQ746" s="84" t="str">
        <f>UPPER(RIGHT(Journal_Live[[#This Row],[DURATION ]]))</f>
        <v/>
      </c>
      <c r="AR746" s="49"/>
      <c r="AS746" s="55"/>
      <c r="AT746" s="55"/>
      <c r="AU746" s="54"/>
      <c r="AV746" s="56"/>
      <c r="AW746" s="57"/>
      <c r="AX746" s="153" t="s">
        <v>2332</v>
      </c>
      <c r="AY746" s="153" t="s">
        <v>2333</v>
      </c>
      <c r="AZ746" s="153"/>
      <c r="BA746" s="153"/>
      <c r="BB746" s="180" t="s">
        <v>2320</v>
      </c>
      <c r="BC746" s="153"/>
      <c r="BD746" s="151"/>
      <c r="BE746" s="152"/>
      <c r="BF746" s="151"/>
      <c r="BG746" s="94">
        <f>SUM($AV$4:AV746)</f>
        <v>4820.6140742929338</v>
      </c>
      <c r="BH746" s="95">
        <f>SUM($AU$4:AU746)</f>
        <v>50214.63922077918</v>
      </c>
      <c r="BI746" s="80">
        <f>SUMIFS($AU$3:AU893,$Q$3:Q893,"F")</f>
        <v>29235.078121878127</v>
      </c>
      <c r="BJ746" s="80">
        <f>SUMIFS($AU$3:AU893,$Q$3:Q893,"S")</f>
        <v>17938.285714285706</v>
      </c>
      <c r="BK746" s="87">
        <f>SUMIFS($AU$3:AU893,$P$3:P893,"W")</f>
        <v>17144.143836163403</v>
      </c>
      <c r="BL746" s="87">
        <f>SUMIFS($AU$3:AU893,$P$3:P893,"R")</f>
        <v>22616.400000000325</v>
      </c>
      <c r="BM746" s="87">
        <f>SUMIFS($AU$3:AU893,$AQ$3:AQ893,"M")</f>
        <v>8875.1799999983887</v>
      </c>
      <c r="BN746" s="87">
        <f>SUMIFS($AU$3:AU893,$AQ$3:AQ893,"H")</f>
        <v>11643.200000000877</v>
      </c>
      <c r="BO746" s="87">
        <f>SUMIFS($AU$3:AU893,$AQ$3:AQ893,"D")</f>
        <v>13122.377472527351</v>
      </c>
      <c r="BP746" s="87">
        <f>SUMIFS($AS$3:AS1313,$AO$3:AO1313,"W")</f>
        <v>0</v>
      </c>
      <c r="BQ746" s="87">
        <f>SUMIFS($AU$3:AU893,$Q$3:Q893,"O")</f>
        <v>-9340.9400000006026</v>
      </c>
      <c r="BR746" s="87">
        <f>SUMIFS($AU$3:AU893,$AA$3:AA893,"*")</f>
        <v>37881.5220779214</v>
      </c>
      <c r="BS746" s="87">
        <f>SUMIFS($AU$3:AU893,$AB$3:AB893,"*")</f>
        <v>7475.8599999999715</v>
      </c>
      <c r="BT746" s="87">
        <f>SUMIFS($AU$3:AU893,$AC$3:AC893,"*")</f>
        <v>33251.078121878119</v>
      </c>
      <c r="BU746" s="87">
        <f>SUMIFS($AU$3:AU893,$AA$3:AA893,"*",$AB$3:AB893,"*")</f>
        <v>7915.9999999997544</v>
      </c>
      <c r="BV746" s="87">
        <f>SUMIFS($AU$3:AU893,$AA$3:AA893,"*",$AC$3:AC893,"*")</f>
        <v>29696.036363636529</v>
      </c>
      <c r="BW746" s="87">
        <f>SUMIFS($AU$3:AU893,$AB$3:AB893,"*",$AC$3:AC893,"*")</f>
        <v>3863.9999999999991</v>
      </c>
      <c r="BX746" s="87">
        <f>SUMIFS($AV$3:AV893,$Q$3:Q893,"F")</f>
        <v>383.04019562430165</v>
      </c>
      <c r="BY746" s="87">
        <f>SUMIFS($AV$3:AV893,$Q$3:Q893,"S")</f>
        <v>676.61134190572739</v>
      </c>
      <c r="BZ746" s="87">
        <f>SUMIFS($AV$3:AV893,$Q$3:Q893,"O")</f>
        <v>378.55929999967736</v>
      </c>
    </row>
    <row r="747" spans="1:78" ht="15.75" customHeight="1">
      <c r="A747" s="45" t="s">
        <v>2311</v>
      </c>
      <c r="B747" s="59"/>
      <c r="C747" s="46"/>
      <c r="D747" s="46"/>
      <c r="E747" s="66"/>
      <c r="F747" s="47"/>
      <c r="G747" s="48"/>
      <c r="H747" s="49"/>
      <c r="I747" s="49"/>
      <c r="J747" s="49"/>
      <c r="K747" s="50"/>
      <c r="L747" s="49"/>
      <c r="M747" s="49"/>
      <c r="N747" s="49"/>
      <c r="O747" s="50"/>
      <c r="P747" s="50"/>
      <c r="Q747" s="50"/>
      <c r="R747" s="50"/>
      <c r="S747" s="50"/>
      <c r="T747" s="50"/>
      <c r="U747" s="50"/>
      <c r="V747" s="50"/>
      <c r="W747" s="50"/>
      <c r="X747" s="50"/>
      <c r="Y747" s="50"/>
      <c r="Z747" s="50"/>
      <c r="AA747" s="52"/>
      <c r="AB747" s="52"/>
      <c r="AC747" s="52"/>
      <c r="AD747" s="231"/>
      <c r="AE747" s="49"/>
      <c r="AF747" s="84"/>
      <c r="AG747" s="49"/>
      <c r="AH747" s="49"/>
      <c r="AI747" s="49"/>
      <c r="AJ747" s="226"/>
      <c r="AK747" s="49"/>
      <c r="AL747" s="113">
        <f t="shared" ref="AL747:AL836" si="314">-0.02*Z747</f>
        <v>0</v>
      </c>
      <c r="AM747" s="113">
        <f t="shared" si="312"/>
        <v>0</v>
      </c>
      <c r="AN747" s="218"/>
      <c r="AO747" s="49"/>
      <c r="AP747" s="49"/>
      <c r="AQ747" s="84" t="str">
        <f>UPPER(RIGHT(Journal_Live[[#This Row],[DURATION ]]))</f>
        <v/>
      </c>
      <c r="AR747" s="49"/>
      <c r="AS747" s="55"/>
      <c r="AT747" s="55"/>
      <c r="AU747" s="54"/>
      <c r="AV747" s="56"/>
      <c r="AW747" s="57"/>
      <c r="AX747" s="153" t="s">
        <v>2334</v>
      </c>
      <c r="AY747" s="153" t="s">
        <v>2335</v>
      </c>
      <c r="AZ747" s="153"/>
      <c r="BA747" s="153"/>
      <c r="BB747" s="180" t="s">
        <v>2316</v>
      </c>
      <c r="BC747" s="153" t="s">
        <v>2336</v>
      </c>
      <c r="BD747" s="151"/>
      <c r="BE747" s="152"/>
      <c r="BF747" s="151"/>
      <c r="BG747" s="94">
        <f>SUM($AV$4:AV747)</f>
        <v>4820.6140742929338</v>
      </c>
      <c r="BH747" s="95">
        <f>SUM($AU$4:AU747)</f>
        <v>50214.63922077918</v>
      </c>
      <c r="BI747" s="80">
        <f>SUMIFS($AU$3:AU748,$Q$3:Q748,"F")</f>
        <v>32973.293506493508</v>
      </c>
      <c r="BJ747" s="80">
        <f>SUMIFS($AU$3:AU748,$Q$3:Q748,"S")</f>
        <v>20002.285714285714</v>
      </c>
      <c r="BK747" s="87">
        <f>SUMIFS($AU$3:AU748,$P$3:P748,"W")</f>
        <v>31576.759220779561</v>
      </c>
      <c r="BL747" s="87">
        <f>SUMIFS($AU$3:AU748,$P$3:P748,"R")</f>
        <v>15726.00000000016</v>
      </c>
      <c r="BM747" s="87">
        <f>SUMIFS($AU$3:AU748,$AQ$3:AQ748,"M")</f>
        <v>10931.179999998967</v>
      </c>
      <c r="BN747" s="87">
        <f>SUMIFS($AU$3:AU748,$AQ$3:AQ748,"H")</f>
        <v>14523.200000000877</v>
      </c>
      <c r="BO747" s="87">
        <f>SUMIFS($AU$3:AU748,$AQ$3:AQ748,"D")</f>
        <v>8014.9928571427408</v>
      </c>
      <c r="BP747" s="87">
        <f>SUMIFS($AS$3:AS1307,$AO$3:AO1307,"W")</f>
        <v>0</v>
      </c>
      <c r="BQ747" s="87">
        <f>SUMIFS($AU$3:AU748,$Q$3:Q748,"O")</f>
        <v>-5384.9400000000251</v>
      </c>
      <c r="BR747" s="87">
        <f>SUMIFS($AU$3:AU748,$AA$3:AA748,"*")</f>
        <v>37075.122077921827</v>
      </c>
      <c r="BS747" s="87">
        <f>SUMIFS($AU$3:AU748,$AB$3:AB748,"*")</f>
        <v>12971.859999999973</v>
      </c>
      <c r="BT747" s="87">
        <f>SUMIFS($AU$3:AU748,$AC$3:AC748,"*")</f>
        <v>40173.293506493676</v>
      </c>
      <c r="BU747" s="87">
        <f>SUMIFS($AU$3:AU748,$AA$3:AA748,"*",$AB$3:AB748,"*")</f>
        <v>8011.9999999997544</v>
      </c>
      <c r="BV747" s="87">
        <f>SUMIFS($AU$3:AU748,$AA$3:AA748,"*",$AC$3:AC748,"*")</f>
        <v>28153.636363636531</v>
      </c>
      <c r="BW747" s="87">
        <f>SUMIFS($AU$3:AU748,$AB$3:AB748,"*",$AC$3:AC748,"*")</f>
        <v>9360</v>
      </c>
      <c r="BX747" s="87">
        <f>SUMIFS($AV$3:AV748,$Q$3:Q748,"F")</f>
        <v>462.72914667325267</v>
      </c>
      <c r="BY747" s="87">
        <f>SUMIFS($AV$3:AV748,$Q$3:Q748,"S")</f>
        <v>738.32562762001328</v>
      </c>
      <c r="BZ747" s="87">
        <f>SUMIFS($AV$3:AV748,$Q$3:Q748,"O")</f>
        <v>471.55929999966099</v>
      </c>
    </row>
    <row r="748" spans="1:78" ht="15.75" customHeight="1">
      <c r="A748" s="45" t="s">
        <v>2311</v>
      </c>
      <c r="B748" s="59"/>
      <c r="C748" s="46"/>
      <c r="D748" s="46"/>
      <c r="E748" s="66"/>
      <c r="F748" s="47"/>
      <c r="G748" s="48"/>
      <c r="H748" s="49"/>
      <c r="I748" s="49"/>
      <c r="J748" s="49"/>
      <c r="K748" s="50"/>
      <c r="L748" s="49"/>
      <c r="M748" s="49"/>
      <c r="N748" s="49"/>
      <c r="O748" s="50"/>
      <c r="P748" s="50"/>
      <c r="Q748" s="50"/>
      <c r="R748" s="50"/>
      <c r="S748" s="50"/>
      <c r="T748" s="50"/>
      <c r="U748" s="50"/>
      <c r="V748" s="50"/>
      <c r="W748" s="50"/>
      <c r="X748" s="50"/>
      <c r="Y748" s="50"/>
      <c r="Z748" s="50"/>
      <c r="AA748" s="52"/>
      <c r="AB748" s="52"/>
      <c r="AC748" s="52"/>
      <c r="AD748" s="231"/>
      <c r="AE748" s="49"/>
      <c r="AF748" s="84"/>
      <c r="AG748" s="49"/>
      <c r="AH748" s="49"/>
      <c r="AI748" s="49"/>
      <c r="AJ748" s="226"/>
      <c r="AK748" s="49"/>
      <c r="AL748" s="113">
        <f t="shared" si="314"/>
        <v>0</v>
      </c>
      <c r="AM748" s="113">
        <f t="shared" si="312"/>
        <v>0</v>
      </c>
      <c r="AN748" s="218"/>
      <c r="AO748" s="49"/>
      <c r="AP748" s="49"/>
      <c r="AQ748" s="84" t="str">
        <f>UPPER(RIGHT(Journal_Live[[#This Row],[DURATION ]]))</f>
        <v/>
      </c>
      <c r="AR748" s="49"/>
      <c r="AS748" s="55"/>
      <c r="AT748" s="55"/>
      <c r="AU748" s="54"/>
      <c r="AV748" s="56"/>
      <c r="AW748" s="57"/>
      <c r="AX748" s="153" t="s">
        <v>2337</v>
      </c>
      <c r="AY748" s="151" t="s">
        <v>2338</v>
      </c>
      <c r="AZ748" s="153"/>
      <c r="BA748" s="153"/>
      <c r="BB748" s="180" t="s">
        <v>2316</v>
      </c>
      <c r="BC748" s="153"/>
      <c r="BD748" s="151"/>
      <c r="BE748" s="152"/>
      <c r="BF748" s="151"/>
      <c r="BG748" s="94">
        <f>SUM($AV$4:AV748)</f>
        <v>4820.6140742929338</v>
      </c>
      <c r="BH748" s="95">
        <f>SUM($AU$4:AU748)</f>
        <v>50214.63922077918</v>
      </c>
      <c r="BI748" s="80">
        <f>SUMIFS($AU$3:AU749,$Q$3:Q749,"F")</f>
        <v>32973.293506493508</v>
      </c>
      <c r="BJ748" s="80">
        <f>SUMIFS($AU$3:AU749,$Q$3:Q749,"S")</f>
        <v>20002.285714285714</v>
      </c>
      <c r="BK748" s="87">
        <f>SUMIFS($AU$3:AU749,$P$3:P749,"W")</f>
        <v>31576.759220779561</v>
      </c>
      <c r="BL748" s="87">
        <f>SUMIFS($AU$3:AU749,$P$3:P749,"R")</f>
        <v>15726.00000000016</v>
      </c>
      <c r="BM748" s="87">
        <f>SUMIFS($AU$3:AU749,$AQ$3:AQ749,"M")</f>
        <v>10931.179999998967</v>
      </c>
      <c r="BN748" s="87">
        <f>SUMIFS($AU$3:AU749,$AQ$3:AQ749,"H")</f>
        <v>14523.200000000877</v>
      </c>
      <c r="BO748" s="87">
        <f>SUMIFS($AU$3:AU749,$AQ$3:AQ749,"D")</f>
        <v>8014.9928571427408</v>
      </c>
      <c r="BP748" s="87">
        <f>SUMIFS($AS$3:AS1308,$AO$3:AO1308,"W")</f>
        <v>0</v>
      </c>
      <c r="BQ748" s="87">
        <f>SUMIFS($AU$3:AU749,$Q$3:Q749,"O")</f>
        <v>-5384.9400000000251</v>
      </c>
      <c r="BR748" s="87">
        <f>SUMIFS($AU$3:AU749,$AA$3:AA749,"*")</f>
        <v>37075.122077921827</v>
      </c>
      <c r="BS748" s="87">
        <f>SUMIFS($AU$3:AU749,$AB$3:AB749,"*")</f>
        <v>12971.859999999973</v>
      </c>
      <c r="BT748" s="87">
        <f>SUMIFS($AU$3:AU749,$AC$3:AC749,"*")</f>
        <v>40173.293506493676</v>
      </c>
      <c r="BU748" s="87">
        <f>SUMIFS($AU$3:AU749,$AA$3:AA749,"*",$AB$3:AB749,"*")</f>
        <v>8011.9999999997544</v>
      </c>
      <c r="BV748" s="87">
        <f>SUMIFS($AU$3:AU749,$AA$3:AA749,"*",$AC$3:AC749,"*")</f>
        <v>28153.636363636531</v>
      </c>
      <c r="BW748" s="87">
        <f>SUMIFS($AU$3:AU749,$AB$3:AB749,"*",$AC$3:AC749,"*")</f>
        <v>9360</v>
      </c>
      <c r="BX748" s="87">
        <f>SUMIFS($AV$3:AV749,$Q$3:Q749,"F")</f>
        <v>462.72914667325267</v>
      </c>
      <c r="BY748" s="87">
        <f>SUMIFS($AV$3:AV749,$Q$3:Q749,"S")</f>
        <v>738.32562762001328</v>
      </c>
      <c r="BZ748" s="87">
        <f>SUMIFS($AV$3:AV749,$Q$3:Q749,"O")</f>
        <v>471.55929999966099</v>
      </c>
    </row>
    <row r="749" spans="1:78" ht="15.75" customHeight="1">
      <c r="A749" s="45" t="s">
        <v>2311</v>
      </c>
      <c r="B749" s="59"/>
      <c r="C749" s="46"/>
      <c r="D749" s="46"/>
      <c r="E749" s="66"/>
      <c r="F749" s="47"/>
      <c r="G749" s="48"/>
      <c r="H749" s="49"/>
      <c r="I749" s="49"/>
      <c r="J749" s="49"/>
      <c r="K749" s="50"/>
      <c r="L749" s="49"/>
      <c r="M749" s="49"/>
      <c r="N749" s="49"/>
      <c r="O749" s="50"/>
      <c r="P749" s="50"/>
      <c r="Q749" s="50"/>
      <c r="R749" s="50"/>
      <c r="S749" s="50"/>
      <c r="T749" s="50"/>
      <c r="U749" s="50"/>
      <c r="V749" s="50"/>
      <c r="W749" s="50"/>
      <c r="X749" s="50"/>
      <c r="Y749" s="50"/>
      <c r="Z749" s="50"/>
      <c r="AA749" s="52"/>
      <c r="AB749" s="52"/>
      <c r="AC749" s="52"/>
      <c r="AD749" s="231"/>
      <c r="AE749" s="49"/>
      <c r="AF749" s="84"/>
      <c r="AG749" s="49"/>
      <c r="AH749" s="49"/>
      <c r="AI749" s="49"/>
      <c r="AJ749" s="226"/>
      <c r="AK749" s="49"/>
      <c r="AL749" s="113">
        <f t="shared" si="314"/>
        <v>0</v>
      </c>
      <c r="AM749" s="113">
        <f t="shared" si="312"/>
        <v>0</v>
      </c>
      <c r="AN749" s="218"/>
      <c r="AO749" s="49"/>
      <c r="AP749" s="49"/>
      <c r="AQ749" s="84" t="str">
        <f>UPPER(RIGHT(Journal_Live[[#This Row],[DURATION ]]))</f>
        <v/>
      </c>
      <c r="AR749" s="49"/>
      <c r="AS749" s="55"/>
      <c r="AT749" s="55"/>
      <c r="AU749" s="54"/>
      <c r="AV749" s="56"/>
      <c r="AW749" s="57"/>
      <c r="AX749" s="153" t="s">
        <v>2339</v>
      </c>
      <c r="AY749" s="153" t="s">
        <v>2340</v>
      </c>
      <c r="AZ749" s="151"/>
      <c r="BA749" s="153"/>
      <c r="BB749" s="180" t="s">
        <v>2316</v>
      </c>
      <c r="BC749" s="153"/>
      <c r="BD749" s="151"/>
      <c r="BE749" s="152"/>
      <c r="BF749" s="151"/>
      <c r="BG749" s="94">
        <f>SUM($AV$4:AV749)</f>
        <v>4820.6140742929338</v>
      </c>
      <c r="BH749" s="95">
        <f>SUM($AU$4:AU749)</f>
        <v>50214.63922077918</v>
      </c>
      <c r="BI749" s="80">
        <f>SUMIFS($AU$3:AU770,$Q$3:Q770,"F")</f>
        <v>32973.293506493508</v>
      </c>
      <c r="BJ749" s="80">
        <f>SUMIFS($AU$3:AU770,$Q$3:Q770,"S")</f>
        <v>21202.285714285714</v>
      </c>
      <c r="BK749" s="87">
        <f>SUMIFS($AU$3:AU770,$P$3:P770,"W")</f>
        <v>32776.759220779561</v>
      </c>
      <c r="BL749" s="87">
        <f>SUMIFS($AU$3:AU770,$P$3:P770,"R")</f>
        <v>15726.00000000016</v>
      </c>
      <c r="BM749" s="87">
        <f>SUMIFS($AU$3:AU770,$AQ$3:AQ770,"M")</f>
        <v>12131.179999998967</v>
      </c>
      <c r="BN749" s="87">
        <f>SUMIFS($AU$3:AU770,$AQ$3:AQ770,"H")</f>
        <v>14523.200000000877</v>
      </c>
      <c r="BO749" s="87">
        <f>SUMIFS($AU$3:AU770,$AQ$3:AQ770,"D")</f>
        <v>8014.9928571427408</v>
      </c>
      <c r="BP749" s="87">
        <f>SUMIFS($AS$3:AS1309,$AO$3:AO1309,"W")</f>
        <v>0</v>
      </c>
      <c r="BQ749" s="87">
        <f>SUMIFS($AU$3:AU770,$Q$3:Q770,"O")</f>
        <v>-5384.9400000000251</v>
      </c>
      <c r="BR749" s="87">
        <f>SUMIFS($AU$3:AU770,$AA$3:AA770,"*")</f>
        <v>38275.122077921827</v>
      </c>
      <c r="BS749" s="87">
        <f>SUMIFS($AU$3:AU770,$AB$3:AB770,"*")</f>
        <v>12971.859999999973</v>
      </c>
      <c r="BT749" s="87">
        <f>SUMIFS($AU$3:AU770,$AC$3:AC770,"*")</f>
        <v>41373.293506493676</v>
      </c>
      <c r="BU749" s="87">
        <f>SUMIFS($AU$3:AU770,$AA$3:AA770,"*",$AB$3:AB770,"*")</f>
        <v>8011.9999999997544</v>
      </c>
      <c r="BV749" s="87">
        <f>SUMIFS($AU$3:AU770,$AA$3:AA770,"*",$AC$3:AC770,"*")</f>
        <v>29353.636363636531</v>
      </c>
      <c r="BW749" s="87">
        <f>SUMIFS($AU$3:AU770,$AB$3:AB770,"*",$AC$3:AC770,"*")</f>
        <v>9360</v>
      </c>
      <c r="BX749" s="87">
        <f>SUMIFS($AV$3:AV770,$Q$3:Q770,"F")</f>
        <v>462.72914667325267</v>
      </c>
      <c r="BY749" s="87">
        <f>SUMIFS($AV$3:AV770,$Q$3:Q770,"S")</f>
        <v>754.32562762001328</v>
      </c>
      <c r="BZ749" s="87">
        <f>SUMIFS($AV$3:AV770,$Q$3:Q770,"O")</f>
        <v>471.55929999966099</v>
      </c>
    </row>
    <row r="750" spans="1:78" ht="15.75" customHeight="1">
      <c r="A750" s="45" t="s">
        <v>2311</v>
      </c>
      <c r="B750" s="59"/>
      <c r="C750" s="46"/>
      <c r="D750" s="46"/>
      <c r="E750" s="66"/>
      <c r="F750" s="47"/>
      <c r="G750" s="48"/>
      <c r="H750" s="49"/>
      <c r="I750" s="49"/>
      <c r="J750" s="49"/>
      <c r="K750" s="50"/>
      <c r="L750" s="49"/>
      <c r="M750" s="49"/>
      <c r="N750" s="49"/>
      <c r="O750" s="50"/>
      <c r="P750" s="50"/>
      <c r="Q750" s="50"/>
      <c r="R750" s="50"/>
      <c r="S750" s="50"/>
      <c r="T750" s="50"/>
      <c r="U750" s="50"/>
      <c r="V750" s="50"/>
      <c r="W750" s="50"/>
      <c r="X750" s="50"/>
      <c r="Y750" s="50"/>
      <c r="Z750" s="50"/>
      <c r="AA750" s="52"/>
      <c r="AB750" s="52"/>
      <c r="AC750" s="52"/>
      <c r="AD750" s="231"/>
      <c r="AE750" s="49"/>
      <c r="AF750" s="84"/>
      <c r="AG750" s="49"/>
      <c r="AH750" s="49"/>
      <c r="AI750" s="49"/>
      <c r="AJ750" s="226"/>
      <c r="AK750" s="49"/>
      <c r="AL750" s="113">
        <f t="shared" ref="AL750:AL769" si="315">-0.02*Z750</f>
        <v>0</v>
      </c>
      <c r="AM750" s="113">
        <f t="shared" si="312"/>
        <v>0</v>
      </c>
      <c r="AN750" s="218"/>
      <c r="AO750" s="49"/>
      <c r="AP750" s="49"/>
      <c r="AQ750" s="84" t="str">
        <f>UPPER(RIGHT(Journal_Live[[#This Row],[DURATION ]]))</f>
        <v/>
      </c>
      <c r="AR750" s="49"/>
      <c r="AS750" s="55"/>
      <c r="AT750" s="55"/>
      <c r="AU750" s="54"/>
      <c r="AV750" s="56"/>
      <c r="AW750" s="57"/>
      <c r="AX750" s="153" t="s">
        <v>2341</v>
      </c>
      <c r="AY750" s="153" t="s">
        <v>2342</v>
      </c>
      <c r="AZ750" s="151"/>
      <c r="BA750" s="153"/>
      <c r="BB750" s="153"/>
      <c r="BC750" s="153"/>
      <c r="BD750" s="151"/>
      <c r="BE750" s="152"/>
      <c r="BF750" s="151"/>
      <c r="BG750" s="94">
        <f>SUM($AV$4:AV750)</f>
        <v>4820.6140742929338</v>
      </c>
      <c r="BH750" s="95">
        <f>SUM($AU$4:AU750)</f>
        <v>50214.63922077918</v>
      </c>
      <c r="BI750" s="80">
        <f>SUMIFS($AU$3:AU751,$Q$3:Q751,"F")</f>
        <v>32973.293506493508</v>
      </c>
      <c r="BJ750" s="80">
        <f>SUMIFS($AU$3:AU751,$Q$3:Q751,"S")</f>
        <v>20002.285714285714</v>
      </c>
      <c r="BK750" s="87">
        <f>SUMIFS($AU$3:AU751,$P$3:P751,"W")</f>
        <v>31576.759220779561</v>
      </c>
      <c r="BL750" s="87">
        <f>SUMIFS($AU$3:AU751,$P$3:P751,"R")</f>
        <v>15726.00000000016</v>
      </c>
      <c r="BM750" s="87">
        <f>SUMIFS($AU$3:AU751,$AQ$3:AQ751,"M")</f>
        <v>10931.179999998967</v>
      </c>
      <c r="BN750" s="87">
        <f>SUMIFS($AU$3:AU751,$AQ$3:AQ751,"H")</f>
        <v>14523.200000000877</v>
      </c>
      <c r="BO750" s="87">
        <f>SUMIFS($AU$3:AU751,$AQ$3:AQ751,"D")</f>
        <v>8014.9928571427408</v>
      </c>
      <c r="BP750" s="87">
        <f>SUMIFS($AS$3:AS1305,$AO$3:AO1305,"W")</f>
        <v>0</v>
      </c>
      <c r="BQ750" s="87">
        <f>SUMIFS($AU$3:AU751,$Q$3:Q751,"O")</f>
        <v>-5384.9400000000251</v>
      </c>
      <c r="BR750" s="87">
        <f>SUMIFS($AU$3:AU751,$AA$3:AA751,"*")</f>
        <v>37075.122077921827</v>
      </c>
      <c r="BS750" s="87">
        <f>SUMIFS($AU$3:AU751,$AB$3:AB751,"*")</f>
        <v>12971.859999999973</v>
      </c>
      <c r="BT750" s="87">
        <f>SUMIFS($AU$3:AU751,$AC$3:AC751,"*")</f>
        <v>40173.293506493676</v>
      </c>
      <c r="BU750" s="87">
        <f>SUMIFS($AU$3:AU751,$AA$3:AA751,"*",$AB$3:AB751,"*")</f>
        <v>8011.9999999997544</v>
      </c>
      <c r="BV750" s="87">
        <f>SUMIFS($AU$3:AU751,$AA$3:AA751,"*",$AC$3:AC751,"*")</f>
        <v>28153.636363636531</v>
      </c>
      <c r="BW750" s="87">
        <f>SUMIFS($AU$3:AU751,$AB$3:AB751,"*",$AC$3:AC751,"*")</f>
        <v>9360</v>
      </c>
      <c r="BX750" s="87">
        <f>SUMIFS($AV$3:AV751,$Q$3:Q751,"F")</f>
        <v>462.72914667325267</v>
      </c>
      <c r="BY750" s="87">
        <f>SUMIFS($AV$3:AV751,$Q$3:Q751,"S")</f>
        <v>738.32562762001328</v>
      </c>
      <c r="BZ750" s="87">
        <f>SUMIFS($AV$3:AV751,$Q$3:Q751,"O")</f>
        <v>471.55929999966099</v>
      </c>
    </row>
    <row r="751" spans="1:78" ht="15.75" customHeight="1">
      <c r="A751" s="45" t="s">
        <v>2311</v>
      </c>
      <c r="B751" s="59"/>
      <c r="C751" s="46"/>
      <c r="D751" s="46"/>
      <c r="E751" s="66"/>
      <c r="F751" s="47"/>
      <c r="G751" s="48"/>
      <c r="H751" s="49"/>
      <c r="I751" s="49"/>
      <c r="J751" s="49"/>
      <c r="K751" s="50"/>
      <c r="L751" s="49"/>
      <c r="M751" s="49"/>
      <c r="N751" s="49"/>
      <c r="O751" s="50"/>
      <c r="P751" s="50"/>
      <c r="Q751" s="50"/>
      <c r="R751" s="50"/>
      <c r="S751" s="50"/>
      <c r="T751" s="50"/>
      <c r="U751" s="50"/>
      <c r="V751" s="50"/>
      <c r="W751" s="50"/>
      <c r="X751" s="50"/>
      <c r="Y751" s="50"/>
      <c r="Z751" s="50"/>
      <c r="AA751" s="52"/>
      <c r="AB751" s="52"/>
      <c r="AC751" s="52"/>
      <c r="AD751" s="231"/>
      <c r="AE751" s="49"/>
      <c r="AF751" s="84"/>
      <c r="AG751" s="49"/>
      <c r="AH751" s="49"/>
      <c r="AI751" s="49"/>
      <c r="AJ751" s="226"/>
      <c r="AK751" s="49"/>
      <c r="AL751" s="113">
        <f t="shared" si="315"/>
        <v>0</v>
      </c>
      <c r="AM751" s="113">
        <f t="shared" si="312"/>
        <v>0</v>
      </c>
      <c r="AN751" s="218"/>
      <c r="AO751" s="49"/>
      <c r="AP751" s="49"/>
      <c r="AQ751" s="84" t="str">
        <f>UPPER(RIGHT(Journal_Live[[#This Row],[DURATION ]]))</f>
        <v/>
      </c>
      <c r="AR751" s="49"/>
      <c r="AS751" s="55"/>
      <c r="AT751" s="55"/>
      <c r="AU751" s="54"/>
      <c r="AV751" s="56"/>
      <c r="AW751" s="57"/>
      <c r="AX751" s="151" t="s">
        <v>2343</v>
      </c>
      <c r="AY751" s="181" t="s">
        <v>2344</v>
      </c>
      <c r="AZ751" s="151"/>
      <c r="BA751" s="153"/>
      <c r="BB751" s="153" t="s">
        <v>2345</v>
      </c>
      <c r="BC751" s="153"/>
      <c r="BD751" s="151"/>
      <c r="BE751" s="152"/>
      <c r="BF751" s="151"/>
      <c r="BG751" s="94">
        <f>SUM($AV$4:AV751)</f>
        <v>4820.6140742929338</v>
      </c>
      <c r="BH751" s="95">
        <f>SUM($AU$4:AU751)</f>
        <v>50214.63922077918</v>
      </c>
      <c r="BI751" s="80">
        <f>SUMIFS($AU$3:AU752,$Q$3:Q752,"F")</f>
        <v>32973.293506493508</v>
      </c>
      <c r="BJ751" s="80">
        <f>SUMIFS($AU$3:AU752,$Q$3:Q752,"S")</f>
        <v>20002.285714285714</v>
      </c>
      <c r="BK751" s="87">
        <f>SUMIFS($AU$3:AU752,$P$3:P752,"W")</f>
        <v>31576.759220779561</v>
      </c>
      <c r="BL751" s="87">
        <f>SUMIFS($AU$3:AU752,$P$3:P752,"R")</f>
        <v>15726.00000000016</v>
      </c>
      <c r="BM751" s="87">
        <f>SUMIFS($AU$3:AU752,$AQ$3:AQ752,"M")</f>
        <v>10931.179999998967</v>
      </c>
      <c r="BN751" s="87">
        <f>SUMIFS($AU$3:AU752,$AQ$3:AQ752,"H")</f>
        <v>14523.200000000877</v>
      </c>
      <c r="BO751" s="87">
        <f>SUMIFS($AU$3:AU752,$AQ$3:AQ752,"D")</f>
        <v>8014.9928571427408</v>
      </c>
      <c r="BP751" s="87">
        <f>SUMIFS($AS$3:AS1306,$AO$3:AO1306,"W")</f>
        <v>0</v>
      </c>
      <c r="BQ751" s="87">
        <f>SUMIFS($AU$3:AU752,$Q$3:Q752,"O")</f>
        <v>-5384.9400000000251</v>
      </c>
      <c r="BR751" s="87">
        <f>SUMIFS($AU$3:AU752,$AA$3:AA752,"*")</f>
        <v>37075.122077921827</v>
      </c>
      <c r="BS751" s="87">
        <f>SUMIFS($AU$3:AU752,$AB$3:AB752,"*")</f>
        <v>12971.859999999973</v>
      </c>
      <c r="BT751" s="87">
        <f>SUMIFS($AU$3:AU752,$AC$3:AC752,"*")</f>
        <v>40173.293506493676</v>
      </c>
      <c r="BU751" s="87">
        <f>SUMIFS($AU$3:AU752,$AA$3:AA752,"*",$AB$3:AB752,"*")</f>
        <v>8011.9999999997544</v>
      </c>
      <c r="BV751" s="87">
        <f>SUMIFS($AU$3:AU752,$AA$3:AA752,"*",$AC$3:AC752,"*")</f>
        <v>28153.636363636531</v>
      </c>
      <c r="BW751" s="87">
        <f>SUMIFS($AU$3:AU752,$AB$3:AB752,"*",$AC$3:AC752,"*")</f>
        <v>9360</v>
      </c>
      <c r="BX751" s="87">
        <f>SUMIFS($AV$3:AV752,$Q$3:Q752,"F")</f>
        <v>462.72914667325267</v>
      </c>
      <c r="BY751" s="87">
        <f>SUMIFS($AV$3:AV752,$Q$3:Q752,"S")</f>
        <v>738.32562762001328</v>
      </c>
      <c r="BZ751" s="87">
        <f>SUMIFS($AV$3:AV752,$Q$3:Q752,"O")</f>
        <v>471.55929999966099</v>
      </c>
    </row>
    <row r="752" spans="1:78" ht="15.75" customHeight="1">
      <c r="A752" s="45" t="s">
        <v>2311</v>
      </c>
      <c r="B752" s="59"/>
      <c r="C752" s="46"/>
      <c r="D752" s="46"/>
      <c r="E752" s="66"/>
      <c r="F752" s="47"/>
      <c r="G752" s="48"/>
      <c r="H752" s="49"/>
      <c r="I752" s="49"/>
      <c r="J752" s="49"/>
      <c r="K752" s="50"/>
      <c r="L752" s="49"/>
      <c r="M752" s="49"/>
      <c r="N752" s="49"/>
      <c r="O752" s="50"/>
      <c r="P752" s="50"/>
      <c r="Q752" s="50"/>
      <c r="R752" s="50"/>
      <c r="S752" s="50"/>
      <c r="T752" s="50"/>
      <c r="U752" s="50"/>
      <c r="V752" s="50"/>
      <c r="W752" s="50"/>
      <c r="X752" s="50"/>
      <c r="Y752" s="50"/>
      <c r="Z752" s="50"/>
      <c r="AA752" s="52"/>
      <c r="AB752" s="52"/>
      <c r="AC752" s="52"/>
      <c r="AD752" s="231"/>
      <c r="AE752" s="49"/>
      <c r="AF752" s="84"/>
      <c r="AG752" s="49"/>
      <c r="AH752" s="49"/>
      <c r="AI752" s="49"/>
      <c r="AJ752" s="226"/>
      <c r="AK752" s="49"/>
      <c r="AL752" s="113">
        <f t="shared" si="315"/>
        <v>0</v>
      </c>
      <c r="AM752" s="113">
        <f t="shared" si="312"/>
        <v>0</v>
      </c>
      <c r="AN752" s="218"/>
      <c r="AO752" s="49"/>
      <c r="AP752" s="49"/>
      <c r="AQ752" s="84" t="str">
        <f>UPPER(RIGHT(Journal_Live[[#This Row],[DURATION ]]))</f>
        <v/>
      </c>
      <c r="AR752" s="49"/>
      <c r="AS752" s="55"/>
      <c r="AT752" s="55"/>
      <c r="AU752" s="54"/>
      <c r="AV752" s="56"/>
      <c r="AW752" s="57"/>
      <c r="AX752" s="151" t="s">
        <v>2346</v>
      </c>
      <c r="AY752" s="151"/>
      <c r="AZ752" s="153"/>
      <c r="BA752" s="153"/>
      <c r="BB752" s="153"/>
      <c r="BC752" s="153"/>
      <c r="BD752" s="151"/>
      <c r="BE752" s="152"/>
      <c r="BF752" s="151"/>
      <c r="BG752" s="94">
        <f>SUM($AV$4:AV752)</f>
        <v>4820.6140742929338</v>
      </c>
      <c r="BH752" s="95">
        <f>SUM($AU$4:AU752)</f>
        <v>50214.63922077918</v>
      </c>
      <c r="BI752" s="80">
        <f>SUMIFS($AU$3:AU753,$Q$3:Q753,"F")</f>
        <v>32973.293506493508</v>
      </c>
      <c r="BJ752" s="80">
        <f>SUMIFS($AU$3:AU753,$Q$3:Q753,"S")</f>
        <v>20002.285714285714</v>
      </c>
      <c r="BK752" s="87">
        <f>SUMIFS($AU$3:AU753,$P$3:P753,"W")</f>
        <v>31576.759220779561</v>
      </c>
      <c r="BL752" s="87">
        <f>SUMIFS($AU$3:AU753,$P$3:P753,"R")</f>
        <v>15726.00000000016</v>
      </c>
      <c r="BM752" s="87">
        <f>SUMIFS($AU$3:AU753,$AQ$3:AQ753,"M")</f>
        <v>10931.179999998967</v>
      </c>
      <c r="BN752" s="87">
        <f>SUMIFS($AU$3:AU753,$AQ$3:AQ753,"H")</f>
        <v>14523.200000000877</v>
      </c>
      <c r="BO752" s="87">
        <f>SUMIFS($AU$3:AU753,$AQ$3:AQ753,"D")</f>
        <v>8014.9928571427408</v>
      </c>
      <c r="BP752" s="87">
        <f>SUMIFS($AS$3:AS1307,$AO$3:AO1307,"W")</f>
        <v>0</v>
      </c>
      <c r="BQ752" s="87">
        <f>SUMIFS($AU$3:AU753,$Q$3:Q753,"O")</f>
        <v>-5384.9400000000251</v>
      </c>
      <c r="BR752" s="87">
        <f>SUMIFS($AU$3:AU753,$AA$3:AA753,"*")</f>
        <v>37075.122077921827</v>
      </c>
      <c r="BS752" s="87">
        <f>SUMIFS($AU$3:AU753,$AB$3:AB753,"*")</f>
        <v>12971.859999999973</v>
      </c>
      <c r="BT752" s="87">
        <f>SUMIFS($AU$3:AU753,$AC$3:AC753,"*")</f>
        <v>40173.293506493676</v>
      </c>
      <c r="BU752" s="87">
        <f>SUMIFS($AU$3:AU753,$AA$3:AA753,"*",$AB$3:AB753,"*")</f>
        <v>8011.9999999997544</v>
      </c>
      <c r="BV752" s="87">
        <f>SUMIFS($AU$3:AU753,$AA$3:AA753,"*",$AC$3:AC753,"*")</f>
        <v>28153.636363636531</v>
      </c>
      <c r="BW752" s="87">
        <f>SUMIFS($AU$3:AU753,$AB$3:AB753,"*",$AC$3:AC753,"*")</f>
        <v>9360</v>
      </c>
      <c r="BX752" s="87">
        <f>SUMIFS($AV$3:AV753,$Q$3:Q753,"F")</f>
        <v>462.72914667325267</v>
      </c>
      <c r="BY752" s="87">
        <f>SUMIFS($AV$3:AV753,$Q$3:Q753,"S")</f>
        <v>738.32562762001328</v>
      </c>
      <c r="BZ752" s="87">
        <f>SUMIFS($AV$3:AV753,$Q$3:Q753,"O")</f>
        <v>471.55929999966099</v>
      </c>
    </row>
    <row r="753" spans="1:78" ht="15.75" customHeight="1">
      <c r="A753" s="45" t="s">
        <v>2311</v>
      </c>
      <c r="B753" s="59"/>
      <c r="C753" s="46"/>
      <c r="D753" s="46"/>
      <c r="E753" s="66"/>
      <c r="F753" s="47"/>
      <c r="G753" s="48"/>
      <c r="H753" s="49"/>
      <c r="I753" s="49"/>
      <c r="J753" s="49"/>
      <c r="K753" s="50"/>
      <c r="L753" s="49"/>
      <c r="M753" s="49"/>
      <c r="N753" s="49"/>
      <c r="O753" s="50"/>
      <c r="P753" s="50"/>
      <c r="Q753" s="50"/>
      <c r="R753" s="50"/>
      <c r="S753" s="50"/>
      <c r="T753" s="50"/>
      <c r="U753" s="50"/>
      <c r="V753" s="50"/>
      <c r="W753" s="50"/>
      <c r="X753" s="50"/>
      <c r="Y753" s="50"/>
      <c r="Z753" s="50"/>
      <c r="AA753" s="52"/>
      <c r="AB753" s="52"/>
      <c r="AC753" s="52"/>
      <c r="AD753" s="231"/>
      <c r="AE753" s="49"/>
      <c r="AF753" s="84"/>
      <c r="AG753" s="49"/>
      <c r="AH753" s="49"/>
      <c r="AI753" s="49"/>
      <c r="AJ753" s="226"/>
      <c r="AK753" s="49"/>
      <c r="AL753" s="113">
        <f t="shared" si="315"/>
        <v>0</v>
      </c>
      <c r="AM753" s="113">
        <f t="shared" si="312"/>
        <v>0</v>
      </c>
      <c r="AN753" s="218"/>
      <c r="AO753" s="49"/>
      <c r="AP753" s="49"/>
      <c r="AQ753" s="84" t="str">
        <f>UPPER(RIGHT(Journal_Live[[#This Row],[DURATION ]]))</f>
        <v/>
      </c>
      <c r="AR753" s="49"/>
      <c r="AS753" s="55"/>
      <c r="AT753" s="55"/>
      <c r="AU753" s="54"/>
      <c r="AV753" s="56"/>
      <c r="AW753" s="57"/>
      <c r="AX753" s="181" t="s">
        <v>1398</v>
      </c>
      <c r="AY753" s="151" t="s">
        <v>2347</v>
      </c>
      <c r="AZ753" s="153"/>
      <c r="BA753" s="153"/>
      <c r="BB753" s="153"/>
      <c r="BC753" s="153"/>
      <c r="BD753" s="151"/>
      <c r="BE753" s="152"/>
      <c r="BF753" s="151"/>
      <c r="BG753" s="94">
        <f>SUM($AV$4:AV753)</f>
        <v>4820.6140742929338</v>
      </c>
      <c r="BH753" s="95">
        <f>SUM($AU$4:AU753)</f>
        <v>50214.63922077918</v>
      </c>
      <c r="BI753" s="80">
        <f>SUMIFS($AU$3:AU754,$Q$3:Q754,"F")</f>
        <v>32973.293506493508</v>
      </c>
      <c r="BJ753" s="80">
        <f>SUMIFS($AU$3:AU754,$Q$3:Q754,"S")</f>
        <v>20002.285714285714</v>
      </c>
      <c r="BK753" s="87">
        <f>SUMIFS($AU$3:AU754,$P$3:P754,"W")</f>
        <v>31576.759220779561</v>
      </c>
      <c r="BL753" s="87">
        <f>SUMIFS($AU$3:AU754,$P$3:P754,"R")</f>
        <v>15726.00000000016</v>
      </c>
      <c r="BM753" s="87">
        <f>SUMIFS($AU$3:AU754,$AQ$3:AQ754,"M")</f>
        <v>10931.179999998967</v>
      </c>
      <c r="BN753" s="87">
        <f>SUMIFS($AU$3:AU754,$AQ$3:AQ754,"H")</f>
        <v>14523.200000000877</v>
      </c>
      <c r="BO753" s="87">
        <f>SUMIFS($AU$3:AU754,$AQ$3:AQ754,"D")</f>
        <v>8014.9928571427408</v>
      </c>
      <c r="BP753" s="87">
        <f>SUMIFS($AS$3:AS1308,$AO$3:AO1308,"W")</f>
        <v>0</v>
      </c>
      <c r="BQ753" s="87">
        <f>SUMIFS($AU$3:AU754,$Q$3:Q754,"O")</f>
        <v>-5384.9400000000251</v>
      </c>
      <c r="BR753" s="87">
        <f>SUMIFS($AU$3:AU754,$AA$3:AA754,"*")</f>
        <v>37075.122077921827</v>
      </c>
      <c r="BS753" s="87">
        <f>SUMIFS($AU$3:AU754,$AB$3:AB754,"*")</f>
        <v>12971.859999999973</v>
      </c>
      <c r="BT753" s="87">
        <f>SUMIFS($AU$3:AU754,$AC$3:AC754,"*")</f>
        <v>40173.293506493676</v>
      </c>
      <c r="BU753" s="87">
        <f>SUMIFS($AU$3:AU754,$AA$3:AA754,"*",$AB$3:AB754,"*")</f>
        <v>8011.9999999997544</v>
      </c>
      <c r="BV753" s="87">
        <f>SUMIFS($AU$3:AU754,$AA$3:AA754,"*",$AC$3:AC754,"*")</f>
        <v>28153.636363636531</v>
      </c>
      <c r="BW753" s="87">
        <f>SUMIFS($AU$3:AU754,$AB$3:AB754,"*",$AC$3:AC754,"*")</f>
        <v>9360</v>
      </c>
      <c r="BX753" s="87">
        <f>SUMIFS($AV$3:AV754,$Q$3:Q754,"F")</f>
        <v>462.72914667325267</v>
      </c>
      <c r="BY753" s="87">
        <f>SUMIFS($AV$3:AV754,$Q$3:Q754,"S")</f>
        <v>738.32562762001328</v>
      </c>
      <c r="BZ753" s="87">
        <f>SUMIFS($AV$3:AV754,$Q$3:Q754,"O")</f>
        <v>471.55929999966099</v>
      </c>
    </row>
    <row r="754" spans="1:78" ht="15.75" customHeight="1">
      <c r="A754" s="45" t="s">
        <v>2311</v>
      </c>
      <c r="B754" s="59"/>
      <c r="C754" s="46"/>
      <c r="D754" s="46"/>
      <c r="E754" s="66"/>
      <c r="F754" s="47"/>
      <c r="G754" s="48"/>
      <c r="H754" s="49"/>
      <c r="I754" s="49"/>
      <c r="J754" s="49"/>
      <c r="K754" s="50"/>
      <c r="L754" s="49"/>
      <c r="M754" s="49"/>
      <c r="N754" s="49"/>
      <c r="O754" s="50"/>
      <c r="P754" s="50"/>
      <c r="Q754" s="50"/>
      <c r="R754" s="50"/>
      <c r="S754" s="50"/>
      <c r="T754" s="50"/>
      <c r="U754" s="50"/>
      <c r="V754" s="50"/>
      <c r="W754" s="50"/>
      <c r="X754" s="50"/>
      <c r="Y754" s="50"/>
      <c r="Z754" s="50"/>
      <c r="AA754" s="52"/>
      <c r="AB754" s="52"/>
      <c r="AC754" s="52"/>
      <c r="AD754" s="231"/>
      <c r="AE754" s="49"/>
      <c r="AF754" s="84"/>
      <c r="AG754" s="49"/>
      <c r="AH754" s="49"/>
      <c r="AI754" s="49"/>
      <c r="AJ754" s="226"/>
      <c r="AK754" s="49"/>
      <c r="AL754" s="113">
        <f t="shared" si="315"/>
        <v>0</v>
      </c>
      <c r="AM754" s="113">
        <f t="shared" si="312"/>
        <v>0</v>
      </c>
      <c r="AN754" s="218"/>
      <c r="AO754" s="49"/>
      <c r="AP754" s="49"/>
      <c r="AQ754" s="84" t="str">
        <f>UPPER(RIGHT(Journal_Live[[#This Row],[DURATION ]]))</f>
        <v/>
      </c>
      <c r="AR754" s="49"/>
      <c r="AS754" s="55"/>
      <c r="AT754" s="55"/>
      <c r="AU754" s="54"/>
      <c r="AV754" s="56"/>
      <c r="AW754" s="57"/>
      <c r="AX754" s="153" t="s">
        <v>2348</v>
      </c>
      <c r="AY754" s="153"/>
      <c r="AZ754" s="153"/>
      <c r="BA754" s="153"/>
      <c r="BB754" s="153"/>
      <c r="BC754" s="153"/>
      <c r="BD754" s="151"/>
      <c r="BE754" s="152"/>
      <c r="BF754" s="151"/>
      <c r="BG754" s="94">
        <f>SUM($AV$4:AV754)</f>
        <v>4820.6140742929338</v>
      </c>
      <c r="BH754" s="95">
        <f>SUM($AU$4:AU754)</f>
        <v>50214.63922077918</v>
      </c>
      <c r="BI754" s="80">
        <f>SUMIFS($AU$3:AU770,$Q$3:Q770,"F")</f>
        <v>32973.293506493508</v>
      </c>
      <c r="BJ754" s="80">
        <f>SUMIFS($AU$3:AU770,$Q$3:Q770,"S")</f>
        <v>21202.285714285714</v>
      </c>
      <c r="BK754" s="87">
        <f>SUMIFS($AU$3:AU770,$P$3:P770,"W")</f>
        <v>32776.759220779561</v>
      </c>
      <c r="BL754" s="87">
        <f>SUMIFS($AU$3:AU770,$P$3:P770,"R")</f>
        <v>15726.00000000016</v>
      </c>
      <c r="BM754" s="87">
        <f>SUMIFS($AU$3:AU770,$AQ$3:AQ770,"M")</f>
        <v>12131.179999998967</v>
      </c>
      <c r="BN754" s="87">
        <f>SUMIFS($AU$3:AU770,$AQ$3:AQ770,"H")</f>
        <v>14523.200000000877</v>
      </c>
      <c r="BO754" s="87">
        <f>SUMIFS($AU$3:AU770,$AQ$3:AQ770,"D")</f>
        <v>8014.9928571427408</v>
      </c>
      <c r="BP754" s="87">
        <f>SUMIFS($AS$3:AS1309,$AO$3:AO1309,"W")</f>
        <v>0</v>
      </c>
      <c r="BQ754" s="87">
        <f>SUMIFS($AU$3:AU770,$Q$3:Q770,"O")</f>
        <v>-5384.9400000000251</v>
      </c>
      <c r="BR754" s="87">
        <f>SUMIFS($AU$3:AU770,$AA$3:AA770,"*")</f>
        <v>38275.122077921827</v>
      </c>
      <c r="BS754" s="87">
        <f>SUMIFS($AU$3:AU770,$AB$3:AB770,"*")</f>
        <v>12971.859999999973</v>
      </c>
      <c r="BT754" s="87">
        <f>SUMIFS($AU$3:AU770,$AC$3:AC770,"*")</f>
        <v>41373.293506493676</v>
      </c>
      <c r="BU754" s="87">
        <f>SUMIFS($AU$3:AU770,$AA$3:AA770,"*",$AB$3:AB770,"*")</f>
        <v>8011.9999999997544</v>
      </c>
      <c r="BV754" s="87">
        <f>SUMIFS($AU$3:AU770,$AA$3:AA770,"*",$AC$3:AC770,"*")</f>
        <v>29353.636363636531</v>
      </c>
      <c r="BW754" s="87">
        <f>SUMIFS($AU$3:AU770,$AB$3:AB770,"*",$AC$3:AC770,"*")</f>
        <v>9360</v>
      </c>
      <c r="BX754" s="87">
        <f>SUMIFS($AV$3:AV770,$Q$3:Q770,"F")</f>
        <v>462.72914667325267</v>
      </c>
      <c r="BY754" s="87">
        <f>SUMIFS($AV$3:AV770,$Q$3:Q770,"S")</f>
        <v>754.32562762001328</v>
      </c>
      <c r="BZ754" s="87">
        <f>SUMIFS($AV$3:AV770,$Q$3:Q770,"O")</f>
        <v>471.55929999966099</v>
      </c>
    </row>
    <row r="755" spans="1:78" ht="15.75" customHeight="1">
      <c r="A755" s="45" t="s">
        <v>2311</v>
      </c>
      <c r="B755" s="59"/>
      <c r="C755" s="46"/>
      <c r="D755" s="46"/>
      <c r="E755" s="66"/>
      <c r="F755" s="47"/>
      <c r="G755" s="48"/>
      <c r="H755" s="49"/>
      <c r="I755" s="49"/>
      <c r="J755" s="49"/>
      <c r="K755" s="50"/>
      <c r="L755" s="49"/>
      <c r="M755" s="49"/>
      <c r="N755" s="49"/>
      <c r="O755" s="50"/>
      <c r="P755" s="50"/>
      <c r="Q755" s="50"/>
      <c r="R755" s="50"/>
      <c r="S755" s="50"/>
      <c r="T755" s="50"/>
      <c r="U755" s="50"/>
      <c r="V755" s="50"/>
      <c r="W755" s="50"/>
      <c r="X755" s="50"/>
      <c r="Y755" s="50"/>
      <c r="Z755" s="50"/>
      <c r="AA755" s="52"/>
      <c r="AB755" s="52"/>
      <c r="AC755" s="52"/>
      <c r="AD755" s="231"/>
      <c r="AE755" s="49"/>
      <c r="AF755" s="84"/>
      <c r="AG755" s="49"/>
      <c r="AH755" s="49"/>
      <c r="AI755" s="49"/>
      <c r="AJ755" s="226"/>
      <c r="AK755" s="49"/>
      <c r="AL755" s="113">
        <f t="shared" ref="AL755:AL764" si="316">-0.02*Z755</f>
        <v>0</v>
      </c>
      <c r="AM755" s="113">
        <f t="shared" si="312"/>
        <v>0</v>
      </c>
      <c r="AN755" s="218"/>
      <c r="AO755" s="49"/>
      <c r="AP755" s="49"/>
      <c r="AQ755" s="84" t="str">
        <f>UPPER(RIGHT(Journal_Live[[#This Row],[DURATION ]]))</f>
        <v/>
      </c>
      <c r="AR755" s="49"/>
      <c r="AS755" s="55"/>
      <c r="AT755" s="55"/>
      <c r="AU755" s="54"/>
      <c r="AV755" s="56"/>
      <c r="AW755" s="57"/>
      <c r="AX755" s="153" t="s">
        <v>2349</v>
      </c>
      <c r="AY755" s="153" t="s">
        <v>2350</v>
      </c>
      <c r="AZ755" s="153"/>
      <c r="BA755" s="153"/>
      <c r="BB755" s="153"/>
      <c r="BC755" s="153"/>
      <c r="BD755" s="151"/>
      <c r="BE755" s="152"/>
      <c r="BF755" s="151"/>
      <c r="BG755" s="94">
        <f>SUM($AV$4:AV755)</f>
        <v>4820.6140742929338</v>
      </c>
      <c r="BH755" s="95">
        <f>SUM($AU$4:AU755)</f>
        <v>50214.63922077918</v>
      </c>
      <c r="BI755" s="80">
        <f>SUMIFS($AU$3:AU756,$Q$3:Q756,"F")</f>
        <v>32973.293506493508</v>
      </c>
      <c r="BJ755" s="80">
        <f>SUMIFS($AU$3:AU756,$Q$3:Q756,"S")</f>
        <v>20002.285714285714</v>
      </c>
      <c r="BK755" s="87">
        <f>SUMIFS($AU$3:AU756,$P$3:P756,"W")</f>
        <v>31576.759220779561</v>
      </c>
      <c r="BL755" s="87">
        <f>SUMIFS($AU$3:AU756,$P$3:P756,"R")</f>
        <v>15726.00000000016</v>
      </c>
      <c r="BM755" s="87">
        <f>SUMIFS($AU$3:AU756,$AQ$3:AQ756,"M")</f>
        <v>10931.179999998967</v>
      </c>
      <c r="BN755" s="87">
        <f>SUMIFS($AU$3:AU756,$AQ$3:AQ756,"H")</f>
        <v>14523.200000000877</v>
      </c>
      <c r="BO755" s="87">
        <f>SUMIFS($AU$3:AU756,$AQ$3:AQ756,"D")</f>
        <v>8014.9928571427408</v>
      </c>
      <c r="BP755" s="87">
        <f>SUMIFS($AS$3:AS1295,$AO$3:AO1295,"W")</f>
        <v>0</v>
      </c>
      <c r="BQ755" s="87">
        <f>SUMIFS($AU$3:AU756,$Q$3:Q756,"O")</f>
        <v>-5384.9400000000251</v>
      </c>
      <c r="BR755" s="87">
        <f>SUMIFS($AU$3:AU756,$AA$3:AA756,"*")</f>
        <v>37075.122077921827</v>
      </c>
      <c r="BS755" s="87">
        <f>SUMIFS($AU$3:AU756,$AB$3:AB756,"*")</f>
        <v>12971.859999999973</v>
      </c>
      <c r="BT755" s="87">
        <f>SUMIFS($AU$3:AU756,$AC$3:AC756,"*")</f>
        <v>40173.293506493676</v>
      </c>
      <c r="BU755" s="87">
        <f>SUMIFS($AU$3:AU756,$AA$3:AA756,"*",$AB$3:AB756,"*")</f>
        <v>8011.9999999997544</v>
      </c>
      <c r="BV755" s="87">
        <f>SUMIFS($AU$3:AU756,$AA$3:AA756,"*",$AC$3:AC756,"*")</f>
        <v>28153.636363636531</v>
      </c>
      <c r="BW755" s="87">
        <f>SUMIFS($AU$3:AU756,$AB$3:AB756,"*",$AC$3:AC756,"*")</f>
        <v>9360</v>
      </c>
      <c r="BX755" s="87">
        <f>SUMIFS($AV$3:AV756,$Q$3:Q756,"F")</f>
        <v>462.72914667325267</v>
      </c>
      <c r="BY755" s="87">
        <f>SUMIFS($AV$3:AV756,$Q$3:Q756,"S")</f>
        <v>738.32562762001328</v>
      </c>
      <c r="BZ755" s="87">
        <f>SUMIFS($AV$3:AV756,$Q$3:Q756,"O")</f>
        <v>471.55929999966099</v>
      </c>
    </row>
    <row r="756" spans="1:78" ht="15.75" customHeight="1">
      <c r="A756" s="45" t="s">
        <v>2311</v>
      </c>
      <c r="B756" s="59">
        <v>45446</v>
      </c>
      <c r="C756" s="46" t="s">
        <v>2110</v>
      </c>
      <c r="D756" s="46" t="s">
        <v>176</v>
      </c>
      <c r="E756" s="66"/>
      <c r="F756" s="47"/>
      <c r="G756" s="104" t="s">
        <v>181</v>
      </c>
      <c r="H756" s="49"/>
      <c r="I756" s="49"/>
      <c r="J756" s="49"/>
      <c r="K756" s="50"/>
      <c r="L756" s="49"/>
      <c r="M756" s="49">
        <v>2</v>
      </c>
      <c r="N756" s="49"/>
      <c r="O756" s="50" t="s">
        <v>100</v>
      </c>
      <c r="P756" s="50" t="s">
        <v>101</v>
      </c>
      <c r="Q756" s="50" t="s">
        <v>102</v>
      </c>
      <c r="R756" s="50">
        <v>60</v>
      </c>
      <c r="S756" s="50">
        <v>0</v>
      </c>
      <c r="T756" s="50">
        <v>30</v>
      </c>
      <c r="U756" s="50" t="s">
        <v>22</v>
      </c>
      <c r="V756" s="50"/>
      <c r="W756" s="50"/>
      <c r="X756" s="50"/>
      <c r="Y756" s="51">
        <f>IF(ISBLANK(O756),"",(IF(O756=UPPER("IB"),0.005,0.01)))</f>
        <v>0.01</v>
      </c>
      <c r="Z756" s="52">
        <f>IF(ISBLANK(O756),"",IF(O756="IB",8.63*200,IF(O756="IR",16*100,IF(O756="YT",20*100,IF(O756="YT-XT",24*200,IF(O756="TED",80*100,IF(O756="IR|YT",300*100)))))))</f>
        <v>1600</v>
      </c>
      <c r="AA756" s="52" t="s">
        <v>925</v>
      </c>
      <c r="AB756" s="52"/>
      <c r="AC756" s="52" t="s">
        <v>2351</v>
      </c>
      <c r="AD756" s="231">
        <v>-7.0000000000000007E-2</v>
      </c>
      <c r="AE756" s="49"/>
      <c r="AF756" s="84"/>
      <c r="AG756" s="49"/>
      <c r="AH756" s="49"/>
      <c r="AI756" s="49"/>
      <c r="AJ756" s="226" t="s">
        <v>2352</v>
      </c>
      <c r="AK756" s="49"/>
      <c r="AL756" s="113">
        <f t="shared" si="316"/>
        <v>-32</v>
      </c>
      <c r="AM756" s="113">
        <f t="shared" si="312"/>
        <v>-1920</v>
      </c>
      <c r="AN756" s="218"/>
      <c r="AO756" s="49"/>
      <c r="AP756" s="49" t="s">
        <v>279</v>
      </c>
      <c r="AQ756" s="84" t="s">
        <v>155</v>
      </c>
      <c r="AR756" s="49" t="s">
        <v>2353</v>
      </c>
      <c r="AS756" s="55">
        <v>-7.0000000000000007E-2</v>
      </c>
      <c r="AT756" s="55">
        <f>IF(ISBLANK(AS756),,IF(U756="S",AD756-AS756,AS756-AD756))</f>
        <v>0</v>
      </c>
      <c r="AU756" s="54">
        <f>AV756*R756</f>
        <v>0</v>
      </c>
      <c r="AV756" s="56">
        <f t="shared" ref="AV756:AV763" si="317">IF(ISBLANK(AS756),,(AT756*Z756))</f>
        <v>0</v>
      </c>
      <c r="AW756" s="57" t="s">
        <v>155</v>
      </c>
      <c r="AX756" s="153" t="s">
        <v>2354</v>
      </c>
      <c r="AY756" s="153"/>
      <c r="AZ756" s="153"/>
      <c r="BA756" s="153"/>
      <c r="BB756" s="153"/>
      <c r="BC756" s="153"/>
      <c r="BD756" s="151"/>
      <c r="BE756" s="152"/>
      <c r="BF756" s="151"/>
      <c r="BG756" s="94">
        <f>SUM($AV$4:AV756)</f>
        <v>4820.6140742929338</v>
      </c>
      <c r="BH756" s="95">
        <f>SUM($AU$4:AU756)</f>
        <v>50214.63922077918</v>
      </c>
      <c r="BI756" s="80">
        <f>SUMIFS($AU$3:AU757,$Q$3:Q757,"F")</f>
        <v>32973.293506493508</v>
      </c>
      <c r="BJ756" s="80">
        <f>SUMIFS($AU$3:AU757,$Q$3:Q757,"S")</f>
        <v>20002.285714285714</v>
      </c>
      <c r="BK756" s="87">
        <f>SUMIFS($AU$3:AU757,$P$3:P757,"W")</f>
        <v>31576.759220779561</v>
      </c>
      <c r="BL756" s="87">
        <f>SUMIFS($AU$3:AU757,$P$3:P757,"R")</f>
        <v>15726.00000000016</v>
      </c>
      <c r="BM756" s="87">
        <f>SUMIFS($AU$3:AU757,$AQ$3:AQ757,"M")</f>
        <v>10931.179999998967</v>
      </c>
      <c r="BN756" s="87">
        <f>SUMIFS($AU$3:AU757,$AQ$3:AQ757,"H")</f>
        <v>14523.200000000877</v>
      </c>
      <c r="BO756" s="87">
        <f>SUMIFS($AU$3:AU757,$AQ$3:AQ757,"D")</f>
        <v>8014.9928571427408</v>
      </c>
      <c r="BP756" s="87">
        <f>SUMIFS($AS$3:AS1296,$AO$3:AO1296,"W")</f>
        <v>0</v>
      </c>
      <c r="BQ756" s="87">
        <f>SUMIFS($AU$3:AU757,$Q$3:Q757,"O")</f>
        <v>-5384.9400000000251</v>
      </c>
      <c r="BR756" s="87">
        <f>SUMIFS($AU$3:AU757,$AA$3:AA757,"*")</f>
        <v>37075.122077921827</v>
      </c>
      <c r="BS756" s="87">
        <f>SUMIFS($AU$3:AU757,$AB$3:AB757,"*")</f>
        <v>12971.859999999973</v>
      </c>
      <c r="BT756" s="87">
        <f>SUMIFS($AU$3:AU757,$AC$3:AC757,"*")</f>
        <v>40173.293506493676</v>
      </c>
      <c r="BU756" s="87">
        <f>SUMIFS($AU$3:AU757,$AA$3:AA757,"*",$AB$3:AB757,"*")</f>
        <v>8011.9999999997544</v>
      </c>
      <c r="BV756" s="87">
        <f>SUMIFS($AU$3:AU757,$AA$3:AA757,"*",$AC$3:AC757,"*")</f>
        <v>28153.636363636531</v>
      </c>
      <c r="BW756" s="87">
        <f>SUMIFS($AU$3:AU757,$AB$3:AB757,"*",$AC$3:AC757,"*")</f>
        <v>9360</v>
      </c>
      <c r="BX756" s="87">
        <f>SUMIFS($AV$3:AV757,$Q$3:Q757,"F")</f>
        <v>462.72914667325267</v>
      </c>
      <c r="BY756" s="87">
        <f>SUMIFS($AV$3:AV757,$Q$3:Q757,"S")</f>
        <v>738.32562762001328</v>
      </c>
      <c r="BZ756" s="87">
        <f>SUMIFS($AV$3:AV757,$Q$3:Q757,"O")</f>
        <v>471.55929999966099</v>
      </c>
    </row>
    <row r="757" spans="1:78" ht="15.75" customHeight="1">
      <c r="A757" s="45" t="s">
        <v>2311</v>
      </c>
      <c r="B757" s="59">
        <v>45446</v>
      </c>
      <c r="C757" s="46" t="s">
        <v>2355</v>
      </c>
      <c r="D757" s="46" t="s">
        <v>176</v>
      </c>
      <c r="E757" s="66"/>
      <c r="F757" s="47"/>
      <c r="G757" s="48" t="s">
        <v>113</v>
      </c>
      <c r="H757" s="49"/>
      <c r="I757" s="49"/>
      <c r="J757" s="49"/>
      <c r="K757" s="50"/>
      <c r="L757" s="49"/>
      <c r="M757" s="49"/>
      <c r="N757" s="49"/>
      <c r="O757" s="50"/>
      <c r="P757" s="50"/>
      <c r="Q757" s="50"/>
      <c r="R757" s="50"/>
      <c r="S757" s="50"/>
      <c r="T757" s="50"/>
      <c r="U757" s="50"/>
      <c r="V757" s="50"/>
      <c r="W757" s="50"/>
      <c r="X757" s="50"/>
      <c r="Y757" s="51"/>
      <c r="Z757" s="52"/>
      <c r="AA757" s="52"/>
      <c r="AB757" s="52"/>
      <c r="AC757" s="52"/>
      <c r="AD757" s="231"/>
      <c r="AE757" s="49"/>
      <c r="AF757" s="84"/>
      <c r="AG757" s="49"/>
      <c r="AH757" s="49"/>
      <c r="AI757" s="49"/>
      <c r="AJ757" s="226"/>
      <c r="AK757" s="49"/>
      <c r="AL757" s="113">
        <f t="shared" si="316"/>
        <v>0</v>
      </c>
      <c r="AM757" s="113">
        <f t="shared" si="312"/>
        <v>0</v>
      </c>
      <c r="AN757" s="218"/>
      <c r="AO757" s="49"/>
      <c r="AP757" s="49"/>
      <c r="AQ757" s="84" t="str">
        <f>UPPER(RIGHT(Journal_Live[[#This Row],[DURATION ]]))</f>
        <v/>
      </c>
      <c r="AR757" s="49"/>
      <c r="AS757" s="55"/>
      <c r="AT757" s="55"/>
      <c r="AU757" s="54"/>
      <c r="AV757" s="56"/>
      <c r="AW757" s="57"/>
      <c r="AX757" s="153" t="s">
        <v>2356</v>
      </c>
      <c r="AY757" s="153"/>
      <c r="AZ757" s="153"/>
      <c r="BA757" s="153"/>
      <c r="BB757" s="153"/>
      <c r="BC757" s="153"/>
      <c r="BD757" s="151"/>
      <c r="BE757" s="152"/>
      <c r="BF757" s="151"/>
      <c r="BG757" s="94">
        <f>SUM($AV$4:AV757)</f>
        <v>4820.6140742929338</v>
      </c>
      <c r="BH757" s="95">
        <f>SUM($AU$4:AU757)</f>
        <v>50214.63922077918</v>
      </c>
      <c r="BI757" s="80">
        <f>SUMIFS($AU$3:AU758,$Q$3:Q758,"F")</f>
        <v>32973.293506493508</v>
      </c>
      <c r="BJ757" s="80">
        <f>SUMIFS($AU$3:AU758,$Q$3:Q758,"S")</f>
        <v>20002.285714285714</v>
      </c>
      <c r="BK757" s="87">
        <f>SUMIFS($AU$3:AU758,$P$3:P758,"W")</f>
        <v>31576.759220779561</v>
      </c>
      <c r="BL757" s="87">
        <f>SUMIFS($AU$3:AU758,$P$3:P758,"R")</f>
        <v>15726.00000000016</v>
      </c>
      <c r="BM757" s="87">
        <f>SUMIFS($AU$3:AU758,$AQ$3:AQ758,"M")</f>
        <v>10931.179999998967</v>
      </c>
      <c r="BN757" s="87">
        <f>SUMIFS($AU$3:AU758,$AQ$3:AQ758,"H")</f>
        <v>14523.200000000877</v>
      </c>
      <c r="BO757" s="87">
        <f>SUMIFS($AU$3:AU758,$AQ$3:AQ758,"D")</f>
        <v>8014.9928571427408</v>
      </c>
      <c r="BP757" s="87">
        <f>SUMIFS($AS$3:AS1297,$AO$3:AO1297,"W")</f>
        <v>0</v>
      </c>
      <c r="BQ757" s="87">
        <f>SUMIFS($AU$3:AU758,$Q$3:Q758,"O")</f>
        <v>-5384.9400000000251</v>
      </c>
      <c r="BR757" s="87">
        <f>SUMIFS($AU$3:AU758,$AA$3:AA758,"*")</f>
        <v>37075.122077921827</v>
      </c>
      <c r="BS757" s="87">
        <f>SUMIFS($AU$3:AU758,$AB$3:AB758,"*")</f>
        <v>12971.859999999973</v>
      </c>
      <c r="BT757" s="87">
        <f>SUMIFS($AU$3:AU758,$AC$3:AC758,"*")</f>
        <v>40173.293506493676</v>
      </c>
      <c r="BU757" s="87">
        <f>SUMIFS($AU$3:AU758,$AA$3:AA758,"*",$AB$3:AB758,"*")</f>
        <v>8011.9999999997544</v>
      </c>
      <c r="BV757" s="87">
        <f>SUMIFS($AU$3:AU758,$AA$3:AA758,"*",$AC$3:AC758,"*")</f>
        <v>28153.636363636531</v>
      </c>
      <c r="BW757" s="87">
        <f>SUMIFS($AU$3:AU758,$AB$3:AB758,"*",$AC$3:AC758,"*")</f>
        <v>9360</v>
      </c>
      <c r="BX757" s="87">
        <f>SUMIFS($AV$3:AV758,$Q$3:Q758,"F")</f>
        <v>462.72914667325267</v>
      </c>
      <c r="BY757" s="87">
        <f>SUMIFS($AV$3:AV758,$Q$3:Q758,"S")</f>
        <v>738.32562762001328</v>
      </c>
      <c r="BZ757" s="87">
        <f>SUMIFS($AV$3:AV758,$Q$3:Q758,"O")</f>
        <v>471.55929999966099</v>
      </c>
    </row>
    <row r="758" spans="1:78" ht="15.75" customHeight="1">
      <c r="A758" s="45" t="s">
        <v>2311</v>
      </c>
      <c r="B758" s="59">
        <v>45446</v>
      </c>
      <c r="C758" s="46" t="s">
        <v>1928</v>
      </c>
      <c r="D758" s="46" t="s">
        <v>176</v>
      </c>
      <c r="E758" s="66"/>
      <c r="F758" s="47"/>
      <c r="G758" s="48" t="s">
        <v>2357</v>
      </c>
      <c r="H758" s="49"/>
      <c r="I758" s="49"/>
      <c r="J758" s="49"/>
      <c r="K758" s="50"/>
      <c r="L758" s="49"/>
      <c r="M758" s="49"/>
      <c r="N758" s="49"/>
      <c r="O758" s="50"/>
      <c r="P758" s="50"/>
      <c r="Q758" s="50"/>
      <c r="R758" s="50"/>
      <c r="S758" s="50"/>
      <c r="T758" s="50"/>
      <c r="U758" s="50"/>
      <c r="V758" s="50"/>
      <c r="W758" s="50"/>
      <c r="X758" s="50"/>
      <c r="Y758" s="51"/>
      <c r="Z758" s="52"/>
      <c r="AA758" s="52"/>
      <c r="AB758" s="52"/>
      <c r="AC758" s="52"/>
      <c r="AD758" s="231"/>
      <c r="AE758" s="49"/>
      <c r="AF758" s="84"/>
      <c r="AG758" s="49"/>
      <c r="AH758" s="49"/>
      <c r="AI758" s="49"/>
      <c r="AJ758" s="226"/>
      <c r="AK758" s="49"/>
      <c r="AL758" s="113">
        <f t="shared" si="316"/>
        <v>0</v>
      </c>
      <c r="AM758" s="113">
        <f t="shared" si="312"/>
        <v>0</v>
      </c>
      <c r="AN758" s="218"/>
      <c r="AO758" s="49"/>
      <c r="AP758" s="49"/>
      <c r="AQ758" s="84" t="str">
        <f>UPPER(RIGHT(Journal_Live[[#This Row],[DURATION ]]))</f>
        <v/>
      </c>
      <c r="AR758" s="49"/>
      <c r="AS758" s="55"/>
      <c r="AT758" s="55"/>
      <c r="AU758" s="54"/>
      <c r="AV758" s="56"/>
      <c r="AW758" s="57"/>
      <c r="AX758" s="153" t="s">
        <v>2358</v>
      </c>
      <c r="AY758" s="153" t="s">
        <v>2359</v>
      </c>
      <c r="AZ758" s="153"/>
      <c r="BA758" s="153"/>
      <c r="BB758" s="153"/>
      <c r="BC758" s="153"/>
      <c r="BD758" s="151"/>
      <c r="BE758" s="152"/>
      <c r="BF758" s="151"/>
      <c r="BG758" s="94">
        <f>SUM($AV$4:AV758)</f>
        <v>4820.6140742929338</v>
      </c>
      <c r="BH758" s="95">
        <f>SUM($AU$4:AU758)</f>
        <v>50214.63922077918</v>
      </c>
      <c r="BI758" s="80">
        <f>SUMIFS($AU$3:AU759,$Q$3:Q759,"F")</f>
        <v>32973.293506493508</v>
      </c>
      <c r="BJ758" s="80">
        <f>SUMIFS($AU$3:AU759,$Q$3:Q759,"S")</f>
        <v>20002.285714285714</v>
      </c>
      <c r="BK758" s="87">
        <f>SUMIFS($AU$3:AU759,$P$3:P759,"W")</f>
        <v>31576.759220779561</v>
      </c>
      <c r="BL758" s="87">
        <f>SUMIFS($AU$3:AU759,$P$3:P759,"R")</f>
        <v>15726.00000000016</v>
      </c>
      <c r="BM758" s="87">
        <f>SUMIFS($AU$3:AU759,$AQ$3:AQ759,"M")</f>
        <v>10931.179999998967</v>
      </c>
      <c r="BN758" s="87">
        <f>SUMIFS($AU$3:AU759,$AQ$3:AQ759,"H")</f>
        <v>14523.200000000877</v>
      </c>
      <c r="BO758" s="87">
        <f>SUMIFS($AU$3:AU759,$AQ$3:AQ759,"D")</f>
        <v>8014.9928571427408</v>
      </c>
      <c r="BP758" s="87">
        <f>SUMIFS($AS$3:AS1298,$AO$3:AO1298,"W")</f>
        <v>0</v>
      </c>
      <c r="BQ758" s="87">
        <f>SUMIFS($AU$3:AU759,$Q$3:Q759,"O")</f>
        <v>-5384.9400000000251</v>
      </c>
      <c r="BR758" s="87">
        <f>SUMIFS($AU$3:AU759,$AA$3:AA759,"*")</f>
        <v>37075.122077921827</v>
      </c>
      <c r="BS758" s="87">
        <f>SUMIFS($AU$3:AU759,$AB$3:AB759,"*")</f>
        <v>12971.859999999973</v>
      </c>
      <c r="BT758" s="87">
        <f>SUMIFS($AU$3:AU759,$AC$3:AC759,"*")</f>
        <v>40173.293506493676</v>
      </c>
      <c r="BU758" s="87">
        <f>SUMIFS($AU$3:AU759,$AA$3:AA759,"*",$AB$3:AB759,"*")</f>
        <v>8011.9999999997544</v>
      </c>
      <c r="BV758" s="87">
        <f>SUMIFS($AU$3:AU759,$AA$3:AA759,"*",$AC$3:AC759,"*")</f>
        <v>28153.636363636531</v>
      </c>
      <c r="BW758" s="87">
        <f>SUMIFS($AU$3:AU759,$AB$3:AB759,"*",$AC$3:AC759,"*")</f>
        <v>9360</v>
      </c>
      <c r="BX758" s="87">
        <f>SUMIFS($AV$3:AV759,$Q$3:Q759,"F")</f>
        <v>462.72914667325267</v>
      </c>
      <c r="BY758" s="87">
        <f>SUMIFS($AV$3:AV759,$Q$3:Q759,"S")</f>
        <v>738.32562762001328</v>
      </c>
      <c r="BZ758" s="87">
        <f>SUMIFS($AV$3:AV759,$Q$3:Q759,"O")</f>
        <v>471.55929999966099</v>
      </c>
    </row>
    <row r="759" spans="1:78" ht="15.75" customHeight="1">
      <c r="A759" s="45" t="s">
        <v>2311</v>
      </c>
      <c r="B759" s="59">
        <v>45446</v>
      </c>
      <c r="C759" s="46" t="s">
        <v>1160</v>
      </c>
      <c r="D759" s="46" t="s">
        <v>176</v>
      </c>
      <c r="E759" s="66" t="s">
        <v>2360</v>
      </c>
      <c r="F759" s="47" t="s">
        <v>2361</v>
      </c>
      <c r="G759" s="48"/>
      <c r="H759" s="49"/>
      <c r="I759" s="49"/>
      <c r="J759" s="49">
        <v>1</v>
      </c>
      <c r="K759" s="50" t="s">
        <v>155</v>
      </c>
      <c r="L759" s="49"/>
      <c r="M759" s="49"/>
      <c r="N759" s="49"/>
      <c r="O759" s="50"/>
      <c r="P759" s="50"/>
      <c r="Q759" s="50"/>
      <c r="R759" s="50"/>
      <c r="S759" s="50"/>
      <c r="T759" s="50"/>
      <c r="U759" s="50"/>
      <c r="V759" s="50"/>
      <c r="W759" s="50"/>
      <c r="X759" s="50"/>
      <c r="Y759" s="51"/>
      <c r="Z759" s="52"/>
      <c r="AA759" s="52"/>
      <c r="AB759" s="52"/>
      <c r="AC759" s="52"/>
      <c r="AD759" s="231"/>
      <c r="AE759" s="49"/>
      <c r="AF759" s="84"/>
      <c r="AG759" s="49"/>
      <c r="AH759" s="49"/>
      <c r="AI759" s="49"/>
      <c r="AJ759" s="226"/>
      <c r="AK759" s="49"/>
      <c r="AL759" s="113">
        <f t="shared" si="316"/>
        <v>0</v>
      </c>
      <c r="AM759" s="113">
        <f t="shared" si="312"/>
        <v>0</v>
      </c>
      <c r="AN759" s="218"/>
      <c r="AO759" s="49"/>
      <c r="AP759" s="49"/>
      <c r="AQ759" s="84" t="str">
        <f>UPPER(RIGHT(Journal_Live[[#This Row],[DURATION ]]))</f>
        <v/>
      </c>
      <c r="AR759" s="49"/>
      <c r="AS759" s="55"/>
      <c r="AT759" s="55"/>
      <c r="AU759" s="54"/>
      <c r="AV759" s="56"/>
      <c r="AW759" s="57"/>
      <c r="AX759" s="153" t="s">
        <v>2362</v>
      </c>
      <c r="AY759" s="153" t="s">
        <v>2363</v>
      </c>
      <c r="AZ759" s="153" t="s">
        <v>2364</v>
      </c>
      <c r="BA759" s="153" t="s">
        <v>2365</v>
      </c>
      <c r="BB759" s="153" t="s">
        <v>2366</v>
      </c>
      <c r="BC759" s="153"/>
      <c r="BD759" s="151"/>
      <c r="BE759" s="152"/>
      <c r="BF759" s="151"/>
      <c r="BG759" s="94">
        <f>SUM($AV$4:AV759)</f>
        <v>4820.6140742929338</v>
      </c>
      <c r="BH759" s="95">
        <f>SUM($AU$4:AU759)</f>
        <v>50214.63922077918</v>
      </c>
      <c r="BI759" s="80">
        <f>SUMIFS($AU$3:AU760,$Q$3:Q760,"F")</f>
        <v>32973.293506493508</v>
      </c>
      <c r="BJ759" s="80">
        <f>SUMIFS($AU$3:AU760,$Q$3:Q760,"S")</f>
        <v>20002.285714285714</v>
      </c>
      <c r="BK759" s="87">
        <f>SUMIFS($AU$3:AU760,$P$3:P760,"W")</f>
        <v>31576.759220779561</v>
      </c>
      <c r="BL759" s="87">
        <f>SUMIFS($AU$3:AU760,$P$3:P760,"R")</f>
        <v>15726.00000000016</v>
      </c>
      <c r="BM759" s="87">
        <f>SUMIFS($AU$3:AU760,$AQ$3:AQ760,"M")</f>
        <v>10931.179999998967</v>
      </c>
      <c r="BN759" s="87">
        <f>SUMIFS($AU$3:AU760,$AQ$3:AQ760,"H")</f>
        <v>14523.200000000877</v>
      </c>
      <c r="BO759" s="87">
        <f>SUMIFS($AU$3:AU760,$AQ$3:AQ760,"D")</f>
        <v>8014.9928571427408</v>
      </c>
      <c r="BP759" s="87">
        <f>SUMIFS($AS$3:AS1299,$AO$3:AO1299,"W")</f>
        <v>0</v>
      </c>
      <c r="BQ759" s="87">
        <f>SUMIFS($AU$3:AU760,$Q$3:Q760,"O")</f>
        <v>-5384.9400000000251</v>
      </c>
      <c r="BR759" s="87">
        <f>SUMIFS($AU$3:AU760,$AA$3:AA760,"*")</f>
        <v>37075.122077921827</v>
      </c>
      <c r="BS759" s="87">
        <f>SUMIFS($AU$3:AU760,$AB$3:AB760,"*")</f>
        <v>12971.859999999973</v>
      </c>
      <c r="BT759" s="87">
        <f>SUMIFS($AU$3:AU760,$AC$3:AC760,"*")</f>
        <v>40173.293506493676</v>
      </c>
      <c r="BU759" s="87">
        <f>SUMIFS($AU$3:AU760,$AA$3:AA760,"*",$AB$3:AB760,"*")</f>
        <v>8011.9999999997544</v>
      </c>
      <c r="BV759" s="87">
        <f>SUMIFS($AU$3:AU760,$AA$3:AA760,"*",$AC$3:AC760,"*")</f>
        <v>28153.636363636531</v>
      </c>
      <c r="BW759" s="87">
        <f>SUMIFS($AU$3:AU760,$AB$3:AB760,"*",$AC$3:AC760,"*")</f>
        <v>9360</v>
      </c>
      <c r="BX759" s="87">
        <f>SUMIFS($AV$3:AV760,$Q$3:Q760,"F")</f>
        <v>462.72914667325267</v>
      </c>
      <c r="BY759" s="87">
        <f>SUMIFS($AV$3:AV760,$Q$3:Q760,"S")</f>
        <v>738.32562762001328</v>
      </c>
      <c r="BZ759" s="87">
        <f>SUMIFS($AV$3:AV760,$Q$3:Q760,"O")</f>
        <v>471.55929999966099</v>
      </c>
    </row>
    <row r="760" spans="1:78" ht="15.75" customHeight="1">
      <c r="A760" s="45" t="s">
        <v>2311</v>
      </c>
      <c r="B760" s="59">
        <v>45447</v>
      </c>
      <c r="C760" s="46" t="s">
        <v>888</v>
      </c>
      <c r="D760" s="46" t="s">
        <v>98</v>
      </c>
      <c r="E760" s="66" t="s">
        <v>2367</v>
      </c>
      <c r="F760" s="47"/>
      <c r="G760" s="48"/>
      <c r="H760" s="49"/>
      <c r="I760" s="49"/>
      <c r="J760" s="49"/>
      <c r="K760" s="50"/>
      <c r="L760" s="49"/>
      <c r="M760" s="49"/>
      <c r="N760" s="49"/>
      <c r="O760" s="50"/>
      <c r="P760" s="50"/>
      <c r="Q760" s="50"/>
      <c r="R760" s="50"/>
      <c r="S760" s="50"/>
      <c r="T760" s="50"/>
      <c r="U760" s="50"/>
      <c r="V760" s="50"/>
      <c r="W760" s="50"/>
      <c r="X760" s="50"/>
      <c r="Y760" s="51"/>
      <c r="Z760" s="52"/>
      <c r="AA760" s="52"/>
      <c r="AB760" s="52"/>
      <c r="AC760" s="52"/>
      <c r="AD760" s="231"/>
      <c r="AE760" s="49"/>
      <c r="AF760" s="84"/>
      <c r="AG760" s="49"/>
      <c r="AH760" s="49"/>
      <c r="AI760" s="49"/>
      <c r="AJ760" s="226"/>
      <c r="AK760" s="49"/>
      <c r="AL760" s="113">
        <f t="shared" si="316"/>
        <v>0</v>
      </c>
      <c r="AM760" s="113">
        <f t="shared" si="312"/>
        <v>0</v>
      </c>
      <c r="AN760" s="218"/>
      <c r="AO760" s="49"/>
      <c r="AP760" s="49"/>
      <c r="AQ760" s="84" t="str">
        <f>UPPER(RIGHT(Journal_Live[[#This Row],[DURATION ]]))</f>
        <v/>
      </c>
      <c r="AR760" s="49"/>
      <c r="AS760" s="55"/>
      <c r="AT760" s="55"/>
      <c r="AU760" s="54"/>
      <c r="AV760" s="56"/>
      <c r="AW760" s="57"/>
      <c r="AX760" s="153"/>
      <c r="AY760" s="153"/>
      <c r="AZ760" s="153"/>
      <c r="BA760" s="153"/>
      <c r="BB760" s="153"/>
      <c r="BC760" s="153"/>
      <c r="BD760" s="151"/>
      <c r="BE760" s="152"/>
      <c r="BF760" s="151"/>
      <c r="BG760" s="94">
        <f>SUM($AV$4:AV760)</f>
        <v>4820.6140742929338</v>
      </c>
      <c r="BH760" s="95">
        <f>SUM($AU$4:AU760)</f>
        <v>50214.63922077918</v>
      </c>
      <c r="BI760" s="80">
        <f>SUMIFS($AU$3:AU761,$Q$3:Q761,"F")</f>
        <v>32973.293506493508</v>
      </c>
      <c r="BJ760" s="80">
        <f>SUMIFS($AU$3:AU761,$Q$3:Q761,"S")</f>
        <v>20002.285714285714</v>
      </c>
      <c r="BK760" s="87">
        <f>SUMIFS($AU$3:AU761,$P$3:P761,"W")</f>
        <v>31576.759220779561</v>
      </c>
      <c r="BL760" s="87">
        <f>SUMIFS($AU$3:AU761,$P$3:P761,"R")</f>
        <v>15726.00000000016</v>
      </c>
      <c r="BM760" s="87">
        <f>SUMIFS($AU$3:AU761,$AQ$3:AQ761,"M")</f>
        <v>10931.179999998967</v>
      </c>
      <c r="BN760" s="87">
        <f>SUMIFS($AU$3:AU761,$AQ$3:AQ761,"H")</f>
        <v>14523.200000000877</v>
      </c>
      <c r="BO760" s="87">
        <f>SUMIFS($AU$3:AU761,$AQ$3:AQ761,"D")</f>
        <v>8014.9928571427408</v>
      </c>
      <c r="BP760" s="87">
        <f>SUMIFS($AS$3:AS1300,$AO$3:AO1300,"W")</f>
        <v>0</v>
      </c>
      <c r="BQ760" s="87">
        <f>SUMIFS($AU$3:AU761,$Q$3:Q761,"O")</f>
        <v>-5384.9400000000251</v>
      </c>
      <c r="BR760" s="87">
        <f>SUMIFS($AU$3:AU761,$AA$3:AA761,"*")</f>
        <v>37075.122077921827</v>
      </c>
      <c r="BS760" s="87">
        <f>SUMIFS($AU$3:AU761,$AB$3:AB761,"*")</f>
        <v>12971.859999999973</v>
      </c>
      <c r="BT760" s="87">
        <f>SUMIFS($AU$3:AU761,$AC$3:AC761,"*")</f>
        <v>40173.293506493676</v>
      </c>
      <c r="BU760" s="87">
        <f>SUMIFS($AU$3:AU761,$AA$3:AA761,"*",$AB$3:AB761,"*")</f>
        <v>8011.9999999997544</v>
      </c>
      <c r="BV760" s="87">
        <f>SUMIFS($AU$3:AU761,$AA$3:AA761,"*",$AC$3:AC761,"*")</f>
        <v>28153.636363636531</v>
      </c>
      <c r="BW760" s="87">
        <f>SUMIFS($AU$3:AU761,$AB$3:AB761,"*",$AC$3:AC761,"*")</f>
        <v>9360</v>
      </c>
      <c r="BX760" s="87">
        <f>SUMIFS($AV$3:AV761,$Q$3:Q761,"F")</f>
        <v>462.72914667325267</v>
      </c>
      <c r="BY760" s="87">
        <f>SUMIFS($AV$3:AV761,$Q$3:Q761,"S")</f>
        <v>738.32562762001328</v>
      </c>
      <c r="BZ760" s="87">
        <f>SUMIFS($AV$3:AV761,$Q$3:Q761,"O")</f>
        <v>471.55929999966099</v>
      </c>
    </row>
    <row r="761" spans="1:78" ht="15.75" customHeight="1">
      <c r="A761" s="45" t="s">
        <v>2311</v>
      </c>
      <c r="B761" s="59">
        <v>45447</v>
      </c>
      <c r="C761" s="46" t="s">
        <v>663</v>
      </c>
      <c r="D761" s="46" t="s">
        <v>98</v>
      </c>
      <c r="E761" s="66"/>
      <c r="F761" s="47"/>
      <c r="G761" s="48" t="s">
        <v>1918</v>
      </c>
      <c r="H761" s="49"/>
      <c r="I761" s="49"/>
      <c r="J761" s="49"/>
      <c r="K761" s="50"/>
      <c r="L761" s="49"/>
      <c r="M761" s="49"/>
      <c r="N761" s="49"/>
      <c r="O761" s="50"/>
      <c r="P761" s="50"/>
      <c r="Q761" s="50"/>
      <c r="R761" s="50"/>
      <c r="S761" s="50"/>
      <c r="T761" s="50"/>
      <c r="U761" s="50"/>
      <c r="V761" s="50"/>
      <c r="W761" s="50"/>
      <c r="X761" s="50"/>
      <c r="Y761" s="51"/>
      <c r="Z761" s="52"/>
      <c r="AA761" s="52"/>
      <c r="AB761" s="52"/>
      <c r="AC761" s="52"/>
      <c r="AD761" s="231"/>
      <c r="AE761" s="49"/>
      <c r="AF761" s="84"/>
      <c r="AG761" s="49"/>
      <c r="AH761" s="49"/>
      <c r="AI761" s="49"/>
      <c r="AJ761" s="226" t="s">
        <v>2368</v>
      </c>
      <c r="AK761" s="49"/>
      <c r="AL761" s="113">
        <f t="shared" si="316"/>
        <v>0</v>
      </c>
      <c r="AM761" s="113">
        <f t="shared" si="312"/>
        <v>0</v>
      </c>
      <c r="AN761" s="218"/>
      <c r="AO761" s="49"/>
      <c r="AP761" s="49"/>
      <c r="AQ761" s="84" t="str">
        <f>UPPER(RIGHT(Journal_Live[[#This Row],[DURATION ]]))</f>
        <v/>
      </c>
      <c r="AR761" s="49"/>
      <c r="AS761" s="55"/>
      <c r="AT761" s="55"/>
      <c r="AU761" s="54"/>
      <c r="AV761" s="56"/>
      <c r="AW761" s="57"/>
      <c r="AX761" s="52" t="s">
        <v>2369</v>
      </c>
      <c r="AY761" s="153" t="s">
        <v>2370</v>
      </c>
      <c r="AZ761" s="153" t="s">
        <v>2371</v>
      </c>
      <c r="BA761" s="153"/>
      <c r="BB761" s="153"/>
      <c r="BC761" s="153"/>
      <c r="BD761" s="151" t="s">
        <v>2372</v>
      </c>
      <c r="BE761" s="152"/>
      <c r="BF761" s="151"/>
      <c r="BG761" s="94">
        <f>SUM($AV$4:AV761)</f>
        <v>4820.6140742929338</v>
      </c>
      <c r="BH761" s="95">
        <f>SUM($AU$4:AU761)</f>
        <v>50214.63922077918</v>
      </c>
      <c r="BI761" s="80">
        <f>SUMIFS($AU$3:AU762,$Q$3:Q762,"F")</f>
        <v>32973.293506493508</v>
      </c>
      <c r="BJ761" s="80">
        <f>SUMIFS($AU$3:AU762,$Q$3:Q762,"S")</f>
        <v>20002.285714285714</v>
      </c>
      <c r="BK761" s="87">
        <f>SUMIFS($AU$3:AU762,$P$3:P762,"W")</f>
        <v>31576.759220779561</v>
      </c>
      <c r="BL761" s="87">
        <f>SUMIFS($AU$3:AU762,$P$3:P762,"R")</f>
        <v>15726.00000000016</v>
      </c>
      <c r="BM761" s="87">
        <f>SUMIFS($AU$3:AU762,$AQ$3:AQ762,"M")</f>
        <v>10931.179999998967</v>
      </c>
      <c r="BN761" s="87">
        <f>SUMIFS($AU$3:AU762,$AQ$3:AQ762,"H")</f>
        <v>14523.200000000877</v>
      </c>
      <c r="BO761" s="87">
        <f>SUMIFS($AU$3:AU762,$AQ$3:AQ762,"D")</f>
        <v>8014.9928571427408</v>
      </c>
      <c r="BP761" s="87">
        <f>SUMIFS($AS$3:AS1301,$AO$3:AO1301,"W")</f>
        <v>0</v>
      </c>
      <c r="BQ761" s="87">
        <f>SUMIFS($AU$3:AU762,$Q$3:Q762,"O")</f>
        <v>-5384.9400000000251</v>
      </c>
      <c r="BR761" s="87">
        <f>SUMIFS($AU$3:AU762,$AA$3:AA762,"*")</f>
        <v>37075.122077921827</v>
      </c>
      <c r="BS761" s="87">
        <f>SUMIFS($AU$3:AU762,$AB$3:AB762,"*")</f>
        <v>12971.859999999973</v>
      </c>
      <c r="BT761" s="87">
        <f>SUMIFS($AU$3:AU762,$AC$3:AC762,"*")</f>
        <v>40173.293506493676</v>
      </c>
      <c r="BU761" s="87">
        <f>SUMIFS($AU$3:AU762,$AA$3:AA762,"*",$AB$3:AB762,"*")</f>
        <v>8011.9999999997544</v>
      </c>
      <c r="BV761" s="87">
        <f>SUMIFS($AU$3:AU762,$AA$3:AA762,"*",$AC$3:AC762,"*")</f>
        <v>28153.636363636531</v>
      </c>
      <c r="BW761" s="87">
        <f>SUMIFS($AU$3:AU762,$AB$3:AB762,"*",$AC$3:AC762,"*")</f>
        <v>9360</v>
      </c>
      <c r="BX761" s="87">
        <f>SUMIFS($AV$3:AV762,$Q$3:Q762,"F")</f>
        <v>462.72914667325267</v>
      </c>
      <c r="BY761" s="87">
        <f>SUMIFS($AV$3:AV762,$Q$3:Q762,"S")</f>
        <v>738.32562762001328</v>
      </c>
      <c r="BZ761" s="87">
        <f>SUMIFS($AV$3:AV762,$Q$3:Q762,"O")</f>
        <v>471.55929999966099</v>
      </c>
    </row>
    <row r="762" spans="1:78" ht="15.75" customHeight="1">
      <c r="A762" s="45" t="s">
        <v>2311</v>
      </c>
      <c r="B762" s="59">
        <v>45447</v>
      </c>
      <c r="C762" s="46" t="s">
        <v>687</v>
      </c>
      <c r="D762" s="46" t="s">
        <v>98</v>
      </c>
      <c r="E762" s="66" t="s">
        <v>2373</v>
      </c>
      <c r="F762" s="47"/>
      <c r="G762" s="48"/>
      <c r="H762" s="49"/>
      <c r="I762" s="49"/>
      <c r="J762" s="49">
        <v>1</v>
      </c>
      <c r="K762" s="50" t="s">
        <v>155</v>
      </c>
      <c r="L762" s="49"/>
      <c r="M762" s="49"/>
      <c r="N762" s="49"/>
      <c r="O762" s="50"/>
      <c r="P762" s="50"/>
      <c r="Q762" s="50"/>
      <c r="R762" s="50"/>
      <c r="S762" s="50"/>
      <c r="T762" s="50"/>
      <c r="U762" s="50"/>
      <c r="V762" s="50"/>
      <c r="W762" s="50"/>
      <c r="X762" s="50"/>
      <c r="Y762" s="50"/>
      <c r="Z762" s="50"/>
      <c r="AA762" s="52"/>
      <c r="AB762" s="52"/>
      <c r="AC762" s="52"/>
      <c r="AD762" s="231"/>
      <c r="AE762" s="49"/>
      <c r="AF762" s="84"/>
      <c r="AG762" s="49"/>
      <c r="AH762" s="49"/>
      <c r="AI762" s="49"/>
      <c r="AJ762" s="226"/>
      <c r="AK762" s="49"/>
      <c r="AL762" s="113">
        <f t="shared" si="316"/>
        <v>0</v>
      </c>
      <c r="AM762" s="113">
        <f t="shared" si="312"/>
        <v>0</v>
      </c>
      <c r="AN762" s="218"/>
      <c r="AO762" s="49"/>
      <c r="AP762" s="49"/>
      <c r="AQ762" s="84" t="str">
        <f>UPPER(RIGHT(Journal_Live[[#This Row],[DURATION ]]))</f>
        <v/>
      </c>
      <c r="AR762" s="49"/>
      <c r="AS762" s="55"/>
      <c r="AT762" s="55"/>
      <c r="AU762" s="54"/>
      <c r="AV762" s="56"/>
      <c r="AW762" s="57"/>
      <c r="AX762" s="153" t="s">
        <v>2374</v>
      </c>
      <c r="AY762" s="153"/>
      <c r="AZ762" s="153"/>
      <c r="BA762" s="153"/>
      <c r="BB762" s="153"/>
      <c r="BC762" s="153"/>
      <c r="BD762" s="151"/>
      <c r="BE762" s="152"/>
      <c r="BF762" s="151"/>
      <c r="BG762" s="94">
        <f>SUM($AV$4:AV762)</f>
        <v>4820.6140742929338</v>
      </c>
      <c r="BH762" s="95">
        <f>SUM($AU$4:AU762)</f>
        <v>50214.63922077918</v>
      </c>
      <c r="BI762" s="80">
        <f>SUMIFS($AU$3:AU763,$Q$3:Q763,"F")</f>
        <v>32973.293506493508</v>
      </c>
      <c r="BJ762" s="80">
        <f>SUMIFS($AU$3:AU763,$Q$3:Q763,"S")</f>
        <v>21202.285714285714</v>
      </c>
      <c r="BK762" s="87">
        <f>SUMIFS($AU$3:AU763,$P$3:P763,"W")</f>
        <v>32776.759220779561</v>
      </c>
      <c r="BL762" s="87">
        <f>SUMIFS($AU$3:AU763,$P$3:P763,"R")</f>
        <v>15726.00000000016</v>
      </c>
      <c r="BM762" s="87">
        <f>SUMIFS($AU$3:AU763,$AQ$3:AQ763,"M")</f>
        <v>12131.179999998967</v>
      </c>
      <c r="BN762" s="87">
        <f>SUMIFS($AU$3:AU763,$AQ$3:AQ763,"H")</f>
        <v>14523.200000000877</v>
      </c>
      <c r="BO762" s="87">
        <f>SUMIFS($AU$3:AU763,$AQ$3:AQ763,"D")</f>
        <v>8014.9928571427408</v>
      </c>
      <c r="BP762" s="87">
        <f>SUMIFS($AS$3:AS1302,$AO$3:AO1302,"W")</f>
        <v>0</v>
      </c>
      <c r="BQ762" s="87">
        <f>SUMIFS($AU$3:AU763,$Q$3:Q763,"O")</f>
        <v>-5384.9400000000251</v>
      </c>
      <c r="BR762" s="87">
        <f>SUMIFS($AU$3:AU763,$AA$3:AA763,"*")</f>
        <v>38275.122077921827</v>
      </c>
      <c r="BS762" s="87">
        <f>SUMIFS($AU$3:AU763,$AB$3:AB763,"*")</f>
        <v>12971.859999999973</v>
      </c>
      <c r="BT762" s="87">
        <f>SUMIFS($AU$3:AU763,$AC$3:AC763,"*")</f>
        <v>41373.293506493676</v>
      </c>
      <c r="BU762" s="87">
        <f>SUMIFS($AU$3:AU763,$AA$3:AA763,"*",$AB$3:AB763,"*")</f>
        <v>8011.9999999997544</v>
      </c>
      <c r="BV762" s="87">
        <f>SUMIFS($AU$3:AU763,$AA$3:AA763,"*",$AC$3:AC763,"*")</f>
        <v>29353.636363636531</v>
      </c>
      <c r="BW762" s="87">
        <f>SUMIFS($AU$3:AU763,$AB$3:AB763,"*",$AC$3:AC763,"*")</f>
        <v>9360</v>
      </c>
      <c r="BX762" s="87">
        <f>SUMIFS($AV$3:AV763,$Q$3:Q763,"F")</f>
        <v>462.72914667325267</v>
      </c>
      <c r="BY762" s="87">
        <f>SUMIFS($AV$3:AV763,$Q$3:Q763,"S")</f>
        <v>754.32562762001328</v>
      </c>
      <c r="BZ762" s="87">
        <f>SUMIFS($AV$3:AV763,$Q$3:Q763,"O")</f>
        <v>471.55929999966099</v>
      </c>
    </row>
    <row r="763" spans="1:78" ht="15.75" customHeight="1">
      <c r="A763" s="45" t="s">
        <v>2311</v>
      </c>
      <c r="B763" s="59">
        <v>45447</v>
      </c>
      <c r="C763" s="46" t="s">
        <v>147</v>
      </c>
      <c r="D763" s="46" t="s">
        <v>98</v>
      </c>
      <c r="E763" s="66"/>
      <c r="F763" s="47"/>
      <c r="G763" s="104" t="s">
        <v>227</v>
      </c>
      <c r="H763" s="49"/>
      <c r="I763" s="49"/>
      <c r="J763" s="49"/>
      <c r="K763" s="50"/>
      <c r="L763" s="49"/>
      <c r="M763" s="49">
        <v>2</v>
      </c>
      <c r="N763" s="49"/>
      <c r="O763" s="50" t="s">
        <v>100</v>
      </c>
      <c r="P763" s="50" t="s">
        <v>101</v>
      </c>
      <c r="Q763" s="50" t="s">
        <v>102</v>
      </c>
      <c r="R763" s="50">
        <v>75</v>
      </c>
      <c r="S763" s="50">
        <v>0</v>
      </c>
      <c r="T763" s="50">
        <v>75</v>
      </c>
      <c r="U763" s="50" t="s">
        <v>22</v>
      </c>
      <c r="V763" s="50"/>
      <c r="W763" s="50"/>
      <c r="X763" s="50"/>
      <c r="Y763" s="51">
        <f>IF(ISBLANK(O763),"",(IF(O763=UPPER("IB"),0.005,0.01)))</f>
        <v>0.01</v>
      </c>
      <c r="Z763" s="52">
        <f>IF(ISBLANK(O763),"",IF(O763="IB",8.63*200,IF(O763="IR",16*100,IF(O763="YT",20*100,IF(O763="YT-XT",24*200,IF(O763="TED",80*100,IF(O763="IR|YT",300*100)))))))</f>
        <v>1600</v>
      </c>
      <c r="AA763" s="52" t="s">
        <v>2375</v>
      </c>
      <c r="AB763" s="52"/>
      <c r="AC763" s="52" t="s">
        <v>2376</v>
      </c>
      <c r="AD763" s="231">
        <v>-0.05</v>
      </c>
      <c r="AE763" s="49"/>
      <c r="AF763" s="84"/>
      <c r="AG763" s="49"/>
      <c r="AH763" s="49"/>
      <c r="AI763" s="49"/>
      <c r="AJ763" s="226"/>
      <c r="AK763" s="49"/>
      <c r="AL763" s="113">
        <f t="shared" si="316"/>
        <v>-32</v>
      </c>
      <c r="AM763" s="113">
        <f t="shared" si="312"/>
        <v>-2400</v>
      </c>
      <c r="AN763" s="218"/>
      <c r="AO763" s="49"/>
      <c r="AP763" s="49" t="s">
        <v>2377</v>
      </c>
      <c r="AQ763" s="84" t="s">
        <v>350</v>
      </c>
      <c r="AR763" s="49" t="s">
        <v>1996</v>
      </c>
      <c r="AS763" s="55">
        <v>-0.04</v>
      </c>
      <c r="AT763" s="55">
        <f>IF(ISBLANK(AS763),,IF(U763="S",AD763-AS763,AS763-AD763))</f>
        <v>1.0000000000000002E-2</v>
      </c>
      <c r="AU763" s="54">
        <f>AV763*R763</f>
        <v>1200.0000000000002</v>
      </c>
      <c r="AV763" s="56">
        <f t="shared" si="317"/>
        <v>16.000000000000004</v>
      </c>
      <c r="AW763" s="57" t="s">
        <v>101</v>
      </c>
      <c r="AX763" s="153"/>
      <c r="AY763" s="153"/>
      <c r="AZ763" s="153"/>
      <c r="BA763" s="153"/>
      <c r="BB763" s="153"/>
      <c r="BC763" s="153"/>
      <c r="BD763" s="151"/>
      <c r="BE763" s="152"/>
      <c r="BF763" s="151"/>
      <c r="BG763" s="94">
        <f>SUM($AV$4:AV763)</f>
        <v>4836.6140742929338</v>
      </c>
      <c r="BH763" s="95">
        <f>SUM($AU$4:AU763)</f>
        <v>51414.63922077918</v>
      </c>
      <c r="BI763" s="80">
        <f>SUMIFS($AU$3:AU764,$Q$3:Q764,"F")</f>
        <v>32973.293506493508</v>
      </c>
      <c r="BJ763" s="80">
        <f>SUMIFS($AU$3:AU764,$Q$3:Q764,"S")</f>
        <v>21202.285714285714</v>
      </c>
      <c r="BK763" s="87">
        <f>SUMIFS($AU$3:AU764,$P$3:P764,"W")</f>
        <v>32776.759220779561</v>
      </c>
      <c r="BL763" s="87">
        <f>SUMIFS($AU$3:AU764,$P$3:P764,"R")</f>
        <v>15726.00000000016</v>
      </c>
      <c r="BM763" s="87">
        <f>SUMIFS($AU$3:AU764,$AQ$3:AQ764,"M")</f>
        <v>12131.179999998967</v>
      </c>
      <c r="BN763" s="87">
        <f>SUMIFS($AU$3:AU764,$AQ$3:AQ764,"H")</f>
        <v>14523.200000000877</v>
      </c>
      <c r="BO763" s="87">
        <f>SUMIFS($AU$3:AU764,$AQ$3:AQ764,"D")</f>
        <v>8014.9928571427408</v>
      </c>
      <c r="BP763" s="87">
        <f>SUMIFS($AS$3:AS1303,$AO$3:AO1303,"W")</f>
        <v>0</v>
      </c>
      <c r="BQ763" s="87">
        <f>SUMIFS($AU$3:AU764,$Q$3:Q764,"O")</f>
        <v>-5384.9400000000251</v>
      </c>
      <c r="BR763" s="87">
        <f>SUMIFS($AU$3:AU764,$AA$3:AA764,"*")</f>
        <v>38275.122077921827</v>
      </c>
      <c r="BS763" s="87">
        <f>SUMIFS($AU$3:AU764,$AB$3:AB764,"*")</f>
        <v>12971.859999999973</v>
      </c>
      <c r="BT763" s="87">
        <f>SUMIFS($AU$3:AU764,$AC$3:AC764,"*")</f>
        <v>41373.293506493676</v>
      </c>
      <c r="BU763" s="87">
        <f>SUMIFS($AU$3:AU764,$AA$3:AA764,"*",$AB$3:AB764,"*")</f>
        <v>8011.9999999997544</v>
      </c>
      <c r="BV763" s="87">
        <f>SUMIFS($AU$3:AU764,$AA$3:AA764,"*",$AC$3:AC764,"*")</f>
        <v>29353.636363636531</v>
      </c>
      <c r="BW763" s="87">
        <f>SUMIFS($AU$3:AU764,$AB$3:AB764,"*",$AC$3:AC764,"*")</f>
        <v>9360</v>
      </c>
      <c r="BX763" s="87">
        <f>SUMIFS($AV$3:AV764,$Q$3:Q764,"F")</f>
        <v>462.72914667325267</v>
      </c>
      <c r="BY763" s="87">
        <f>SUMIFS($AV$3:AV764,$Q$3:Q764,"S")</f>
        <v>754.32562762001328</v>
      </c>
      <c r="BZ763" s="87">
        <f>SUMIFS($AV$3:AV764,$Q$3:Q764,"O")</f>
        <v>471.55929999966099</v>
      </c>
    </row>
    <row r="764" spans="1:78" ht="15.75" customHeight="1">
      <c r="A764" s="45" t="s">
        <v>2311</v>
      </c>
      <c r="B764" s="59">
        <v>45448</v>
      </c>
      <c r="C764" s="46" t="s">
        <v>888</v>
      </c>
      <c r="D764" s="46" t="s">
        <v>186</v>
      </c>
      <c r="E764" s="66" t="s">
        <v>2378</v>
      </c>
      <c r="F764" s="47" t="s">
        <v>2379</v>
      </c>
      <c r="G764" s="48"/>
      <c r="H764" s="49">
        <v>1</v>
      </c>
      <c r="I764" s="49"/>
      <c r="J764" s="49"/>
      <c r="K764" s="50" t="s">
        <v>155</v>
      </c>
      <c r="L764" s="49"/>
      <c r="M764" s="49"/>
      <c r="N764" s="49"/>
      <c r="O764" s="50"/>
      <c r="P764" s="50"/>
      <c r="Q764" s="50"/>
      <c r="R764" s="50"/>
      <c r="S764" s="50"/>
      <c r="T764" s="50"/>
      <c r="U764" s="50"/>
      <c r="V764" s="50"/>
      <c r="W764" s="50"/>
      <c r="X764" s="50"/>
      <c r="Y764" s="50"/>
      <c r="Z764" s="50"/>
      <c r="AA764" s="52"/>
      <c r="AB764" s="52"/>
      <c r="AC764" s="52"/>
      <c r="AD764" s="231"/>
      <c r="AE764" s="49"/>
      <c r="AF764" s="84"/>
      <c r="AG764" s="49"/>
      <c r="AH764" s="49"/>
      <c r="AI764" s="49"/>
      <c r="AJ764" s="226"/>
      <c r="AK764" s="49"/>
      <c r="AL764" s="113">
        <f t="shared" si="316"/>
        <v>0</v>
      </c>
      <c r="AM764" s="113">
        <f t="shared" si="312"/>
        <v>0</v>
      </c>
      <c r="AN764" s="218"/>
      <c r="AO764" s="49"/>
      <c r="AP764" s="49"/>
      <c r="AQ764" s="84" t="str">
        <f>UPPER(RIGHT(Journal_Live[[#This Row],[DURATION ]]))</f>
        <v/>
      </c>
      <c r="AR764" s="49"/>
      <c r="AS764" s="55"/>
      <c r="AT764" s="55"/>
      <c r="AU764" s="54"/>
      <c r="AV764" s="56"/>
      <c r="AW764" s="57"/>
      <c r="AX764" s="153"/>
      <c r="AY764" s="153"/>
      <c r="AZ764" s="153"/>
      <c r="BA764" s="153"/>
      <c r="BB764" s="153"/>
      <c r="BC764" s="153"/>
      <c r="BD764" s="151"/>
      <c r="BE764" s="152"/>
      <c r="BF764" s="151"/>
      <c r="BG764" s="94">
        <f>SUM($AV$4:AV764)</f>
        <v>4836.6140742929338</v>
      </c>
      <c r="BH764" s="95">
        <f>SUM($AU$4:AU764)</f>
        <v>51414.63922077918</v>
      </c>
      <c r="BI764" s="80">
        <f>SUMIFS($AU$3:AU765,$Q$3:Q765,"F")</f>
        <v>32973.293506493508</v>
      </c>
      <c r="BJ764" s="80">
        <f>SUMIFS($AU$3:AU765,$Q$3:Q765,"S")</f>
        <v>21202.285714285714</v>
      </c>
      <c r="BK764" s="87">
        <f>SUMIFS($AU$3:AU765,$P$3:P765,"W")</f>
        <v>32776.759220779561</v>
      </c>
      <c r="BL764" s="87">
        <f>SUMIFS($AU$3:AU765,$P$3:P765,"R")</f>
        <v>15726.00000000016</v>
      </c>
      <c r="BM764" s="87">
        <f>SUMIFS($AU$3:AU765,$AQ$3:AQ765,"M")</f>
        <v>12131.179999998967</v>
      </c>
      <c r="BN764" s="87">
        <f>SUMIFS($AU$3:AU765,$AQ$3:AQ765,"H")</f>
        <v>14523.200000000877</v>
      </c>
      <c r="BO764" s="87">
        <f>SUMIFS($AU$3:AU765,$AQ$3:AQ765,"D")</f>
        <v>8014.9928571427408</v>
      </c>
      <c r="BP764" s="87">
        <f>SUMIFS($AS$3:AS1304,$AO$3:AO1304,"W")</f>
        <v>0</v>
      </c>
      <c r="BQ764" s="87">
        <f>SUMIFS($AU$3:AU765,$Q$3:Q765,"O")</f>
        <v>-5384.9400000000251</v>
      </c>
      <c r="BR764" s="87">
        <f>SUMIFS($AU$3:AU765,$AA$3:AA765,"*")</f>
        <v>38275.122077921827</v>
      </c>
      <c r="BS764" s="87">
        <f>SUMIFS($AU$3:AU765,$AB$3:AB765,"*")</f>
        <v>12971.859999999973</v>
      </c>
      <c r="BT764" s="87">
        <f>SUMIFS($AU$3:AU765,$AC$3:AC765,"*")</f>
        <v>41373.293506493676</v>
      </c>
      <c r="BU764" s="87">
        <f>SUMIFS($AU$3:AU765,$AA$3:AA765,"*",$AB$3:AB765,"*")</f>
        <v>8011.9999999997544</v>
      </c>
      <c r="BV764" s="87">
        <f>SUMIFS($AU$3:AU765,$AA$3:AA765,"*",$AC$3:AC765,"*")</f>
        <v>29353.636363636531</v>
      </c>
      <c r="BW764" s="87">
        <f>SUMIFS($AU$3:AU765,$AB$3:AB765,"*",$AC$3:AC765,"*")</f>
        <v>9360</v>
      </c>
      <c r="BX764" s="87">
        <f>SUMIFS($AV$3:AV765,$Q$3:Q765,"F")</f>
        <v>462.72914667325267</v>
      </c>
      <c r="BY764" s="87">
        <f>SUMIFS($AV$3:AV765,$Q$3:Q765,"S")</f>
        <v>754.32562762001328</v>
      </c>
      <c r="BZ764" s="87">
        <f>SUMIFS($AV$3:AV765,$Q$3:Q765,"O")</f>
        <v>471.55929999966099</v>
      </c>
    </row>
    <row r="765" spans="1:78" ht="15.75" customHeight="1">
      <c r="A765" s="45" t="s">
        <v>2311</v>
      </c>
      <c r="B765" s="59"/>
      <c r="C765" s="46"/>
      <c r="D765" s="46"/>
      <c r="E765" s="66" t="s">
        <v>2380</v>
      </c>
      <c r="F765" s="47" t="s">
        <v>2379</v>
      </c>
      <c r="G765" s="48"/>
      <c r="H765" s="49">
        <v>1</v>
      </c>
      <c r="I765" s="49"/>
      <c r="J765" s="49"/>
      <c r="K765" s="50" t="s">
        <v>155</v>
      </c>
      <c r="L765" s="49"/>
      <c r="M765" s="49"/>
      <c r="N765" s="49"/>
      <c r="O765" s="50"/>
      <c r="P765" s="50"/>
      <c r="Q765" s="50"/>
      <c r="R765" s="50"/>
      <c r="S765" s="50"/>
      <c r="T765" s="50"/>
      <c r="U765" s="50"/>
      <c r="V765" s="50"/>
      <c r="W765" s="50"/>
      <c r="X765" s="50"/>
      <c r="Y765" s="50"/>
      <c r="Z765" s="50"/>
      <c r="AA765" s="52"/>
      <c r="AB765" s="52"/>
      <c r="AC765" s="52"/>
      <c r="AD765" s="231"/>
      <c r="AE765" s="49"/>
      <c r="AF765" s="84"/>
      <c r="AG765" s="49"/>
      <c r="AH765" s="49"/>
      <c r="AI765" s="49"/>
      <c r="AJ765" s="226"/>
      <c r="AK765" s="49"/>
      <c r="AL765" s="113">
        <f t="shared" si="315"/>
        <v>0</v>
      </c>
      <c r="AM765" s="113">
        <f t="shared" si="312"/>
        <v>0</v>
      </c>
      <c r="AN765" s="218"/>
      <c r="AO765" s="49"/>
      <c r="AP765" s="49"/>
      <c r="AQ765" s="84" t="str">
        <f>UPPER(RIGHT(Journal_Live[[#This Row],[DURATION ]]))</f>
        <v/>
      </c>
      <c r="AR765" s="49"/>
      <c r="AS765" s="55"/>
      <c r="AT765" s="55"/>
      <c r="AU765" s="54"/>
      <c r="AV765" s="56"/>
      <c r="AW765" s="57"/>
      <c r="AX765" s="153"/>
      <c r="AY765" s="153"/>
      <c r="AZ765" s="153"/>
      <c r="BA765" s="153"/>
      <c r="BB765" s="153"/>
      <c r="BC765" s="153"/>
      <c r="BD765" s="151"/>
      <c r="BE765" s="152"/>
      <c r="BF765" s="151"/>
      <c r="BG765" s="94">
        <f>SUM($AV$4:AV765)</f>
        <v>4836.6140742929338</v>
      </c>
      <c r="BH765" s="95">
        <f>SUM($AU$4:AU765)</f>
        <v>51414.63922077918</v>
      </c>
      <c r="BI765" s="80">
        <f>SUMIFS($AU$3:AU766,$Q$3:Q766,"F")</f>
        <v>32973.293506493508</v>
      </c>
      <c r="BJ765" s="80">
        <f>SUMIFS($AU$3:AU766,$Q$3:Q766,"S")</f>
        <v>21202.285714285714</v>
      </c>
      <c r="BK765" s="87">
        <f>SUMIFS($AU$3:AU766,$P$3:P766,"W")</f>
        <v>32776.759220779561</v>
      </c>
      <c r="BL765" s="87">
        <f>SUMIFS($AU$3:AU766,$P$3:P766,"R")</f>
        <v>15726.00000000016</v>
      </c>
      <c r="BM765" s="87">
        <f>SUMIFS($AU$3:AU766,$AQ$3:AQ766,"M")</f>
        <v>12131.179999998967</v>
      </c>
      <c r="BN765" s="87">
        <f>SUMIFS($AU$3:AU766,$AQ$3:AQ766,"H")</f>
        <v>14523.200000000877</v>
      </c>
      <c r="BO765" s="87">
        <f>SUMIFS($AU$3:AU766,$AQ$3:AQ766,"D")</f>
        <v>8014.9928571427408</v>
      </c>
      <c r="BP765" s="87">
        <f>SUMIFS($AS$3:AS1305,$AO$3:AO1305,"W")</f>
        <v>0</v>
      </c>
      <c r="BQ765" s="87">
        <f>SUMIFS($AU$3:AU766,$Q$3:Q766,"O")</f>
        <v>-5384.9400000000251</v>
      </c>
      <c r="BR765" s="87">
        <f>SUMIFS($AU$3:AU766,$AA$3:AA766,"*")</f>
        <v>38275.122077921827</v>
      </c>
      <c r="BS765" s="87">
        <f>SUMIFS($AU$3:AU766,$AB$3:AB766,"*")</f>
        <v>12971.859999999973</v>
      </c>
      <c r="BT765" s="87">
        <f>SUMIFS($AU$3:AU766,$AC$3:AC766,"*")</f>
        <v>41373.293506493676</v>
      </c>
      <c r="BU765" s="87">
        <f>SUMIFS($AU$3:AU766,$AA$3:AA766,"*",$AB$3:AB766,"*")</f>
        <v>8011.9999999997544</v>
      </c>
      <c r="BV765" s="87">
        <f>SUMIFS($AU$3:AU766,$AA$3:AA766,"*",$AC$3:AC766,"*")</f>
        <v>29353.636363636531</v>
      </c>
      <c r="BW765" s="87">
        <f>SUMIFS($AU$3:AU766,$AB$3:AB766,"*",$AC$3:AC766,"*")</f>
        <v>9360</v>
      </c>
      <c r="BX765" s="87">
        <f>SUMIFS($AV$3:AV766,$Q$3:Q766,"F")</f>
        <v>462.72914667325267</v>
      </c>
      <c r="BY765" s="87">
        <f>SUMIFS($AV$3:AV766,$Q$3:Q766,"S")</f>
        <v>754.32562762001328</v>
      </c>
      <c r="BZ765" s="87">
        <f>SUMIFS($AV$3:AV766,$Q$3:Q766,"O")</f>
        <v>471.55929999966099</v>
      </c>
    </row>
    <row r="766" spans="1:78" ht="15.75" customHeight="1">
      <c r="A766" s="45" t="s">
        <v>2311</v>
      </c>
      <c r="B766" s="59">
        <v>45448</v>
      </c>
      <c r="C766" s="46" t="s">
        <v>2381</v>
      </c>
      <c r="D766" s="46" t="s">
        <v>186</v>
      </c>
      <c r="E766" s="66"/>
      <c r="F766" s="47"/>
      <c r="G766" s="48" t="s">
        <v>113</v>
      </c>
      <c r="H766" s="49"/>
      <c r="I766" s="49"/>
      <c r="J766" s="49"/>
      <c r="K766" s="50"/>
      <c r="L766" s="49"/>
      <c r="M766" s="49"/>
      <c r="N766" s="49"/>
      <c r="O766" s="50"/>
      <c r="P766" s="50"/>
      <c r="Q766" s="50"/>
      <c r="R766" s="50"/>
      <c r="S766" s="50"/>
      <c r="T766" s="50"/>
      <c r="U766" s="50"/>
      <c r="V766" s="50"/>
      <c r="W766" s="50"/>
      <c r="X766" s="50"/>
      <c r="Y766" s="51"/>
      <c r="Z766" s="52"/>
      <c r="AA766" s="52"/>
      <c r="AB766" s="52"/>
      <c r="AC766" s="52"/>
      <c r="AD766" s="231"/>
      <c r="AE766" s="49"/>
      <c r="AF766" s="84"/>
      <c r="AG766" s="49"/>
      <c r="AH766" s="49"/>
      <c r="AI766" s="49"/>
      <c r="AJ766" s="226"/>
      <c r="AK766" s="49"/>
      <c r="AL766" s="113">
        <f t="shared" si="315"/>
        <v>0</v>
      </c>
      <c r="AM766" s="113">
        <f t="shared" si="312"/>
        <v>0</v>
      </c>
      <c r="AN766" s="218"/>
      <c r="AO766" s="49"/>
      <c r="AP766" s="49"/>
      <c r="AQ766" s="84" t="str">
        <f>UPPER(RIGHT(Journal_Live[[#This Row],[DURATION ]]))</f>
        <v/>
      </c>
      <c r="AR766" s="49"/>
      <c r="AS766" s="55"/>
      <c r="AT766" s="55"/>
      <c r="AU766" s="54"/>
      <c r="AV766" s="56"/>
      <c r="AW766" s="57"/>
      <c r="AX766" s="153" t="s">
        <v>2382</v>
      </c>
      <c r="AY766" s="151" t="s">
        <v>2383</v>
      </c>
      <c r="AZ766" s="151" t="s">
        <v>2384</v>
      </c>
      <c r="BA766" s="151" t="s">
        <v>2385</v>
      </c>
      <c r="BB766" s="153"/>
      <c r="BC766" s="153"/>
      <c r="BD766" s="151"/>
      <c r="BE766" s="152"/>
      <c r="BF766" s="151"/>
      <c r="BG766" s="94">
        <f>SUM($AV$4:AV766)</f>
        <v>4836.6140742929338</v>
      </c>
      <c r="BH766" s="95">
        <f>SUM($AU$4:AU766)</f>
        <v>51414.63922077918</v>
      </c>
      <c r="BI766" s="80">
        <f>SUMIFS($AU$3:AU767,$Q$3:Q767,"F")</f>
        <v>32973.293506493508</v>
      </c>
      <c r="BJ766" s="80">
        <f>SUMIFS($AU$3:AU767,$Q$3:Q767,"S")</f>
        <v>21202.285714285714</v>
      </c>
      <c r="BK766" s="87">
        <f>SUMIFS($AU$3:AU767,$P$3:P767,"W")</f>
        <v>32776.759220779561</v>
      </c>
      <c r="BL766" s="87">
        <f>SUMIFS($AU$3:AU767,$P$3:P767,"R")</f>
        <v>15726.00000000016</v>
      </c>
      <c r="BM766" s="87">
        <f>SUMIFS($AU$3:AU767,$AQ$3:AQ767,"M")</f>
        <v>12131.179999998967</v>
      </c>
      <c r="BN766" s="87">
        <f>SUMIFS($AU$3:AU767,$AQ$3:AQ767,"H")</f>
        <v>14523.200000000877</v>
      </c>
      <c r="BO766" s="87">
        <f>SUMIFS($AU$3:AU767,$AQ$3:AQ767,"D")</f>
        <v>8014.9928571427408</v>
      </c>
      <c r="BP766" s="87">
        <f>SUMIFS($AS$3:AS1306,$AO$3:AO1306,"W")</f>
        <v>0</v>
      </c>
      <c r="BQ766" s="87">
        <f>SUMIFS($AU$3:AU767,$Q$3:Q767,"O")</f>
        <v>-5384.9400000000251</v>
      </c>
      <c r="BR766" s="87">
        <f>SUMIFS($AU$3:AU767,$AA$3:AA767,"*")</f>
        <v>38275.122077921827</v>
      </c>
      <c r="BS766" s="87">
        <f>SUMIFS($AU$3:AU767,$AB$3:AB767,"*")</f>
        <v>12971.859999999973</v>
      </c>
      <c r="BT766" s="87">
        <f>SUMIFS($AU$3:AU767,$AC$3:AC767,"*")</f>
        <v>41373.293506493676</v>
      </c>
      <c r="BU766" s="87">
        <f>SUMIFS($AU$3:AU767,$AA$3:AA767,"*",$AB$3:AB767,"*")</f>
        <v>8011.9999999997544</v>
      </c>
      <c r="BV766" s="87">
        <f>SUMIFS($AU$3:AU767,$AA$3:AA767,"*",$AC$3:AC767,"*")</f>
        <v>29353.636363636531</v>
      </c>
      <c r="BW766" s="87">
        <f>SUMIFS($AU$3:AU767,$AB$3:AB767,"*",$AC$3:AC767,"*")</f>
        <v>9360</v>
      </c>
      <c r="BX766" s="87">
        <f>SUMIFS($AV$3:AV767,$Q$3:Q767,"F")</f>
        <v>462.72914667325267</v>
      </c>
      <c r="BY766" s="87">
        <f>SUMIFS($AV$3:AV767,$Q$3:Q767,"S")</f>
        <v>754.32562762001328</v>
      </c>
      <c r="BZ766" s="87">
        <f>SUMIFS($AV$3:AV767,$Q$3:Q767,"O")</f>
        <v>471.55929999966099</v>
      </c>
    </row>
    <row r="767" spans="1:78" ht="15.75" customHeight="1">
      <c r="A767" s="45" t="s">
        <v>2311</v>
      </c>
      <c r="B767" s="59"/>
      <c r="C767" s="46"/>
      <c r="D767" s="46"/>
      <c r="E767" s="66"/>
      <c r="F767" s="47"/>
      <c r="G767" s="48"/>
      <c r="H767" s="49"/>
      <c r="I767" s="49"/>
      <c r="J767" s="49"/>
      <c r="K767" s="50"/>
      <c r="L767" s="49"/>
      <c r="M767" s="49"/>
      <c r="N767" s="49"/>
      <c r="O767" s="50"/>
      <c r="P767" s="50"/>
      <c r="Q767" s="50"/>
      <c r="R767" s="50"/>
      <c r="S767" s="50"/>
      <c r="T767" s="50"/>
      <c r="U767" s="50"/>
      <c r="V767" s="50"/>
      <c r="W767" s="50"/>
      <c r="X767" s="50"/>
      <c r="Y767" s="50"/>
      <c r="Z767" s="50"/>
      <c r="AA767" s="52"/>
      <c r="AB767" s="52"/>
      <c r="AC767" s="52"/>
      <c r="AD767" s="231"/>
      <c r="AE767" s="49"/>
      <c r="AF767" s="84"/>
      <c r="AG767" s="49"/>
      <c r="AH767" s="49"/>
      <c r="AI767" s="49"/>
      <c r="AJ767" s="226"/>
      <c r="AK767" s="49"/>
      <c r="AL767" s="113">
        <f t="shared" si="315"/>
        <v>0</v>
      </c>
      <c r="AM767" s="113">
        <f t="shared" si="312"/>
        <v>0</v>
      </c>
      <c r="AN767" s="218"/>
      <c r="AO767" s="49"/>
      <c r="AP767" s="49"/>
      <c r="AQ767" s="84" t="str">
        <f>UPPER(RIGHT(Journal_Live[[#This Row],[DURATION ]]))</f>
        <v/>
      </c>
      <c r="AR767" s="49"/>
      <c r="AS767" s="55"/>
      <c r="AT767" s="55"/>
      <c r="AU767" s="54"/>
      <c r="AV767" s="56"/>
      <c r="AW767" s="57"/>
      <c r="AX767" s="151" t="s">
        <v>2386</v>
      </c>
      <c r="AY767" s="151" t="s">
        <v>2387</v>
      </c>
      <c r="AZ767" s="153"/>
      <c r="BA767" s="153"/>
      <c r="BB767" s="153"/>
      <c r="BC767" s="153"/>
      <c r="BD767" s="151"/>
      <c r="BE767" s="152"/>
      <c r="BF767" s="151"/>
      <c r="BG767" s="94">
        <f>SUM($AV$4:AV767)</f>
        <v>4836.6140742929338</v>
      </c>
      <c r="BH767" s="95">
        <f>SUM($AU$4:AU767)</f>
        <v>51414.63922077918</v>
      </c>
      <c r="BI767" s="80">
        <f>SUMIFS($AU$3:AU768,$Q$3:Q768,"F")</f>
        <v>32973.293506493508</v>
      </c>
      <c r="BJ767" s="80">
        <f>SUMIFS($AU$3:AU768,$Q$3:Q768,"S")</f>
        <v>21202.285714285714</v>
      </c>
      <c r="BK767" s="87">
        <f>SUMIFS($AU$3:AU768,$P$3:P768,"W")</f>
        <v>32776.759220779561</v>
      </c>
      <c r="BL767" s="87">
        <f>SUMIFS($AU$3:AU768,$P$3:P768,"R")</f>
        <v>15726.00000000016</v>
      </c>
      <c r="BM767" s="87">
        <f>SUMIFS($AU$3:AU768,$AQ$3:AQ768,"M")</f>
        <v>12131.179999998967</v>
      </c>
      <c r="BN767" s="87">
        <f>SUMIFS($AU$3:AU768,$AQ$3:AQ768,"H")</f>
        <v>14523.200000000877</v>
      </c>
      <c r="BO767" s="87">
        <f>SUMIFS($AU$3:AU768,$AQ$3:AQ768,"D")</f>
        <v>8014.9928571427408</v>
      </c>
      <c r="BP767" s="87">
        <f>SUMIFS($AS$3:AS1307,$AO$3:AO1307,"W")</f>
        <v>0</v>
      </c>
      <c r="BQ767" s="87">
        <f>SUMIFS($AU$3:AU768,$Q$3:Q768,"O")</f>
        <v>-5384.9400000000251</v>
      </c>
      <c r="BR767" s="87">
        <f>SUMIFS($AU$3:AU768,$AA$3:AA768,"*")</f>
        <v>38275.122077921827</v>
      </c>
      <c r="BS767" s="87">
        <f>SUMIFS($AU$3:AU768,$AB$3:AB768,"*")</f>
        <v>12971.859999999973</v>
      </c>
      <c r="BT767" s="87">
        <f>SUMIFS($AU$3:AU768,$AC$3:AC768,"*")</f>
        <v>41373.293506493676</v>
      </c>
      <c r="BU767" s="87">
        <f>SUMIFS($AU$3:AU768,$AA$3:AA768,"*",$AB$3:AB768,"*")</f>
        <v>8011.9999999997544</v>
      </c>
      <c r="BV767" s="87">
        <f>SUMIFS($AU$3:AU768,$AA$3:AA768,"*",$AC$3:AC768,"*")</f>
        <v>29353.636363636531</v>
      </c>
      <c r="BW767" s="87">
        <f>SUMIFS($AU$3:AU768,$AB$3:AB768,"*",$AC$3:AC768,"*")</f>
        <v>9360</v>
      </c>
      <c r="BX767" s="87">
        <f>SUMIFS($AV$3:AV768,$Q$3:Q768,"F")</f>
        <v>462.72914667325267</v>
      </c>
      <c r="BY767" s="87">
        <f>SUMIFS($AV$3:AV768,$Q$3:Q768,"S")</f>
        <v>754.32562762001328</v>
      </c>
      <c r="BZ767" s="87">
        <f>SUMIFS($AV$3:AV768,$Q$3:Q768,"O")</f>
        <v>471.55929999966099</v>
      </c>
    </row>
    <row r="768" spans="1:78" ht="15.75" customHeight="1">
      <c r="A768" s="45" t="s">
        <v>2311</v>
      </c>
      <c r="B768" s="59">
        <v>45448</v>
      </c>
      <c r="C768" s="46" t="s">
        <v>2388</v>
      </c>
      <c r="D768" s="46" t="s">
        <v>186</v>
      </c>
      <c r="E768" s="66" t="s">
        <v>2389</v>
      </c>
      <c r="F768" s="47"/>
      <c r="G768" s="48"/>
      <c r="H768" s="49"/>
      <c r="I768" s="49"/>
      <c r="J768" s="49"/>
      <c r="K768" s="50"/>
      <c r="L768" s="49"/>
      <c r="M768" s="49"/>
      <c r="N768" s="49"/>
      <c r="O768" s="50"/>
      <c r="P768" s="50"/>
      <c r="Q768" s="50"/>
      <c r="R768" s="50"/>
      <c r="S768" s="50"/>
      <c r="T768" s="50"/>
      <c r="U768" s="50"/>
      <c r="V768" s="50"/>
      <c r="W768" s="50"/>
      <c r="X768" s="50"/>
      <c r="Y768" s="50"/>
      <c r="Z768" s="50"/>
      <c r="AA768" s="52"/>
      <c r="AB768" s="52"/>
      <c r="AC768" s="52"/>
      <c r="AD768" s="231"/>
      <c r="AE768" s="49"/>
      <c r="AF768" s="84"/>
      <c r="AG768" s="49"/>
      <c r="AH768" s="49"/>
      <c r="AI768" s="49"/>
      <c r="AJ768" s="226"/>
      <c r="AK768" s="49"/>
      <c r="AL768" s="113">
        <f t="shared" si="315"/>
        <v>0</v>
      </c>
      <c r="AM768" s="113">
        <f t="shared" si="312"/>
        <v>0</v>
      </c>
      <c r="AN768" s="218"/>
      <c r="AO768" s="49"/>
      <c r="AP768" s="49"/>
      <c r="AQ768" s="84" t="str">
        <f>UPPER(RIGHT(Journal_Live[[#This Row],[DURATION ]]))</f>
        <v/>
      </c>
      <c r="AR768" s="49"/>
      <c r="AS768" s="55"/>
      <c r="AT768" s="55"/>
      <c r="AU768" s="54"/>
      <c r="AV768" s="56"/>
      <c r="AW768" s="57"/>
      <c r="AX768" s="153"/>
      <c r="AY768" s="153"/>
      <c r="AZ768" s="153"/>
      <c r="BA768" s="153"/>
      <c r="BB768" s="153"/>
      <c r="BC768" s="153"/>
      <c r="BD768" s="151"/>
      <c r="BE768" s="152"/>
      <c r="BF768" s="151"/>
      <c r="BG768" s="94">
        <f>SUM($AV$4:AV768)</f>
        <v>4836.6140742929338</v>
      </c>
      <c r="BH768" s="95">
        <f>SUM($AU$4:AU768)</f>
        <v>51414.63922077918</v>
      </c>
      <c r="BI768" s="80">
        <f>SUMIFS($AU$3:AU769,$Q$3:Q769,"F")</f>
        <v>32973.293506493508</v>
      </c>
      <c r="BJ768" s="80">
        <f>SUMIFS($AU$3:AU769,$Q$3:Q769,"S")</f>
        <v>21202.285714285714</v>
      </c>
      <c r="BK768" s="87">
        <f>SUMIFS($AU$3:AU769,$P$3:P769,"W")</f>
        <v>32776.759220779561</v>
      </c>
      <c r="BL768" s="87">
        <f>SUMIFS($AU$3:AU769,$P$3:P769,"R")</f>
        <v>15726.00000000016</v>
      </c>
      <c r="BM768" s="87">
        <f>SUMIFS($AU$3:AU769,$AQ$3:AQ769,"M")</f>
        <v>12131.179999998967</v>
      </c>
      <c r="BN768" s="87">
        <f>SUMIFS($AU$3:AU769,$AQ$3:AQ769,"H")</f>
        <v>14523.200000000877</v>
      </c>
      <c r="BO768" s="87">
        <f>SUMIFS($AU$3:AU769,$AQ$3:AQ769,"D")</f>
        <v>8014.9928571427408</v>
      </c>
      <c r="BP768" s="87">
        <f>SUMIFS($AS$3:AS1308,$AO$3:AO1308,"W")</f>
        <v>0</v>
      </c>
      <c r="BQ768" s="87">
        <f>SUMIFS($AU$3:AU769,$Q$3:Q769,"O")</f>
        <v>-5384.9400000000251</v>
      </c>
      <c r="BR768" s="87">
        <f>SUMIFS($AU$3:AU769,$AA$3:AA769,"*")</f>
        <v>38275.122077921827</v>
      </c>
      <c r="BS768" s="87">
        <f>SUMIFS($AU$3:AU769,$AB$3:AB769,"*")</f>
        <v>12971.859999999973</v>
      </c>
      <c r="BT768" s="87">
        <f>SUMIFS($AU$3:AU769,$AC$3:AC769,"*")</f>
        <v>41373.293506493676</v>
      </c>
      <c r="BU768" s="87">
        <f>SUMIFS($AU$3:AU769,$AA$3:AA769,"*",$AB$3:AB769,"*")</f>
        <v>8011.9999999997544</v>
      </c>
      <c r="BV768" s="87">
        <f>SUMIFS($AU$3:AU769,$AA$3:AA769,"*",$AC$3:AC769,"*")</f>
        <v>29353.636363636531</v>
      </c>
      <c r="BW768" s="87">
        <f>SUMIFS($AU$3:AU769,$AB$3:AB769,"*",$AC$3:AC769,"*")</f>
        <v>9360</v>
      </c>
      <c r="BX768" s="87">
        <f>SUMIFS($AV$3:AV769,$Q$3:Q769,"F")</f>
        <v>462.72914667325267</v>
      </c>
      <c r="BY768" s="87">
        <f>SUMIFS($AV$3:AV769,$Q$3:Q769,"S")</f>
        <v>754.32562762001328</v>
      </c>
      <c r="BZ768" s="87">
        <f>SUMIFS($AV$3:AV769,$Q$3:Q769,"O")</f>
        <v>471.55929999966099</v>
      </c>
    </row>
    <row r="769" spans="1:78" ht="15.75" customHeight="1">
      <c r="A769" s="45" t="s">
        <v>2311</v>
      </c>
      <c r="B769" s="59">
        <v>45448</v>
      </c>
      <c r="C769" s="46" t="s">
        <v>687</v>
      </c>
      <c r="D769" s="46" t="s">
        <v>186</v>
      </c>
      <c r="E769" s="66" t="s">
        <v>2390</v>
      </c>
      <c r="F769" s="47"/>
      <c r="G769" s="48"/>
      <c r="H769" s="49">
        <v>1</v>
      </c>
      <c r="I769" s="49"/>
      <c r="J769" s="49"/>
      <c r="K769" s="50" t="s">
        <v>142</v>
      </c>
      <c r="L769" s="49"/>
      <c r="M769" s="49"/>
      <c r="N769" s="49"/>
      <c r="O769" s="50"/>
      <c r="P769" s="50"/>
      <c r="Q769" s="50"/>
      <c r="R769" s="50"/>
      <c r="S769" s="50"/>
      <c r="T769" s="50"/>
      <c r="U769" s="50"/>
      <c r="V769" s="50"/>
      <c r="W769" s="50"/>
      <c r="X769" s="50"/>
      <c r="Y769" s="50"/>
      <c r="Z769" s="50"/>
      <c r="AA769" s="52"/>
      <c r="AB769" s="52"/>
      <c r="AC769" s="52"/>
      <c r="AD769" s="231"/>
      <c r="AE769" s="49"/>
      <c r="AF769" s="84"/>
      <c r="AG769" s="49"/>
      <c r="AH769" s="49"/>
      <c r="AI769" s="49"/>
      <c r="AJ769" s="226"/>
      <c r="AK769" s="49"/>
      <c r="AL769" s="113">
        <f t="shared" si="315"/>
        <v>0</v>
      </c>
      <c r="AM769" s="113">
        <f t="shared" si="312"/>
        <v>0</v>
      </c>
      <c r="AN769" s="218"/>
      <c r="AO769" s="49"/>
      <c r="AP769" s="49"/>
      <c r="AQ769" s="84" t="str">
        <f>UPPER(RIGHT(Journal_Live[[#This Row],[DURATION ]]))</f>
        <v/>
      </c>
      <c r="AR769" s="49"/>
      <c r="AS769" s="55"/>
      <c r="AT769" s="55"/>
      <c r="AU769" s="54"/>
      <c r="AV769" s="56"/>
      <c r="AW769" s="57"/>
      <c r="AX769" s="153"/>
      <c r="AY769" s="153"/>
      <c r="AZ769" s="153"/>
      <c r="BA769" s="153"/>
      <c r="BB769" s="153"/>
      <c r="BC769" s="153"/>
      <c r="BD769" s="151"/>
      <c r="BE769" s="152"/>
      <c r="BF769" s="151"/>
      <c r="BG769" s="94">
        <f>SUM($AV$4:AV769)</f>
        <v>4836.6140742929338</v>
      </c>
      <c r="BH769" s="95">
        <f>SUM($AU$4:AU769)</f>
        <v>51414.63922077918</v>
      </c>
      <c r="BI769" s="80">
        <f>SUMIFS($AU$3:AU770,$Q$3:Q770,"F")</f>
        <v>32973.293506493508</v>
      </c>
      <c r="BJ769" s="80">
        <f>SUMIFS($AU$3:AU770,$Q$3:Q770,"S")</f>
        <v>21202.285714285714</v>
      </c>
      <c r="BK769" s="87">
        <f>SUMIFS($AU$3:AU770,$P$3:P770,"W")</f>
        <v>32776.759220779561</v>
      </c>
      <c r="BL769" s="87">
        <f>SUMIFS($AU$3:AU770,$P$3:P770,"R")</f>
        <v>15726.00000000016</v>
      </c>
      <c r="BM769" s="87">
        <f>SUMIFS($AU$3:AU770,$AQ$3:AQ770,"M")</f>
        <v>12131.179999998967</v>
      </c>
      <c r="BN769" s="87">
        <f>SUMIFS($AU$3:AU770,$AQ$3:AQ770,"H")</f>
        <v>14523.200000000877</v>
      </c>
      <c r="BO769" s="87">
        <f>SUMIFS($AU$3:AU770,$AQ$3:AQ770,"D")</f>
        <v>8014.9928571427408</v>
      </c>
      <c r="BP769" s="87">
        <f>SUMIFS($AS$3:AS1309,$AO$3:AO1309,"W")</f>
        <v>0</v>
      </c>
      <c r="BQ769" s="87">
        <f>SUMIFS($AU$3:AU770,$Q$3:Q770,"O")</f>
        <v>-5384.9400000000251</v>
      </c>
      <c r="BR769" s="87">
        <f>SUMIFS($AU$3:AU770,$AA$3:AA770,"*")</f>
        <v>38275.122077921827</v>
      </c>
      <c r="BS769" s="87">
        <f>SUMIFS($AU$3:AU770,$AB$3:AB770,"*")</f>
        <v>12971.859999999973</v>
      </c>
      <c r="BT769" s="87">
        <f>SUMIFS($AU$3:AU770,$AC$3:AC770,"*")</f>
        <v>41373.293506493676</v>
      </c>
      <c r="BU769" s="87">
        <f>SUMIFS($AU$3:AU770,$AA$3:AA770,"*",$AB$3:AB770,"*")</f>
        <v>8011.9999999997544</v>
      </c>
      <c r="BV769" s="87">
        <f>SUMIFS($AU$3:AU770,$AA$3:AA770,"*",$AC$3:AC770,"*")</f>
        <v>29353.636363636531</v>
      </c>
      <c r="BW769" s="87">
        <f>SUMIFS($AU$3:AU770,$AB$3:AB770,"*",$AC$3:AC770,"*")</f>
        <v>9360</v>
      </c>
      <c r="BX769" s="87">
        <f>SUMIFS($AV$3:AV770,$Q$3:Q770,"F")</f>
        <v>462.72914667325267</v>
      </c>
      <c r="BY769" s="87">
        <f>SUMIFS($AV$3:AV770,$Q$3:Q770,"S")</f>
        <v>754.32562762001328</v>
      </c>
      <c r="BZ769" s="87">
        <f>SUMIFS($AV$3:AV770,$Q$3:Q770,"O")</f>
        <v>471.55929999966099</v>
      </c>
    </row>
    <row r="770" spans="1:78" ht="15.75" customHeight="1">
      <c r="A770" s="45" t="s">
        <v>2311</v>
      </c>
      <c r="B770" s="59"/>
      <c r="C770" s="46"/>
      <c r="D770" s="46"/>
      <c r="E770" s="66" t="s">
        <v>2391</v>
      </c>
      <c r="F770" s="47"/>
      <c r="G770" s="48"/>
      <c r="H770" s="49"/>
      <c r="I770" s="49"/>
      <c r="J770" s="49">
        <v>1</v>
      </c>
      <c r="K770" s="50" t="s">
        <v>155</v>
      </c>
      <c r="L770" s="49"/>
      <c r="M770" s="49"/>
      <c r="N770" s="49"/>
      <c r="O770" s="50"/>
      <c r="P770" s="50"/>
      <c r="Q770" s="50"/>
      <c r="R770" s="50"/>
      <c r="S770" s="50"/>
      <c r="T770" s="50"/>
      <c r="U770" s="50"/>
      <c r="V770" s="50"/>
      <c r="W770" s="50"/>
      <c r="X770" s="50"/>
      <c r="Y770" s="50"/>
      <c r="Z770" s="50"/>
      <c r="AA770" s="52"/>
      <c r="AB770" s="52"/>
      <c r="AC770" s="52"/>
      <c r="AD770" s="231"/>
      <c r="AE770" s="49"/>
      <c r="AF770" s="84"/>
      <c r="AG770" s="49"/>
      <c r="AH770" s="49"/>
      <c r="AI770" s="49"/>
      <c r="AJ770" s="226"/>
      <c r="AK770" s="49"/>
      <c r="AL770" s="113">
        <f t="shared" si="314"/>
        <v>0</v>
      </c>
      <c r="AM770" s="113">
        <f t="shared" si="312"/>
        <v>0</v>
      </c>
      <c r="AN770" s="218"/>
      <c r="AO770" s="49"/>
      <c r="AP770" s="49"/>
      <c r="AQ770" s="84" t="str">
        <f>UPPER(RIGHT(Journal_Live[[#This Row],[DURATION ]]))</f>
        <v/>
      </c>
      <c r="AR770" s="49"/>
      <c r="AS770" s="55"/>
      <c r="AT770" s="55"/>
      <c r="AU770" s="54"/>
      <c r="AV770" s="56"/>
      <c r="AW770" s="57"/>
      <c r="AX770" s="153"/>
      <c r="AY770" s="153"/>
      <c r="AZ770" s="153"/>
      <c r="BA770" s="153"/>
      <c r="BB770" s="153"/>
      <c r="BC770" s="153"/>
      <c r="BD770" s="151"/>
      <c r="BE770" s="152"/>
      <c r="BF770" s="151"/>
      <c r="BG770" s="94">
        <f>SUM($AV$4:AV770)</f>
        <v>4836.6140742929338</v>
      </c>
      <c r="BH770" s="95">
        <f>SUM($AU$4:AU770)</f>
        <v>51414.63922077918</v>
      </c>
      <c r="BI770" s="80">
        <f>SUMIFS($AU$3:AU783,$Q$3:Q783,"F")</f>
        <v>36587.078121878127</v>
      </c>
      <c r="BJ770" s="80">
        <f>SUMIFS($AU$3:AU783,$Q$3:Q783,"S")</f>
        <v>21362.285714285714</v>
      </c>
      <c r="BK770" s="87">
        <f>SUMIFS($AU$3:AU783,$P$3:P783,"W")</f>
        <v>34464.143836164178</v>
      </c>
      <c r="BL770" s="87">
        <f>SUMIFS($AU$3:AU783,$P$3:P783,"R")</f>
        <v>17812.400000000162</v>
      </c>
      <c r="BM770" s="87">
        <f>SUMIFS($AU$3:AU783,$AQ$3:AQ783,"M")</f>
        <v>12131.179999998967</v>
      </c>
      <c r="BN770" s="87">
        <f>SUMIFS($AU$3:AU783,$AQ$3:AQ783,"H")</f>
        <v>14523.200000000877</v>
      </c>
      <c r="BO770" s="87">
        <f>SUMIFS($AU$3:AU783,$AQ$3:AQ783,"D")</f>
        <v>11302.377472527354</v>
      </c>
      <c r="BP770" s="87">
        <f>SUMIFS($AS$3:AS1310,$AO$3:AO1310,"W")</f>
        <v>0</v>
      </c>
      <c r="BQ770" s="87">
        <f>SUMIFS($AU$3:AU783,$Q$3:Q783,"O")</f>
        <v>-5384.9400000000251</v>
      </c>
      <c r="BR770" s="87">
        <f>SUMIFS($AU$3:AU783,$AA$3:AA783,"*")</f>
        <v>40521.522077921829</v>
      </c>
      <c r="BS770" s="87">
        <f>SUMIFS($AU$3:AU783,$AB$3:AB783,"*")</f>
        <v>14587.859999999973</v>
      </c>
      <c r="BT770" s="87">
        <f>SUMIFS($AU$3:AU783,$AC$3:AC783,"*")</f>
        <v>45147.078121878294</v>
      </c>
      <c r="BU770" s="87">
        <f>SUMIFS($AU$3:AU783,$AA$3:AA783,"*",$AB$3:AB783,"*")</f>
        <v>8011.9999999997544</v>
      </c>
      <c r="BV770" s="87">
        <f>SUMIFS($AU$3:AU783,$AA$3:AA783,"*",$AC$3:AC783,"*")</f>
        <v>31600.036363636533</v>
      </c>
      <c r="BW770" s="87">
        <f>SUMIFS($AU$3:AU783,$AB$3:AB783,"*",$AC$3:AC783,"*")</f>
        <v>10976</v>
      </c>
      <c r="BX770" s="87">
        <f>SUMIFS($AV$3:AV783,$Q$3:Q783,"F")</f>
        <v>493.65837744248347</v>
      </c>
      <c r="BY770" s="87">
        <f>SUMIFS($AV$3:AV783,$Q$3:Q783,"S")</f>
        <v>756.6113419057275</v>
      </c>
      <c r="BZ770" s="87">
        <f>SUMIFS($AV$3:AV783,$Q$3:Q783,"O")</f>
        <v>471.55929999966099</v>
      </c>
    </row>
    <row r="771" spans="1:78" ht="15.75" customHeight="1">
      <c r="A771" s="45" t="s">
        <v>2311</v>
      </c>
      <c r="B771" s="59">
        <v>45449</v>
      </c>
      <c r="C771" s="46"/>
      <c r="D771" s="46" t="s">
        <v>107</v>
      </c>
      <c r="E771" s="66" t="s">
        <v>2392</v>
      </c>
      <c r="F771" s="47"/>
      <c r="G771" s="48"/>
      <c r="H771" s="49"/>
      <c r="I771" s="49"/>
      <c r="J771" s="49"/>
      <c r="K771" s="50"/>
      <c r="L771" s="49"/>
      <c r="M771" s="49"/>
      <c r="N771" s="49"/>
      <c r="O771" s="50"/>
      <c r="P771" s="50"/>
      <c r="Q771" s="50"/>
      <c r="R771" s="50"/>
      <c r="S771" s="50"/>
      <c r="T771" s="50"/>
      <c r="U771" s="50"/>
      <c r="V771" s="50"/>
      <c r="W771" s="50"/>
      <c r="X771" s="50"/>
      <c r="Y771" s="50"/>
      <c r="Z771" s="50"/>
      <c r="AA771" s="52"/>
      <c r="AB771" s="52"/>
      <c r="AC771" s="52"/>
      <c r="AD771" s="231"/>
      <c r="AE771" s="49"/>
      <c r="AF771" s="84"/>
      <c r="AG771" s="49"/>
      <c r="AH771" s="49"/>
      <c r="AI771" s="49"/>
      <c r="AJ771" s="226"/>
      <c r="AK771" s="49"/>
      <c r="AL771" s="113">
        <f t="shared" si="314"/>
        <v>0</v>
      </c>
      <c r="AM771" s="113">
        <f t="shared" si="312"/>
        <v>0</v>
      </c>
      <c r="AN771" s="218"/>
      <c r="AO771" s="49"/>
      <c r="AP771" s="49"/>
      <c r="AQ771" s="84" t="str">
        <f>UPPER(RIGHT(Journal_Live[[#This Row],[DURATION ]]))</f>
        <v/>
      </c>
      <c r="AR771" s="49"/>
      <c r="AS771" s="55"/>
      <c r="AT771" s="55"/>
      <c r="AU771" s="54"/>
      <c r="AV771" s="56"/>
      <c r="AW771" s="57"/>
      <c r="AX771" s="153" t="s">
        <v>2393</v>
      </c>
      <c r="AY771" s="153" t="s">
        <v>2394</v>
      </c>
      <c r="AZ771" s="153" t="s">
        <v>2395</v>
      </c>
      <c r="BA771" s="153" t="s">
        <v>2396</v>
      </c>
      <c r="BB771" s="153"/>
      <c r="BC771" s="153"/>
      <c r="BD771" s="151"/>
      <c r="BE771" s="152"/>
      <c r="BF771" s="151"/>
      <c r="BG771" s="94">
        <f>SUM($AV$4:AV771)</f>
        <v>4836.6140742929338</v>
      </c>
      <c r="BH771" s="95">
        <f>SUM($AU$4:AU771)</f>
        <v>51414.63922077918</v>
      </c>
      <c r="BI771" s="80">
        <f>SUMIFS($AU$3:AU772,$Q$3:Q772,"F")</f>
        <v>32973.293506493508</v>
      </c>
      <c r="BJ771" s="80">
        <f>SUMIFS($AU$3:AU772,$Q$3:Q772,"S")</f>
        <v>21202.285714285714</v>
      </c>
      <c r="BK771" s="87">
        <f>SUMIFS($AU$3:AU772,$P$3:P772,"W")</f>
        <v>32776.759220779561</v>
      </c>
      <c r="BL771" s="87">
        <f>SUMIFS($AU$3:AU772,$P$3:P772,"R")</f>
        <v>15726.00000000016</v>
      </c>
      <c r="BM771" s="87">
        <f>SUMIFS($AU$3:AU772,$AQ$3:AQ772,"M")</f>
        <v>12131.179999998967</v>
      </c>
      <c r="BN771" s="87">
        <f>SUMIFS($AU$3:AU772,$AQ$3:AQ772,"H")</f>
        <v>14523.200000000877</v>
      </c>
      <c r="BO771" s="87">
        <f>SUMIFS($AU$3:AU772,$AQ$3:AQ772,"D")</f>
        <v>8014.9928571427408</v>
      </c>
      <c r="BP771" s="87">
        <f>SUMIFS($AS$3:AS1299,$AO$3:AO1299,"W")</f>
        <v>0</v>
      </c>
      <c r="BQ771" s="87">
        <f>SUMIFS($AU$3:AU772,$Q$3:Q772,"O")</f>
        <v>-5384.9400000000251</v>
      </c>
      <c r="BR771" s="87">
        <f>SUMIFS($AU$3:AU772,$AA$3:AA772,"*")</f>
        <v>38275.122077921827</v>
      </c>
      <c r="BS771" s="87">
        <f>SUMIFS($AU$3:AU772,$AB$3:AB772,"*")</f>
        <v>12971.859999999973</v>
      </c>
      <c r="BT771" s="87">
        <f>SUMIFS($AU$3:AU772,$AC$3:AC772,"*")</f>
        <v>41373.293506493676</v>
      </c>
      <c r="BU771" s="87">
        <f>SUMIFS($AU$3:AU772,$AA$3:AA772,"*",$AB$3:AB772,"*")</f>
        <v>8011.9999999997544</v>
      </c>
      <c r="BV771" s="87">
        <f>SUMIFS($AU$3:AU772,$AA$3:AA772,"*",$AC$3:AC772,"*")</f>
        <v>29353.636363636531</v>
      </c>
      <c r="BW771" s="87">
        <f>SUMIFS($AU$3:AU772,$AB$3:AB772,"*",$AC$3:AC772,"*")</f>
        <v>9360</v>
      </c>
      <c r="BX771" s="87">
        <f>SUMIFS($AV$3:AV772,$Q$3:Q772,"F")</f>
        <v>462.72914667325267</v>
      </c>
      <c r="BY771" s="87">
        <f>SUMIFS($AV$3:AV772,$Q$3:Q772,"S")</f>
        <v>754.32562762001328</v>
      </c>
      <c r="BZ771" s="87">
        <f>SUMIFS($AV$3:AV772,$Q$3:Q772,"O")</f>
        <v>471.55929999966099</v>
      </c>
    </row>
    <row r="772" spans="1:78" ht="15.75" customHeight="1">
      <c r="A772" s="45" t="s">
        <v>2311</v>
      </c>
      <c r="B772" s="59">
        <v>45450</v>
      </c>
      <c r="C772" s="46" t="s">
        <v>2012</v>
      </c>
      <c r="D772" s="46" t="s">
        <v>115</v>
      </c>
      <c r="E772" s="66"/>
      <c r="F772" s="47"/>
      <c r="G772" s="104" t="s">
        <v>227</v>
      </c>
      <c r="H772" s="49"/>
      <c r="I772" s="49"/>
      <c r="J772" s="49"/>
      <c r="K772" s="50"/>
      <c r="L772" s="49"/>
      <c r="M772" s="49">
        <v>2</v>
      </c>
      <c r="N772" s="49"/>
      <c r="O772" s="50" t="s">
        <v>100</v>
      </c>
      <c r="P772" s="50" t="s">
        <v>101</v>
      </c>
      <c r="Q772" s="50" t="s">
        <v>102</v>
      </c>
      <c r="R772" s="50">
        <v>30</v>
      </c>
      <c r="S772" s="50">
        <v>0</v>
      </c>
      <c r="T772" s="50">
        <v>30</v>
      </c>
      <c r="U772" s="50" t="s">
        <v>102</v>
      </c>
      <c r="V772" s="50"/>
      <c r="W772" s="50"/>
      <c r="X772" s="50"/>
      <c r="Y772" s="51">
        <f>IF(ISBLANK(O772),"",(IF(O772=UPPER("IB"),0.005,0.01)))</f>
        <v>0.01</v>
      </c>
      <c r="Z772" s="52">
        <f>IF(ISBLANK(O772),"",IF(O772="IB",8.63*200,IF(O772="IR",16*100,IF(O772="YT",20*100,IF(O772="YT-XT",24*200,IF(O772="TED",80*100,IF(O772="IR|YT",300*100)))))))</f>
        <v>1600</v>
      </c>
      <c r="AA772" s="52"/>
      <c r="AB772" s="52"/>
      <c r="AC772" s="52" t="s">
        <v>2397</v>
      </c>
      <c r="AD772" s="231">
        <v>-0.05</v>
      </c>
      <c r="AE772" s="49"/>
      <c r="AF772" s="84"/>
      <c r="AG772" s="49"/>
      <c r="AH772" s="49"/>
      <c r="AI772" s="49"/>
      <c r="AJ772" s="226"/>
      <c r="AK772" s="49"/>
      <c r="AL772" s="113">
        <f t="shared" si="314"/>
        <v>-32</v>
      </c>
      <c r="AM772" s="113">
        <f t="shared" ref="AM772:AM803" si="318">AL772*(R772-S772)</f>
        <v>-960</v>
      </c>
      <c r="AN772" s="218"/>
      <c r="AO772" s="49"/>
      <c r="AP772" s="49" t="s">
        <v>1212</v>
      </c>
      <c r="AQ772" s="84" t="s">
        <v>142</v>
      </c>
      <c r="AR772" s="49"/>
      <c r="AS772" s="55">
        <v>-0.05</v>
      </c>
      <c r="AT772" s="55">
        <f>IF(ISBLANK(AS772),,IF(U772="S",AD772-AS772,AS772-AD772))</f>
        <v>0</v>
      </c>
      <c r="AU772" s="54">
        <f>AV772*R772</f>
        <v>0</v>
      </c>
      <c r="AV772" s="56">
        <f t="shared" ref="AV772:AV836" si="319">IF(ISBLANK(AS772),,(AT772*Z772))</f>
        <v>0</v>
      </c>
      <c r="AW772" s="57" t="s">
        <v>155</v>
      </c>
      <c r="AX772" s="153" t="s">
        <v>2398</v>
      </c>
      <c r="AY772" s="153"/>
      <c r="AZ772" s="153"/>
      <c r="BA772" s="153"/>
      <c r="BB772" s="153"/>
      <c r="BC772" s="153"/>
      <c r="BD772" s="151"/>
      <c r="BE772" s="152"/>
      <c r="BF772" s="151"/>
      <c r="BG772" s="94">
        <f>SUM($AV$4:AV772)</f>
        <v>4836.6140742929338</v>
      </c>
      <c r="BH772" s="95">
        <f>SUM($AU$4:AU772)</f>
        <v>51414.63922077918</v>
      </c>
      <c r="BI772" s="80">
        <f>SUMIFS($AU$3:AU773,$Q$3:Q773,"F")</f>
        <v>32973.293506493508</v>
      </c>
      <c r="BJ772" s="80">
        <f>SUMIFS($AU$3:AU773,$Q$3:Q773,"S")</f>
        <v>21202.285714285714</v>
      </c>
      <c r="BK772" s="87">
        <f>SUMIFS($AU$3:AU773,$P$3:P773,"W")</f>
        <v>32776.759220779561</v>
      </c>
      <c r="BL772" s="87">
        <f>SUMIFS($AU$3:AU773,$P$3:P773,"R")</f>
        <v>15726.00000000016</v>
      </c>
      <c r="BM772" s="87">
        <f>SUMIFS($AU$3:AU773,$AQ$3:AQ773,"M")</f>
        <v>12131.179999998967</v>
      </c>
      <c r="BN772" s="87">
        <f>SUMIFS($AU$3:AU773,$AQ$3:AQ773,"H")</f>
        <v>14523.200000000877</v>
      </c>
      <c r="BO772" s="87">
        <f>SUMIFS($AU$3:AU773,$AQ$3:AQ773,"D")</f>
        <v>8014.9928571427408</v>
      </c>
      <c r="BP772" s="87">
        <f>SUMIFS($AS$3:AS1300,$AO$3:AO1300,"W")</f>
        <v>0</v>
      </c>
      <c r="BQ772" s="87">
        <f>SUMIFS($AU$3:AU773,$Q$3:Q773,"O")</f>
        <v>-5384.9400000000251</v>
      </c>
      <c r="BR772" s="87">
        <f>SUMIFS($AU$3:AU773,$AA$3:AA773,"*")</f>
        <v>38275.122077921827</v>
      </c>
      <c r="BS772" s="87">
        <f>SUMIFS($AU$3:AU773,$AB$3:AB773,"*")</f>
        <v>12971.859999999973</v>
      </c>
      <c r="BT772" s="87">
        <f>SUMIFS($AU$3:AU773,$AC$3:AC773,"*")</f>
        <v>41373.293506493676</v>
      </c>
      <c r="BU772" s="87">
        <f>SUMIFS($AU$3:AU773,$AA$3:AA773,"*",$AB$3:AB773,"*")</f>
        <v>8011.9999999997544</v>
      </c>
      <c r="BV772" s="87">
        <f>SUMIFS($AU$3:AU773,$AA$3:AA773,"*",$AC$3:AC773,"*")</f>
        <v>29353.636363636531</v>
      </c>
      <c r="BW772" s="87">
        <f>SUMIFS($AU$3:AU773,$AB$3:AB773,"*",$AC$3:AC773,"*")</f>
        <v>9360</v>
      </c>
      <c r="BX772" s="87">
        <f>SUMIFS($AV$3:AV773,$Q$3:Q773,"F")</f>
        <v>462.72914667325267</v>
      </c>
      <c r="BY772" s="87">
        <f>SUMIFS($AV$3:AV773,$Q$3:Q773,"S")</f>
        <v>754.32562762001328</v>
      </c>
      <c r="BZ772" s="87">
        <f>SUMIFS($AV$3:AV773,$Q$3:Q773,"O")</f>
        <v>471.55929999966099</v>
      </c>
    </row>
    <row r="773" spans="1:78" ht="15.75" customHeight="1">
      <c r="A773" s="45" t="s">
        <v>2311</v>
      </c>
      <c r="B773" s="59">
        <v>45450</v>
      </c>
      <c r="C773" s="46" t="s">
        <v>1143</v>
      </c>
      <c r="D773" s="46" t="s">
        <v>115</v>
      </c>
      <c r="E773" s="66" t="s">
        <v>2399</v>
      </c>
      <c r="F773" s="47" t="s">
        <v>2400</v>
      </c>
      <c r="G773" s="48"/>
      <c r="H773" s="49">
        <v>1</v>
      </c>
      <c r="I773" s="49"/>
      <c r="J773" s="49"/>
      <c r="K773" s="50" t="s">
        <v>142</v>
      </c>
      <c r="L773" s="49"/>
      <c r="M773" s="49"/>
      <c r="N773" s="49"/>
      <c r="O773" s="50"/>
      <c r="P773" s="50"/>
      <c r="Q773" s="50"/>
      <c r="R773" s="50"/>
      <c r="S773" s="50"/>
      <c r="T773" s="50"/>
      <c r="U773" s="50"/>
      <c r="V773" s="50"/>
      <c r="W773" s="50"/>
      <c r="X773" s="50"/>
      <c r="Y773" s="51"/>
      <c r="Z773" s="52"/>
      <c r="AA773" s="52"/>
      <c r="AB773" s="52"/>
      <c r="AC773" s="52"/>
      <c r="AD773" s="231"/>
      <c r="AE773" s="49"/>
      <c r="AF773" s="84"/>
      <c r="AG773" s="49"/>
      <c r="AH773" s="49"/>
      <c r="AI773" s="49"/>
      <c r="AJ773" s="226"/>
      <c r="AK773" s="49"/>
      <c r="AL773" s="113">
        <f t="shared" si="314"/>
        <v>0</v>
      </c>
      <c r="AM773" s="113">
        <f t="shared" si="318"/>
        <v>0</v>
      </c>
      <c r="AN773" s="218"/>
      <c r="AO773" s="49"/>
      <c r="AP773" s="49"/>
      <c r="AQ773" s="84" t="str">
        <f>UPPER(RIGHT(Journal_Live[[#This Row],[DURATION ]]))</f>
        <v/>
      </c>
      <c r="AR773" s="49"/>
      <c r="AS773" s="55"/>
      <c r="AT773" s="55"/>
      <c r="AU773" s="54"/>
      <c r="AV773" s="56"/>
      <c r="AW773" s="57"/>
      <c r="AX773" s="153"/>
      <c r="AY773" s="153"/>
      <c r="AZ773" s="153"/>
      <c r="BA773" s="153"/>
      <c r="BB773" s="153"/>
      <c r="BC773" s="153"/>
      <c r="BD773" s="151"/>
      <c r="BE773" s="152"/>
      <c r="BF773" s="151"/>
      <c r="BG773" s="94">
        <f>SUM($AV$4:AV773)</f>
        <v>4836.6140742929338</v>
      </c>
      <c r="BH773" s="95">
        <f>SUM($AU$4:AU773)</f>
        <v>51414.63922077918</v>
      </c>
      <c r="BI773" s="80">
        <f>SUMIFS($AU$3:AU774,$Q$3:Q774,"F")</f>
        <v>32973.293506493508</v>
      </c>
      <c r="BJ773" s="80">
        <f>SUMIFS($AU$3:AU774,$Q$3:Q774,"S")</f>
        <v>21202.285714285714</v>
      </c>
      <c r="BK773" s="87">
        <f>SUMIFS($AU$3:AU774,$P$3:P774,"W")</f>
        <v>32776.759220779561</v>
      </c>
      <c r="BL773" s="87">
        <f>SUMIFS($AU$3:AU774,$P$3:P774,"R")</f>
        <v>15726.00000000016</v>
      </c>
      <c r="BM773" s="87">
        <f>SUMIFS($AU$3:AU774,$AQ$3:AQ774,"M")</f>
        <v>12131.179999998967</v>
      </c>
      <c r="BN773" s="87">
        <f>SUMIFS($AU$3:AU774,$AQ$3:AQ774,"H")</f>
        <v>14523.200000000877</v>
      </c>
      <c r="BO773" s="87">
        <f>SUMIFS($AU$3:AU774,$AQ$3:AQ774,"D")</f>
        <v>8014.9928571427408</v>
      </c>
      <c r="BP773" s="87">
        <f>SUMIFS($AS$3:AS1301,$AO$3:AO1301,"W")</f>
        <v>0</v>
      </c>
      <c r="BQ773" s="87">
        <f>SUMIFS($AU$3:AU774,$Q$3:Q774,"O")</f>
        <v>-5384.9400000000251</v>
      </c>
      <c r="BR773" s="87">
        <f>SUMIFS($AU$3:AU774,$AA$3:AA774,"*")</f>
        <v>38275.122077921827</v>
      </c>
      <c r="BS773" s="87">
        <f>SUMIFS($AU$3:AU774,$AB$3:AB774,"*")</f>
        <v>12971.859999999973</v>
      </c>
      <c r="BT773" s="87">
        <f>SUMIFS($AU$3:AU774,$AC$3:AC774,"*")</f>
        <v>41373.293506493676</v>
      </c>
      <c r="BU773" s="87">
        <f>SUMIFS($AU$3:AU774,$AA$3:AA774,"*",$AB$3:AB774,"*")</f>
        <v>8011.9999999997544</v>
      </c>
      <c r="BV773" s="87">
        <f>SUMIFS($AU$3:AU774,$AA$3:AA774,"*",$AC$3:AC774,"*")</f>
        <v>29353.636363636531</v>
      </c>
      <c r="BW773" s="87">
        <f>SUMIFS($AU$3:AU774,$AB$3:AB774,"*",$AC$3:AC774,"*")</f>
        <v>9360</v>
      </c>
      <c r="BX773" s="87">
        <f>SUMIFS($AV$3:AV774,$Q$3:Q774,"F")</f>
        <v>462.72914667325267</v>
      </c>
      <c r="BY773" s="87">
        <f>SUMIFS($AV$3:AV774,$Q$3:Q774,"S")</f>
        <v>754.32562762001328</v>
      </c>
      <c r="BZ773" s="87">
        <f>SUMIFS($AV$3:AV774,$Q$3:Q774,"O")</f>
        <v>471.55929999966099</v>
      </c>
    </row>
    <row r="774" spans="1:78" ht="15.75" customHeight="1">
      <c r="A774" s="45" t="s">
        <v>2311</v>
      </c>
      <c r="B774" s="59"/>
      <c r="C774" s="46"/>
      <c r="D774" s="46"/>
      <c r="E774" s="66" t="s">
        <v>2401</v>
      </c>
      <c r="F774" s="47"/>
      <c r="G774" s="48"/>
      <c r="H774" s="49"/>
      <c r="I774" s="49"/>
      <c r="J774" s="49"/>
      <c r="K774" s="50"/>
      <c r="L774" s="49"/>
      <c r="M774" s="49"/>
      <c r="N774" s="49"/>
      <c r="O774" s="50"/>
      <c r="P774" s="50"/>
      <c r="Q774" s="50"/>
      <c r="R774" s="50"/>
      <c r="S774" s="50"/>
      <c r="T774" s="50"/>
      <c r="U774" s="50"/>
      <c r="V774" s="50"/>
      <c r="W774" s="50"/>
      <c r="X774" s="50"/>
      <c r="Y774" s="51"/>
      <c r="Z774" s="52"/>
      <c r="AA774" s="52"/>
      <c r="AB774" s="52"/>
      <c r="AC774" s="52"/>
      <c r="AD774" s="231"/>
      <c r="AE774" s="49"/>
      <c r="AF774" s="84"/>
      <c r="AG774" s="49"/>
      <c r="AH774" s="49"/>
      <c r="AI774" s="49"/>
      <c r="AJ774" s="226"/>
      <c r="AK774" s="49"/>
      <c r="AL774" s="113">
        <f t="shared" si="314"/>
        <v>0</v>
      </c>
      <c r="AM774" s="113">
        <f t="shared" si="318"/>
        <v>0</v>
      </c>
      <c r="AN774" s="218"/>
      <c r="AO774" s="49"/>
      <c r="AP774" s="49"/>
      <c r="AQ774" s="84" t="str">
        <f>UPPER(RIGHT(Journal_Live[[#This Row],[DURATION ]]))</f>
        <v/>
      </c>
      <c r="AR774" s="49"/>
      <c r="AS774" s="55"/>
      <c r="AT774" s="55"/>
      <c r="AU774" s="54"/>
      <c r="AV774" s="56"/>
      <c r="AW774" s="57"/>
      <c r="AX774" s="153"/>
      <c r="AY774" s="153"/>
      <c r="AZ774" s="153"/>
      <c r="BA774" s="153"/>
      <c r="BB774" s="153"/>
      <c r="BC774" s="153"/>
      <c r="BD774" s="151"/>
      <c r="BE774" s="152"/>
      <c r="BF774" s="151"/>
      <c r="BG774" s="94">
        <f>SUM($AV$4:AV774)</f>
        <v>4836.6140742929338</v>
      </c>
      <c r="BH774" s="95">
        <f>SUM($AU$4:AU774)</f>
        <v>51414.63922077918</v>
      </c>
      <c r="BI774" s="80">
        <f>SUMIFS($AU$3:AU775,$Q$3:Q775,"F")</f>
        <v>34573.293506493508</v>
      </c>
      <c r="BJ774" s="80">
        <f>SUMIFS($AU$3:AU775,$Q$3:Q775,"S")</f>
        <v>21202.285714285714</v>
      </c>
      <c r="BK774" s="87">
        <f>SUMIFS($AU$3:AU775,$P$3:P775,"W")</f>
        <v>32776.759220779561</v>
      </c>
      <c r="BL774" s="87">
        <f>SUMIFS($AU$3:AU775,$P$3:P775,"R")</f>
        <v>17326.00000000016</v>
      </c>
      <c r="BM774" s="87">
        <f>SUMIFS($AU$3:AU775,$AQ$3:AQ775,"M")</f>
        <v>12131.179999998967</v>
      </c>
      <c r="BN774" s="87">
        <f>SUMIFS($AU$3:AU775,$AQ$3:AQ775,"H")</f>
        <v>14523.200000000877</v>
      </c>
      <c r="BO774" s="87">
        <f>SUMIFS($AU$3:AU775,$AQ$3:AQ775,"D")</f>
        <v>9614.9928571427408</v>
      </c>
      <c r="BP774" s="87">
        <f>SUMIFS($AS$3:AS1302,$AO$3:AO1302,"W")</f>
        <v>0</v>
      </c>
      <c r="BQ774" s="87">
        <f>SUMIFS($AU$3:AU775,$Q$3:Q775,"O")</f>
        <v>-5384.9400000000251</v>
      </c>
      <c r="BR774" s="87">
        <f>SUMIFS($AU$3:AU775,$AA$3:AA775,"*")</f>
        <v>39875.122077921827</v>
      </c>
      <c r="BS774" s="87">
        <f>SUMIFS($AU$3:AU775,$AB$3:AB775,"*")</f>
        <v>12971.859999999973</v>
      </c>
      <c r="BT774" s="87">
        <f>SUMIFS($AU$3:AU775,$AC$3:AC775,"*")</f>
        <v>42973.293506493676</v>
      </c>
      <c r="BU774" s="87">
        <f>SUMIFS($AU$3:AU775,$AA$3:AA775,"*",$AB$3:AB775,"*")</f>
        <v>8011.9999999997544</v>
      </c>
      <c r="BV774" s="87">
        <f>SUMIFS($AU$3:AU775,$AA$3:AA775,"*",$AC$3:AC775,"*")</f>
        <v>30953.636363636531</v>
      </c>
      <c r="BW774" s="87">
        <f>SUMIFS($AU$3:AU775,$AB$3:AB775,"*",$AC$3:AC775,"*")</f>
        <v>9360</v>
      </c>
      <c r="BX774" s="87">
        <f>SUMIFS($AV$3:AV775,$Q$3:Q775,"F")</f>
        <v>478.72914667325267</v>
      </c>
      <c r="BY774" s="87">
        <f>SUMIFS($AV$3:AV775,$Q$3:Q775,"S")</f>
        <v>754.32562762001328</v>
      </c>
      <c r="BZ774" s="87">
        <f>SUMIFS($AV$3:AV775,$Q$3:Q775,"O")</f>
        <v>471.55929999966099</v>
      </c>
    </row>
    <row r="775" spans="1:78" ht="15.75" customHeight="1">
      <c r="A775" s="45" t="s">
        <v>2311</v>
      </c>
      <c r="B775" s="59">
        <v>45450</v>
      </c>
      <c r="C775" s="46" t="s">
        <v>2402</v>
      </c>
      <c r="D775" s="46" t="s">
        <v>115</v>
      </c>
      <c r="E775" s="66"/>
      <c r="F775" s="47"/>
      <c r="G775" s="110" t="s">
        <v>2357</v>
      </c>
      <c r="H775" s="49"/>
      <c r="I775" s="49"/>
      <c r="J775" s="49"/>
      <c r="K775" s="50"/>
      <c r="L775" s="49"/>
      <c r="M775" s="49">
        <v>2</v>
      </c>
      <c r="N775" s="49"/>
      <c r="O775" s="50" t="s">
        <v>100</v>
      </c>
      <c r="P775" s="50" t="s">
        <v>126</v>
      </c>
      <c r="Q775" s="50" t="s">
        <v>127</v>
      </c>
      <c r="R775" s="50">
        <v>100</v>
      </c>
      <c r="S775" s="50">
        <v>0</v>
      </c>
      <c r="T775" s="50">
        <v>100</v>
      </c>
      <c r="U775" s="50" t="s">
        <v>22</v>
      </c>
      <c r="V775" s="50"/>
      <c r="W775" s="50"/>
      <c r="X775" s="50"/>
      <c r="Y775" s="51">
        <f>IF(ISBLANK(O775),"",(IF(O775=UPPER("IB"),0.005,0.01)))</f>
        <v>0.01</v>
      </c>
      <c r="Z775" s="52">
        <f>IF(ISBLANK(O775),"",IF(O775="IB",8.63*200,IF(O775="IR",16*100,IF(O775="YT",20*100,IF(O775="YT-XT",24*200,IF(O775="TED",80*100,IF(O775="IR|YT",300*100)))))))</f>
        <v>1600</v>
      </c>
      <c r="AA775" s="52" t="s">
        <v>596</v>
      </c>
      <c r="AB775" s="52"/>
      <c r="AC775" s="52" t="s">
        <v>2403</v>
      </c>
      <c r="AD775" s="231">
        <v>-0.04</v>
      </c>
      <c r="AE775" s="49"/>
      <c r="AF775" s="84"/>
      <c r="AG775" s="49"/>
      <c r="AH775" s="49">
        <v>-2</v>
      </c>
      <c r="AI775" s="49"/>
      <c r="AJ775" s="226"/>
      <c r="AK775" s="49"/>
      <c r="AL775" s="113">
        <f t="shared" si="314"/>
        <v>-32</v>
      </c>
      <c r="AM775" s="113">
        <f t="shared" si="318"/>
        <v>-3200</v>
      </c>
      <c r="AN775" s="218"/>
      <c r="AO775" s="49"/>
      <c r="AP775" s="49" t="s">
        <v>265</v>
      </c>
      <c r="AQ775" s="84" t="s">
        <v>155</v>
      </c>
      <c r="AR775" s="74" t="s">
        <v>2404</v>
      </c>
      <c r="AS775" s="55">
        <v>-0.03</v>
      </c>
      <c r="AT775" s="55">
        <f>IF(ISBLANK(AS775),,IF(U775="S",AD775-AS775,AS775-AD775))</f>
        <v>1.0000000000000002E-2</v>
      </c>
      <c r="AU775" s="54">
        <f>AV775*R775</f>
        <v>1600.0000000000005</v>
      </c>
      <c r="AV775" s="56">
        <f t="shared" si="319"/>
        <v>16.000000000000004</v>
      </c>
      <c r="AW775" s="57" t="s">
        <v>101</v>
      </c>
      <c r="AX775" s="153" t="s">
        <v>2405</v>
      </c>
      <c r="AY775" s="153" t="s">
        <v>2024</v>
      </c>
      <c r="AZ775" s="153"/>
      <c r="BA775" s="153"/>
      <c r="BB775" s="153"/>
      <c r="BC775" s="153"/>
      <c r="BD775" s="151"/>
      <c r="BE775" s="152"/>
      <c r="BF775" s="151"/>
      <c r="BG775" s="94">
        <f>SUM($AV$4:AV775)</f>
        <v>4852.6140742929338</v>
      </c>
      <c r="BH775" s="95">
        <f>SUM($AU$4:AU775)</f>
        <v>53014.63922077918</v>
      </c>
      <c r="BI775" s="80">
        <f>SUMIFS($AU$3:AU776,$Q$3:Q776,"F")</f>
        <v>34573.293506493508</v>
      </c>
      <c r="BJ775" s="80">
        <f>SUMIFS($AU$3:AU776,$Q$3:Q776,"S")</f>
        <v>21362.285714285714</v>
      </c>
      <c r="BK775" s="87">
        <f>SUMIFS($AU$3:AU776,$P$3:P776,"W")</f>
        <v>32936.759220779561</v>
      </c>
      <c r="BL775" s="87">
        <f>SUMIFS($AU$3:AU776,$P$3:P776,"R")</f>
        <v>17326.00000000016</v>
      </c>
      <c r="BM775" s="87">
        <f>SUMIFS($AU$3:AU776,$AQ$3:AQ776,"M")</f>
        <v>12131.179999998967</v>
      </c>
      <c r="BN775" s="87">
        <f>SUMIFS($AU$3:AU776,$AQ$3:AQ776,"H")</f>
        <v>14523.200000000877</v>
      </c>
      <c r="BO775" s="87">
        <f>SUMIFS($AU$3:AU776,$AQ$3:AQ776,"D")</f>
        <v>9774.992857142739</v>
      </c>
      <c r="BP775" s="87">
        <f>SUMIFS($AS$3:AS1303,$AO$3:AO1303,"W")</f>
        <v>0</v>
      </c>
      <c r="BQ775" s="87">
        <f>SUMIFS($AU$3:AU776,$Q$3:Q776,"O")</f>
        <v>-5384.9400000000251</v>
      </c>
      <c r="BR775" s="87">
        <f>SUMIFS($AU$3:AU776,$AA$3:AA776,"*")</f>
        <v>40035.122077921827</v>
      </c>
      <c r="BS775" s="87">
        <f>SUMIFS($AU$3:AU776,$AB$3:AB776,"*")</f>
        <v>12971.859999999973</v>
      </c>
      <c r="BT775" s="87">
        <f>SUMIFS($AU$3:AU776,$AC$3:AC776,"*")</f>
        <v>43133.293506493676</v>
      </c>
      <c r="BU775" s="87">
        <f>SUMIFS($AU$3:AU776,$AA$3:AA776,"*",$AB$3:AB776,"*")</f>
        <v>8011.9999999997544</v>
      </c>
      <c r="BV775" s="87">
        <f>SUMIFS($AU$3:AU776,$AA$3:AA776,"*",$AC$3:AC776,"*")</f>
        <v>31113.636363636531</v>
      </c>
      <c r="BW775" s="87">
        <f>SUMIFS($AU$3:AU776,$AB$3:AB776,"*",$AC$3:AC776,"*")</f>
        <v>9360</v>
      </c>
      <c r="BX775" s="87">
        <f>SUMIFS($AV$3:AV776,$Q$3:Q776,"F")</f>
        <v>478.72914667325267</v>
      </c>
      <c r="BY775" s="87">
        <f>SUMIFS($AV$3:AV776,$Q$3:Q776,"S")</f>
        <v>756.6113419057275</v>
      </c>
      <c r="BZ775" s="87">
        <f>SUMIFS($AV$3:AV776,$Q$3:Q776,"O")</f>
        <v>471.55929999966099</v>
      </c>
    </row>
    <row r="776" spans="1:78" ht="15.75" customHeight="1">
      <c r="A776" s="45" t="s">
        <v>2311</v>
      </c>
      <c r="B776" s="59">
        <v>45450</v>
      </c>
      <c r="C776" s="46" t="s">
        <v>2406</v>
      </c>
      <c r="D776" s="46" t="s">
        <v>115</v>
      </c>
      <c r="E776" s="66"/>
      <c r="F776" s="47"/>
      <c r="G776" s="172" t="s">
        <v>2407</v>
      </c>
      <c r="H776" s="49"/>
      <c r="I776" s="49"/>
      <c r="J776" s="49"/>
      <c r="K776" s="50"/>
      <c r="L776" s="49"/>
      <c r="M776" s="49">
        <v>2</v>
      </c>
      <c r="N776" s="49"/>
      <c r="O776" s="50" t="s">
        <v>100</v>
      </c>
      <c r="P776" s="50" t="s">
        <v>101</v>
      </c>
      <c r="Q776" s="50" t="s">
        <v>102</v>
      </c>
      <c r="R776" s="50">
        <v>70</v>
      </c>
      <c r="S776" s="50">
        <v>10</v>
      </c>
      <c r="T776" s="50">
        <v>70</v>
      </c>
      <c r="U776" s="50" t="s">
        <v>102</v>
      </c>
      <c r="V776" s="50"/>
      <c r="W776" s="50"/>
      <c r="X776" s="50"/>
      <c r="Y776" s="51">
        <f>IF(ISBLANK(O776),"",(IF(O776=UPPER("IB"),0.005,0.01)))</f>
        <v>0.01</v>
      </c>
      <c r="Z776" s="52">
        <f>IF(ISBLANK(O776),"",IF(O776="IB",8.63*200,IF(O776="IR",16*100,IF(O776="YT",20*100,IF(O776="YT-XT",24*200,IF(O776="TED",80*100,IF(O776="IR|YT",300*100)))))))</f>
        <v>1600</v>
      </c>
      <c r="AA776" s="52" t="s">
        <v>2408</v>
      </c>
      <c r="AB776" s="52"/>
      <c r="AC776" s="52" t="s">
        <v>2409</v>
      </c>
      <c r="AD776" s="231">
        <v>-0.09</v>
      </c>
      <c r="AE776" s="49"/>
      <c r="AF776" s="84"/>
      <c r="AG776" s="49"/>
      <c r="AH776" s="49">
        <v>-12</v>
      </c>
      <c r="AI776" s="49"/>
      <c r="AJ776" s="226"/>
      <c r="AK776" s="49"/>
      <c r="AL776" s="113">
        <f t="shared" si="314"/>
        <v>-32</v>
      </c>
      <c r="AM776" s="113">
        <f t="shared" si="318"/>
        <v>-1920</v>
      </c>
      <c r="AN776" s="218" t="s">
        <v>2410</v>
      </c>
      <c r="AO776" s="49"/>
      <c r="AP776" s="49" t="s">
        <v>279</v>
      </c>
      <c r="AQ776" s="84" t="s">
        <v>155</v>
      </c>
      <c r="AR776" s="49"/>
      <c r="AS776" s="55">
        <f>((-0.1*10)+(-0.09*60))/70</f>
        <v>-9.1428571428571415E-2</v>
      </c>
      <c r="AT776" s="55">
        <f>IF(ISBLANK(AS776),,IF(U776="S",AD776-AS776,AS776-AD776))</f>
        <v>1.4285714285714179E-3</v>
      </c>
      <c r="AU776" s="54">
        <f>AV776*R776</f>
        <v>159.99999999999881</v>
      </c>
      <c r="AV776" s="56">
        <f t="shared" si="319"/>
        <v>2.2857142857142687</v>
      </c>
      <c r="AW776" s="57" t="s">
        <v>101</v>
      </c>
      <c r="AX776" s="153" t="s">
        <v>277</v>
      </c>
      <c r="AY776" s="153" t="s">
        <v>2411</v>
      </c>
      <c r="AZ776" s="153" t="s">
        <v>2412</v>
      </c>
      <c r="BA776" s="153" t="s">
        <v>2413</v>
      </c>
      <c r="BB776" s="153" t="s">
        <v>2414</v>
      </c>
      <c r="BC776" s="153" t="s">
        <v>2415</v>
      </c>
      <c r="BD776" s="151"/>
      <c r="BE776" s="152"/>
      <c r="BF776" s="151"/>
      <c r="BG776" s="94">
        <f>SUM($AV$4:AV776)</f>
        <v>4854.8997885786484</v>
      </c>
      <c r="BH776" s="95">
        <f>SUM($AU$4:AU776)</f>
        <v>53174.63922077918</v>
      </c>
      <c r="BI776" s="80">
        <f>SUMIFS($AU$3:AU777,$Q$3:Q777,"F")</f>
        <v>34573.293506493508</v>
      </c>
      <c r="BJ776" s="80">
        <f>SUMIFS($AU$3:AU777,$Q$3:Q777,"S")</f>
        <v>21362.285714285714</v>
      </c>
      <c r="BK776" s="87">
        <f>SUMIFS($AU$3:AU777,$P$3:P777,"W")</f>
        <v>32936.759220779561</v>
      </c>
      <c r="BL776" s="87">
        <f>SUMIFS($AU$3:AU777,$P$3:P777,"R")</f>
        <v>17326.00000000016</v>
      </c>
      <c r="BM776" s="87">
        <f>SUMIFS($AU$3:AU777,$AQ$3:AQ777,"M")</f>
        <v>12131.179999998967</v>
      </c>
      <c r="BN776" s="87">
        <f>SUMIFS($AU$3:AU777,$AQ$3:AQ777,"H")</f>
        <v>14523.200000000877</v>
      </c>
      <c r="BO776" s="87">
        <f>SUMIFS($AU$3:AU777,$AQ$3:AQ777,"D")</f>
        <v>9774.992857142739</v>
      </c>
      <c r="BP776" s="87">
        <f>SUMIFS($AS$3:AS1304,$AO$3:AO1304,"W")</f>
        <v>0</v>
      </c>
      <c r="BQ776" s="87">
        <f>SUMIFS($AU$3:AU777,$Q$3:Q777,"O")</f>
        <v>-5384.9400000000251</v>
      </c>
      <c r="BR776" s="87">
        <f>SUMIFS($AU$3:AU777,$AA$3:AA777,"*")</f>
        <v>40035.122077921827</v>
      </c>
      <c r="BS776" s="87">
        <f>SUMIFS($AU$3:AU777,$AB$3:AB777,"*")</f>
        <v>12971.859999999973</v>
      </c>
      <c r="BT776" s="87">
        <f>SUMIFS($AU$3:AU777,$AC$3:AC777,"*")</f>
        <v>43133.293506493676</v>
      </c>
      <c r="BU776" s="87">
        <f>SUMIFS($AU$3:AU777,$AA$3:AA777,"*",$AB$3:AB777,"*")</f>
        <v>8011.9999999997544</v>
      </c>
      <c r="BV776" s="87">
        <f>SUMIFS($AU$3:AU777,$AA$3:AA777,"*",$AC$3:AC777,"*")</f>
        <v>31113.636363636531</v>
      </c>
      <c r="BW776" s="87">
        <f>SUMIFS($AU$3:AU777,$AB$3:AB777,"*",$AC$3:AC777,"*")</f>
        <v>9360</v>
      </c>
      <c r="BX776" s="87">
        <f>SUMIFS($AV$3:AV777,$Q$3:Q777,"F")</f>
        <v>478.72914667325267</v>
      </c>
      <c r="BY776" s="87">
        <f>SUMIFS($AV$3:AV777,$Q$3:Q777,"S")</f>
        <v>756.6113419057275</v>
      </c>
      <c r="BZ776" s="87">
        <f>SUMIFS($AV$3:AV777,$Q$3:Q777,"O")</f>
        <v>471.55929999966099</v>
      </c>
    </row>
    <row r="777" spans="1:78" ht="15.75" customHeight="1">
      <c r="A777" s="45" t="s">
        <v>2311</v>
      </c>
      <c r="B777" s="59">
        <v>45450</v>
      </c>
      <c r="C777" s="46" t="s">
        <v>2402</v>
      </c>
      <c r="D777" s="46" t="s">
        <v>115</v>
      </c>
      <c r="E777" s="66"/>
      <c r="F777" s="47"/>
      <c r="G777" s="48" t="s">
        <v>2416</v>
      </c>
      <c r="H777" s="49"/>
      <c r="I777" s="49"/>
      <c r="J777" s="49"/>
      <c r="K777" s="50"/>
      <c r="L777" s="49"/>
      <c r="M777" s="49"/>
      <c r="N777" s="49"/>
      <c r="O777" s="50"/>
      <c r="P777" s="50"/>
      <c r="Q777" s="50"/>
      <c r="R777" s="50"/>
      <c r="S777" s="50"/>
      <c r="T777" s="50"/>
      <c r="U777" s="50"/>
      <c r="V777" s="50"/>
      <c r="W777" s="50"/>
      <c r="X777" s="50"/>
      <c r="Y777" s="51"/>
      <c r="Z777" s="52"/>
      <c r="AA777" s="52"/>
      <c r="AB777" s="52"/>
      <c r="AC777" s="52"/>
      <c r="AD777" s="231"/>
      <c r="AE777" s="49"/>
      <c r="AF777" s="84"/>
      <c r="AG777" s="49"/>
      <c r="AH777" s="49"/>
      <c r="AI777" s="49"/>
      <c r="AJ777" s="226"/>
      <c r="AK777" s="49"/>
      <c r="AL777" s="113">
        <f t="shared" si="314"/>
        <v>0</v>
      </c>
      <c r="AM777" s="113">
        <f t="shared" si="318"/>
        <v>0</v>
      </c>
      <c r="AN777" s="218" t="s">
        <v>2410</v>
      </c>
      <c r="AO777" s="49"/>
      <c r="AP777" s="49"/>
      <c r="AQ777" s="84" t="str">
        <f>UPPER(RIGHT(Journal_Live[[#This Row],[DURATION ]]))</f>
        <v/>
      </c>
      <c r="AR777" s="49"/>
      <c r="AS777" s="55"/>
      <c r="AT777" s="55"/>
      <c r="AU777" s="54"/>
      <c r="AV777" s="56"/>
      <c r="AW777" s="57"/>
      <c r="AX777" s="153" t="s">
        <v>2417</v>
      </c>
      <c r="AY777" s="153"/>
      <c r="AZ777" s="153"/>
      <c r="BA777" s="153"/>
      <c r="BB777" s="153"/>
      <c r="BC777" s="153"/>
      <c r="BD777" s="151"/>
      <c r="BE777" s="152"/>
      <c r="BF777" s="151"/>
      <c r="BG777" s="94">
        <f>SUM($AV$4:AV777)</f>
        <v>4854.8997885786484</v>
      </c>
      <c r="BH777" s="95">
        <f>SUM($AU$4:AU777)</f>
        <v>53174.63922077918</v>
      </c>
      <c r="BI777" s="80">
        <f>SUMIFS($AU$3:AU778,$Q$3:Q778,"F")</f>
        <v>34484.678121878125</v>
      </c>
      <c r="BJ777" s="80">
        <f>SUMIFS($AU$3:AU778,$Q$3:Q778,"S")</f>
        <v>21362.285714285714</v>
      </c>
      <c r="BK777" s="87">
        <f>SUMIFS($AU$3:AU778,$P$3:P778,"W")</f>
        <v>32848.143836164178</v>
      </c>
      <c r="BL777" s="87">
        <f>SUMIFS($AU$3:AU778,$P$3:P778,"R")</f>
        <v>17326.00000000016</v>
      </c>
      <c r="BM777" s="87">
        <f>SUMIFS($AU$3:AU778,$AQ$3:AQ778,"M")</f>
        <v>12131.179999998967</v>
      </c>
      <c r="BN777" s="87">
        <f>SUMIFS($AU$3:AU778,$AQ$3:AQ778,"H")</f>
        <v>14523.200000000877</v>
      </c>
      <c r="BO777" s="87">
        <f>SUMIFS($AU$3:AU778,$AQ$3:AQ778,"D")</f>
        <v>9686.3774725273543</v>
      </c>
      <c r="BP777" s="87">
        <f>SUMIFS($AS$3:AS1305,$AO$3:AO1305,"W")</f>
        <v>0</v>
      </c>
      <c r="BQ777" s="87">
        <f>SUMIFS($AU$3:AU778,$Q$3:Q778,"O")</f>
        <v>-5384.9400000000251</v>
      </c>
      <c r="BR777" s="87">
        <f>SUMIFS($AU$3:AU778,$AA$3:AA778,"*")</f>
        <v>40035.122077921827</v>
      </c>
      <c r="BS777" s="87">
        <f>SUMIFS($AU$3:AU778,$AB$3:AB778,"*")</f>
        <v>12971.859999999973</v>
      </c>
      <c r="BT777" s="87">
        <f>SUMIFS($AU$3:AU778,$AC$3:AC778,"*")</f>
        <v>43044.678121878293</v>
      </c>
      <c r="BU777" s="87">
        <f>SUMIFS($AU$3:AU778,$AA$3:AA778,"*",$AB$3:AB778,"*")</f>
        <v>8011.9999999997544</v>
      </c>
      <c r="BV777" s="87">
        <f>SUMIFS($AU$3:AU778,$AA$3:AA778,"*",$AC$3:AC778,"*")</f>
        <v>31113.636363636531</v>
      </c>
      <c r="BW777" s="87">
        <f>SUMIFS($AU$3:AU778,$AB$3:AB778,"*",$AC$3:AC778,"*")</f>
        <v>9360</v>
      </c>
      <c r="BX777" s="87">
        <f>SUMIFS($AV$3:AV778,$Q$3:Q778,"F")</f>
        <v>474.29837744248346</v>
      </c>
      <c r="BY777" s="87">
        <f>SUMIFS($AV$3:AV778,$Q$3:Q778,"S")</f>
        <v>756.6113419057275</v>
      </c>
      <c r="BZ777" s="87">
        <f>SUMIFS($AV$3:AV778,$Q$3:Q778,"O")</f>
        <v>471.55929999966099</v>
      </c>
    </row>
    <row r="778" spans="1:78" ht="15.75" customHeight="1">
      <c r="A778" s="45" t="s">
        <v>2311</v>
      </c>
      <c r="B778" s="59">
        <v>45451</v>
      </c>
      <c r="C778" s="46" t="s">
        <v>1715</v>
      </c>
      <c r="D778" s="46" t="s">
        <v>2418</v>
      </c>
      <c r="E778" s="66"/>
      <c r="F778" s="47"/>
      <c r="G778" s="104" t="s">
        <v>2419</v>
      </c>
      <c r="H778" s="49"/>
      <c r="I778" s="49"/>
      <c r="J778" s="49"/>
      <c r="K778" s="50"/>
      <c r="L778" s="49">
        <v>1</v>
      </c>
      <c r="M778" s="49"/>
      <c r="N778" s="49"/>
      <c r="O778" s="50" t="s">
        <v>100</v>
      </c>
      <c r="P778" s="50" t="s">
        <v>101</v>
      </c>
      <c r="Q778" s="50" t="s">
        <v>127</v>
      </c>
      <c r="R778" s="50">
        <v>20</v>
      </c>
      <c r="S778" s="50">
        <v>20</v>
      </c>
      <c r="T778" s="50">
        <v>4</v>
      </c>
      <c r="U778" s="50" t="s">
        <v>102</v>
      </c>
      <c r="V778" s="50"/>
      <c r="W778" s="50"/>
      <c r="X778" s="50"/>
      <c r="Y778" s="51">
        <f>IF(ISBLANK(O778),"",(IF(O778=UPPER("IB"),0.005,0.01)))</f>
        <v>0.01</v>
      </c>
      <c r="Z778" s="52">
        <f>IF(ISBLANK(O778),"",IF(O778="IB",8.63*200,IF(O778="IR",16*100,IF(O778="YT",20*100,IF(O778="YT-XT",24*200,IF(O778="TED",80*100,IF(O778="IR|YT",300*100)))))))</f>
        <v>1600</v>
      </c>
      <c r="AA778" s="52"/>
      <c r="AB778" s="52"/>
      <c r="AC778" s="52" t="s">
        <v>2420</v>
      </c>
      <c r="AD778" s="231">
        <f>(0.05*5+0.02*27+0.01*33)/65</f>
        <v>1.7230769230769234E-2</v>
      </c>
      <c r="AE778" s="49"/>
      <c r="AF778" s="84"/>
      <c r="AG778" s="49"/>
      <c r="AH778" s="49" t="s">
        <v>2421</v>
      </c>
      <c r="AI778" s="49"/>
      <c r="AJ778" s="226" t="s">
        <v>2422</v>
      </c>
      <c r="AK778" s="49"/>
      <c r="AL778" s="113">
        <f t="shared" si="314"/>
        <v>-32</v>
      </c>
      <c r="AM778" s="113">
        <f t="shared" si="318"/>
        <v>0</v>
      </c>
      <c r="AN778" s="218"/>
      <c r="AO778" s="49"/>
      <c r="AP778" s="49" t="s">
        <v>1338</v>
      </c>
      <c r="AQ778" s="84" t="s">
        <v>155</v>
      </c>
      <c r="AR778" s="49" t="s">
        <v>2423</v>
      </c>
      <c r="AS778" s="55">
        <v>0.02</v>
      </c>
      <c r="AT778" s="55">
        <f>IF(ISBLANK(AS778),,IF(U778="S",AD778-AS778,AS778-AD778))</f>
        <v>-2.7692307692307669E-3</v>
      </c>
      <c r="AU778" s="54">
        <f>AV778*R778</f>
        <v>-88.615384615384556</v>
      </c>
      <c r="AV778" s="56">
        <f t="shared" si="319"/>
        <v>-4.4307692307692275</v>
      </c>
      <c r="AW778" s="57" t="s">
        <v>121</v>
      </c>
      <c r="AX778" s="153" t="s">
        <v>2417</v>
      </c>
      <c r="AY778" s="153"/>
      <c r="AZ778" s="153"/>
      <c r="BA778" s="153"/>
      <c r="BB778" s="153"/>
      <c r="BC778" s="153"/>
      <c r="BD778" s="151"/>
      <c r="BE778" s="152"/>
      <c r="BF778" s="151"/>
      <c r="BG778" s="94">
        <f>SUM($AV$4:AV778)</f>
        <v>4850.4690193478791</v>
      </c>
      <c r="BH778" s="95">
        <f>SUM($AU$4:AU778)</f>
        <v>53086.023836163797</v>
      </c>
      <c r="BI778" s="80">
        <f>SUMIFS($AU$3:AU779,$Q$3:Q779,"F")</f>
        <v>34971.078121878127</v>
      </c>
      <c r="BJ778" s="80">
        <f>SUMIFS($AU$3:AU779,$Q$3:Q779,"S")</f>
        <v>21362.285714285714</v>
      </c>
      <c r="BK778" s="87">
        <f>SUMIFS($AU$3:AU779,$P$3:P779,"W")</f>
        <v>32848.143836164178</v>
      </c>
      <c r="BL778" s="87">
        <f>SUMIFS($AU$3:AU779,$P$3:P779,"R")</f>
        <v>17812.400000000162</v>
      </c>
      <c r="BM778" s="87">
        <f>SUMIFS($AU$3:AU779,$AQ$3:AQ779,"M")</f>
        <v>12131.179999998967</v>
      </c>
      <c r="BN778" s="87">
        <f>SUMIFS($AU$3:AU779,$AQ$3:AQ779,"H")</f>
        <v>14523.200000000877</v>
      </c>
      <c r="BO778" s="87">
        <f>SUMIFS($AU$3:AU779,$AQ$3:AQ779,"D")</f>
        <v>9686.3774725273543</v>
      </c>
      <c r="BP778" s="87">
        <f>SUMIFS($AS$3:AS1306,$AO$3:AO1306,"W")</f>
        <v>0</v>
      </c>
      <c r="BQ778" s="87">
        <f>SUMIFS($AU$3:AU779,$Q$3:Q779,"O")</f>
        <v>-5384.9400000000251</v>
      </c>
      <c r="BR778" s="87">
        <f>SUMIFS($AU$3:AU779,$AA$3:AA779,"*")</f>
        <v>40521.522077921829</v>
      </c>
      <c r="BS778" s="87">
        <f>SUMIFS($AU$3:AU779,$AB$3:AB779,"*")</f>
        <v>12971.859999999973</v>
      </c>
      <c r="BT778" s="87">
        <f>SUMIFS($AU$3:AU779,$AC$3:AC779,"*")</f>
        <v>43531.078121878294</v>
      </c>
      <c r="BU778" s="87">
        <f>SUMIFS($AU$3:AU779,$AA$3:AA779,"*",$AB$3:AB779,"*")</f>
        <v>8011.9999999997544</v>
      </c>
      <c r="BV778" s="87">
        <f>SUMIFS($AU$3:AU779,$AA$3:AA779,"*",$AC$3:AC779,"*")</f>
        <v>31600.036363636533</v>
      </c>
      <c r="BW778" s="87">
        <f>SUMIFS($AU$3:AU779,$AB$3:AB779,"*",$AC$3:AC779,"*")</f>
        <v>9360</v>
      </c>
      <c r="BX778" s="87">
        <f>SUMIFS($AV$3:AV779,$Q$3:Q779,"F")</f>
        <v>477.49837744248345</v>
      </c>
      <c r="BY778" s="87">
        <f>SUMIFS($AV$3:AV779,$Q$3:Q779,"S")</f>
        <v>756.6113419057275</v>
      </c>
      <c r="BZ778" s="87">
        <f>SUMIFS($AV$3:AV779,$Q$3:Q779,"O")</f>
        <v>471.55929999966099</v>
      </c>
    </row>
    <row r="779" spans="1:78" ht="15.75" customHeight="1">
      <c r="A779" s="45" t="s">
        <v>2311</v>
      </c>
      <c r="B779" s="59">
        <v>45454</v>
      </c>
      <c r="C779" s="46" t="s">
        <v>1211</v>
      </c>
      <c r="D779" s="46" t="s">
        <v>98</v>
      </c>
      <c r="E779" s="66"/>
      <c r="F779" s="47"/>
      <c r="G779" s="110" t="s">
        <v>2424</v>
      </c>
      <c r="H779" s="49"/>
      <c r="I779" s="49"/>
      <c r="J779" s="49"/>
      <c r="K779" s="50"/>
      <c r="L779" s="49"/>
      <c r="M779" s="49">
        <v>2</v>
      </c>
      <c r="N779" s="49"/>
      <c r="O779" s="50" t="s">
        <v>100</v>
      </c>
      <c r="P779" s="50" t="s">
        <v>126</v>
      </c>
      <c r="Q779" s="50" t="s">
        <v>127</v>
      </c>
      <c r="R779" s="50">
        <v>152</v>
      </c>
      <c r="S779" s="50">
        <v>72</v>
      </c>
      <c r="T779" s="50">
        <v>24</v>
      </c>
      <c r="U779" s="50" t="s">
        <v>22</v>
      </c>
      <c r="V779" s="50"/>
      <c r="W779" s="50"/>
      <c r="X779" s="50"/>
      <c r="Y779" s="51">
        <f>IF(ISBLANK(O779),"",(IF(O779=UPPER("IB"),0.005,0.01)))</f>
        <v>0.01</v>
      </c>
      <c r="Z779" s="52">
        <f>IF(ISBLANK(O779),"",IF(O779="IB",8.63*200,IF(O779="IR",16*100,IF(O779="YT",20*100,IF(O779="YT-XT",24*200,IF(O779="TED",80*100,IF(O779="IR|YT",300*100)))))))</f>
        <v>1600</v>
      </c>
      <c r="AA779" s="52" t="s">
        <v>1887</v>
      </c>
      <c r="AB779" s="52"/>
      <c r="AC779" s="52" t="s">
        <v>2425</v>
      </c>
      <c r="AD779" s="231">
        <v>-0.05</v>
      </c>
      <c r="AE779" s="49"/>
      <c r="AF779" s="84"/>
      <c r="AG779" s="49"/>
      <c r="AH779" s="49"/>
      <c r="AI779" s="49"/>
      <c r="AJ779" s="226"/>
      <c r="AK779" s="49"/>
      <c r="AL779" s="113">
        <f>-0.01*Z779</f>
        <v>-16</v>
      </c>
      <c r="AM779" s="113">
        <f t="shared" si="318"/>
        <v>-1280</v>
      </c>
      <c r="AN779" s="218" t="s">
        <v>2426</v>
      </c>
      <c r="AO779" s="49"/>
      <c r="AP779" s="49" t="s">
        <v>843</v>
      </c>
      <c r="AQ779" s="84" t="s">
        <v>101</v>
      </c>
      <c r="AR779" s="74">
        <v>45471</v>
      </c>
      <c r="AS779" s="55">
        <f>((-0.04*40)+(-0.05*32)+(-0.05*80))/150</f>
        <v>-4.8000000000000001E-2</v>
      </c>
      <c r="AT779" s="55">
        <f>IF(ISBLANK(AS779),,IF(U779="S",AD779-AS779,AS779-AD779))</f>
        <v>2.0000000000000018E-3</v>
      </c>
      <c r="AU779" s="54">
        <f>AV779*R779</f>
        <v>486.40000000000043</v>
      </c>
      <c r="AV779" s="56">
        <f t="shared" ref="AV779:AV782" si="320">IF(ISBLANK(AS779),,(AT779*Z779))</f>
        <v>3.2000000000000028</v>
      </c>
      <c r="AW779" s="57" t="s">
        <v>101</v>
      </c>
      <c r="AX779" s="151"/>
      <c r="AY779" s="151"/>
      <c r="AZ779" s="151"/>
      <c r="BA779" s="153" t="s">
        <v>2427</v>
      </c>
      <c r="BB779" s="153"/>
      <c r="BC779" s="153"/>
      <c r="BD779" s="151"/>
      <c r="BE779" s="152"/>
      <c r="BF779" s="151"/>
      <c r="BG779" s="94">
        <f>SUM($AV$4:AV779)</f>
        <v>4853.6690193478789</v>
      </c>
      <c r="BH779" s="95">
        <f>SUM($AU$4:AU779)</f>
        <v>53572.423836163798</v>
      </c>
      <c r="BI779" s="80">
        <f>SUMIFS($AU$3:AU780,$Q$3:Q780,"F")</f>
        <v>34971.078121878127</v>
      </c>
      <c r="BJ779" s="80">
        <f>SUMIFS($AU$3:AU780,$Q$3:Q780,"S")</f>
        <v>21362.285714285714</v>
      </c>
      <c r="BK779" s="87">
        <f>SUMIFS($AU$3:AU780,$P$3:P780,"W")</f>
        <v>32848.143836164178</v>
      </c>
      <c r="BL779" s="87">
        <f>SUMIFS($AU$3:AU780,$P$3:P780,"R")</f>
        <v>17812.400000000162</v>
      </c>
      <c r="BM779" s="87">
        <f>SUMIFS($AU$3:AU780,$AQ$3:AQ780,"M")</f>
        <v>12131.179999998967</v>
      </c>
      <c r="BN779" s="87">
        <f>SUMIFS($AU$3:AU780,$AQ$3:AQ780,"H")</f>
        <v>14523.200000000877</v>
      </c>
      <c r="BO779" s="87">
        <f>SUMIFS($AU$3:AU780,$AQ$3:AQ780,"D")</f>
        <v>9686.3774725273543</v>
      </c>
      <c r="BP779" s="87">
        <f>SUMIFS($AS$3:AS1307,$AO$3:AO1307,"W")</f>
        <v>0</v>
      </c>
      <c r="BQ779" s="87">
        <f>SUMIFS($AU$3:AU780,$Q$3:Q780,"O")</f>
        <v>-5384.9400000000251</v>
      </c>
      <c r="BR779" s="87">
        <f>SUMIFS($AU$3:AU780,$AA$3:AA780,"*")</f>
        <v>40521.522077921829</v>
      </c>
      <c r="BS779" s="87">
        <f>SUMIFS($AU$3:AU780,$AB$3:AB780,"*")</f>
        <v>12971.859999999973</v>
      </c>
      <c r="BT779" s="87">
        <f>SUMIFS($AU$3:AU780,$AC$3:AC780,"*")</f>
        <v>43531.078121878294</v>
      </c>
      <c r="BU779" s="87">
        <f>SUMIFS($AU$3:AU780,$AA$3:AA780,"*",$AB$3:AB780,"*")</f>
        <v>8011.9999999997544</v>
      </c>
      <c r="BV779" s="87">
        <f>SUMIFS($AU$3:AU780,$AA$3:AA780,"*",$AC$3:AC780,"*")</f>
        <v>31600.036363636533</v>
      </c>
      <c r="BW779" s="87">
        <f>SUMIFS($AU$3:AU780,$AB$3:AB780,"*",$AC$3:AC780,"*")</f>
        <v>9360</v>
      </c>
      <c r="BX779" s="87">
        <f>SUMIFS($AV$3:AV780,$Q$3:Q780,"F")</f>
        <v>477.49837744248345</v>
      </c>
      <c r="BY779" s="87">
        <f>SUMIFS($AV$3:AV780,$Q$3:Q780,"S")</f>
        <v>756.6113419057275</v>
      </c>
      <c r="BZ779" s="87">
        <f>SUMIFS($AV$3:AV780,$Q$3:Q780,"O")</f>
        <v>471.55929999966099</v>
      </c>
    </row>
    <row r="780" spans="1:78" ht="15.75" customHeight="1">
      <c r="A780" s="45" t="s">
        <v>2311</v>
      </c>
      <c r="B780" s="59">
        <v>45454</v>
      </c>
      <c r="C780" s="46" t="s">
        <v>2428</v>
      </c>
      <c r="D780" s="46" t="s">
        <v>98</v>
      </c>
      <c r="E780" s="66"/>
      <c r="F780" s="47"/>
      <c r="G780" s="48" t="s">
        <v>2429</v>
      </c>
      <c r="H780" s="49"/>
      <c r="I780" s="49"/>
      <c r="J780" s="49"/>
      <c r="K780" s="50"/>
      <c r="L780" s="49"/>
      <c r="M780" s="49"/>
      <c r="N780" s="49"/>
      <c r="O780" s="50"/>
      <c r="P780" s="50"/>
      <c r="Q780" s="50"/>
      <c r="R780" s="50"/>
      <c r="S780" s="50"/>
      <c r="T780" s="50"/>
      <c r="U780" s="50"/>
      <c r="V780" s="50"/>
      <c r="W780" s="50"/>
      <c r="X780" s="50"/>
      <c r="Y780" s="51"/>
      <c r="Z780" s="52"/>
      <c r="AA780" s="52"/>
      <c r="AB780" s="52"/>
      <c r="AC780" s="52"/>
      <c r="AD780" s="231"/>
      <c r="AE780" s="49"/>
      <c r="AF780" s="84"/>
      <c r="AG780" s="49"/>
      <c r="AH780" s="49"/>
      <c r="AI780" s="49"/>
      <c r="AJ780" s="226" t="s">
        <v>2430</v>
      </c>
      <c r="AK780" s="49"/>
      <c r="AL780" s="113">
        <f t="shared" ref="AL780:AL782" si="321">-0.02*Z780</f>
        <v>0</v>
      </c>
      <c r="AM780" s="113">
        <f t="shared" si="318"/>
        <v>0</v>
      </c>
      <c r="AN780" s="218" t="s">
        <v>2431</v>
      </c>
      <c r="AO780" s="49"/>
      <c r="AP780" s="49"/>
      <c r="AQ780" s="84" t="str">
        <f>UPPER(RIGHT(Journal_Live[[#This Row],[DURATION ]]))</f>
        <v/>
      </c>
      <c r="AR780" s="49"/>
      <c r="AS780" s="55"/>
      <c r="AT780" s="55"/>
      <c r="AU780" s="54"/>
      <c r="AV780" s="56"/>
      <c r="AW780" s="57"/>
      <c r="AX780" s="151" t="s">
        <v>2432</v>
      </c>
      <c r="AY780" s="151" t="s">
        <v>2433</v>
      </c>
      <c r="AZ780" s="151" t="s">
        <v>2434</v>
      </c>
      <c r="BA780" s="153"/>
      <c r="BB780" s="153"/>
      <c r="BC780" s="153"/>
      <c r="BD780" s="151"/>
      <c r="BE780" s="152"/>
      <c r="BF780" s="151"/>
      <c r="BG780" s="94">
        <f>SUM($AV$4:AV780)</f>
        <v>4853.6690193478789</v>
      </c>
      <c r="BH780" s="95">
        <f>SUM($AU$4:AU780)</f>
        <v>53572.423836163798</v>
      </c>
      <c r="BI780" s="80">
        <f>SUMIFS($AU$3:AU781,$Q$3:Q781,"F")</f>
        <v>34971.078121878127</v>
      </c>
      <c r="BJ780" s="80">
        <f>SUMIFS($AU$3:AU781,$Q$3:Q781,"S")</f>
        <v>21362.285714285714</v>
      </c>
      <c r="BK780" s="87">
        <f>SUMIFS($AU$3:AU781,$P$3:P781,"W")</f>
        <v>32848.143836164178</v>
      </c>
      <c r="BL780" s="87">
        <f>SUMIFS($AU$3:AU781,$P$3:P781,"R")</f>
        <v>17812.400000000162</v>
      </c>
      <c r="BM780" s="87">
        <f>SUMIFS($AU$3:AU781,$AQ$3:AQ781,"M")</f>
        <v>12131.179999998967</v>
      </c>
      <c r="BN780" s="87">
        <f>SUMIFS($AU$3:AU781,$AQ$3:AQ781,"H")</f>
        <v>14523.200000000877</v>
      </c>
      <c r="BO780" s="87">
        <f>SUMIFS($AU$3:AU781,$AQ$3:AQ781,"D")</f>
        <v>9686.3774725273543</v>
      </c>
      <c r="BP780" s="87">
        <f>SUMIFS($AS$3:AS1308,$AO$3:AO1308,"W")</f>
        <v>0</v>
      </c>
      <c r="BQ780" s="87">
        <f>SUMIFS($AU$3:AU781,$Q$3:Q781,"O")</f>
        <v>-5384.9400000000251</v>
      </c>
      <c r="BR780" s="87">
        <f>SUMIFS($AU$3:AU781,$AA$3:AA781,"*")</f>
        <v>40521.522077921829</v>
      </c>
      <c r="BS780" s="87">
        <f>SUMIFS($AU$3:AU781,$AB$3:AB781,"*")</f>
        <v>12971.859999999973</v>
      </c>
      <c r="BT780" s="87">
        <f>SUMIFS($AU$3:AU781,$AC$3:AC781,"*")</f>
        <v>43531.078121878294</v>
      </c>
      <c r="BU780" s="87">
        <f>SUMIFS($AU$3:AU781,$AA$3:AA781,"*",$AB$3:AB781,"*")</f>
        <v>8011.9999999997544</v>
      </c>
      <c r="BV780" s="87">
        <f>SUMIFS($AU$3:AU781,$AA$3:AA781,"*",$AC$3:AC781,"*")</f>
        <v>31600.036363636533</v>
      </c>
      <c r="BW780" s="87">
        <f>SUMIFS($AU$3:AU781,$AB$3:AB781,"*",$AC$3:AC781,"*")</f>
        <v>9360</v>
      </c>
      <c r="BX780" s="87">
        <f>SUMIFS($AV$3:AV781,$Q$3:Q781,"F")</f>
        <v>477.49837744248345</v>
      </c>
      <c r="BY780" s="87">
        <f>SUMIFS($AV$3:AV781,$Q$3:Q781,"S")</f>
        <v>756.6113419057275</v>
      </c>
      <c r="BZ780" s="87">
        <f>SUMIFS($AV$3:AV781,$Q$3:Q781,"O")</f>
        <v>471.55929999966099</v>
      </c>
    </row>
    <row r="781" spans="1:78" ht="15.75" customHeight="1">
      <c r="A781" s="45" t="s">
        <v>2311</v>
      </c>
      <c r="B781" s="59">
        <v>45454</v>
      </c>
      <c r="C781" s="46" t="s">
        <v>1573</v>
      </c>
      <c r="D781" s="46" t="s">
        <v>98</v>
      </c>
      <c r="E781" s="66"/>
      <c r="F781" s="47"/>
      <c r="G781" s="48" t="s">
        <v>2435</v>
      </c>
      <c r="H781" s="49"/>
      <c r="I781" s="49"/>
      <c r="J781" s="49"/>
      <c r="K781" s="50"/>
      <c r="L781" s="49"/>
      <c r="M781" s="49">
        <v>2</v>
      </c>
      <c r="N781" s="49"/>
      <c r="O781" s="50"/>
      <c r="P781" s="50"/>
      <c r="Q781" s="50"/>
      <c r="R781" s="50"/>
      <c r="S781" s="50"/>
      <c r="T781" s="50"/>
      <c r="U781" s="50"/>
      <c r="V781" s="50"/>
      <c r="W781" s="50"/>
      <c r="X781" s="50"/>
      <c r="Y781" s="51"/>
      <c r="Z781" s="52"/>
      <c r="AA781" s="52"/>
      <c r="AB781" s="52"/>
      <c r="AC781" s="52"/>
      <c r="AD781" s="231"/>
      <c r="AE781" s="49"/>
      <c r="AF781" s="84"/>
      <c r="AG781" s="49"/>
      <c r="AH781" s="49"/>
      <c r="AI781" s="49"/>
      <c r="AJ781" s="226"/>
      <c r="AK781" s="49"/>
      <c r="AL781" s="113">
        <f t="shared" si="321"/>
        <v>0</v>
      </c>
      <c r="AM781" s="113">
        <f t="shared" si="318"/>
        <v>0</v>
      </c>
      <c r="AN781" s="218"/>
      <c r="AO781" s="49"/>
      <c r="AP781" s="49"/>
      <c r="AQ781" s="84" t="str">
        <f>UPPER(RIGHT(Journal_Live[[#This Row],[DURATION ]]))</f>
        <v/>
      </c>
      <c r="AR781" s="49"/>
      <c r="AS781" s="55"/>
      <c r="AT781" s="55"/>
      <c r="AU781" s="54"/>
      <c r="AV781" s="56"/>
      <c r="AW781" s="57"/>
      <c r="AX781" s="153" t="s">
        <v>2436</v>
      </c>
      <c r="AY781" s="153"/>
      <c r="AZ781" s="153"/>
      <c r="BA781" s="153"/>
      <c r="BB781" s="153"/>
      <c r="BC781" s="153"/>
      <c r="BD781" s="151"/>
      <c r="BE781" s="152"/>
      <c r="BF781" s="151"/>
      <c r="BG781" s="94">
        <f>SUM($AV$4:AV781)</f>
        <v>4853.6690193478789</v>
      </c>
      <c r="BH781" s="95">
        <f>SUM($AU$4:AU781)</f>
        <v>53572.423836163798</v>
      </c>
      <c r="BI781" s="80">
        <f>SUMIFS($AU$3:AU782,$Q$3:Q782,"F")</f>
        <v>34971.078121878127</v>
      </c>
      <c r="BJ781" s="80">
        <f>SUMIFS($AU$3:AU782,$Q$3:Q782,"S")</f>
        <v>21362.285714285714</v>
      </c>
      <c r="BK781" s="87">
        <f>SUMIFS($AU$3:AU782,$P$3:P782,"W")</f>
        <v>32848.143836164178</v>
      </c>
      <c r="BL781" s="87">
        <f>SUMIFS($AU$3:AU782,$P$3:P782,"R")</f>
        <v>17812.400000000162</v>
      </c>
      <c r="BM781" s="87">
        <f>SUMIFS($AU$3:AU782,$AQ$3:AQ782,"M")</f>
        <v>12131.179999998967</v>
      </c>
      <c r="BN781" s="87">
        <f>SUMIFS($AU$3:AU782,$AQ$3:AQ782,"H")</f>
        <v>14523.200000000877</v>
      </c>
      <c r="BO781" s="87">
        <f>SUMIFS($AU$3:AU782,$AQ$3:AQ782,"D")</f>
        <v>9686.3774725273543</v>
      </c>
      <c r="BP781" s="87">
        <f>SUMIFS($AS$3:AS1309,$AO$3:AO1309,"W")</f>
        <v>0</v>
      </c>
      <c r="BQ781" s="87">
        <f>SUMIFS($AU$3:AU782,$Q$3:Q782,"O")</f>
        <v>-5384.9400000000251</v>
      </c>
      <c r="BR781" s="87">
        <f>SUMIFS($AU$3:AU782,$AA$3:AA782,"*")</f>
        <v>40521.522077921829</v>
      </c>
      <c r="BS781" s="87">
        <f>SUMIFS($AU$3:AU782,$AB$3:AB782,"*")</f>
        <v>12971.859999999973</v>
      </c>
      <c r="BT781" s="87">
        <f>SUMIFS($AU$3:AU782,$AC$3:AC782,"*")</f>
        <v>43531.078121878294</v>
      </c>
      <c r="BU781" s="87">
        <f>SUMIFS($AU$3:AU782,$AA$3:AA782,"*",$AB$3:AB782,"*")</f>
        <v>8011.9999999997544</v>
      </c>
      <c r="BV781" s="87">
        <f>SUMIFS($AU$3:AU782,$AA$3:AA782,"*",$AC$3:AC782,"*")</f>
        <v>31600.036363636533</v>
      </c>
      <c r="BW781" s="87">
        <f>SUMIFS($AU$3:AU782,$AB$3:AB782,"*",$AC$3:AC782,"*")</f>
        <v>9360</v>
      </c>
      <c r="BX781" s="87">
        <f>SUMIFS($AV$3:AV782,$Q$3:Q782,"F")</f>
        <v>477.49837744248345</v>
      </c>
      <c r="BY781" s="87">
        <f>SUMIFS($AV$3:AV782,$Q$3:Q782,"S")</f>
        <v>756.6113419057275</v>
      </c>
      <c r="BZ781" s="87">
        <f>SUMIFS($AV$3:AV782,$Q$3:Q782,"O")</f>
        <v>471.55929999966099</v>
      </c>
    </row>
    <row r="782" spans="1:78" ht="15.75" customHeight="1">
      <c r="A782" s="45" t="s">
        <v>2311</v>
      </c>
      <c r="B782" s="59">
        <v>45454</v>
      </c>
      <c r="C782" s="46" t="s">
        <v>110</v>
      </c>
      <c r="D782" s="46" t="s">
        <v>98</v>
      </c>
      <c r="E782" s="66"/>
      <c r="F782" s="47"/>
      <c r="G782" s="104" t="s">
        <v>463</v>
      </c>
      <c r="H782" s="49"/>
      <c r="I782" s="49"/>
      <c r="J782" s="49"/>
      <c r="K782" s="50"/>
      <c r="L782" s="49"/>
      <c r="M782" s="49">
        <v>2</v>
      </c>
      <c r="N782" s="49"/>
      <c r="O782" s="50" t="s">
        <v>100</v>
      </c>
      <c r="P782" s="50" t="s">
        <v>126</v>
      </c>
      <c r="Q782" s="50" t="s">
        <v>102</v>
      </c>
      <c r="R782" s="50">
        <v>20</v>
      </c>
      <c r="S782" s="50">
        <v>0</v>
      </c>
      <c r="T782" s="50">
        <v>20</v>
      </c>
      <c r="U782" s="50" t="s">
        <v>102</v>
      </c>
      <c r="V782" s="50"/>
      <c r="W782" s="50"/>
      <c r="X782" s="50"/>
      <c r="Y782" s="51">
        <f>IF(ISBLANK(O782),"",(IF(O782=UPPER("IB"),0.005,0.01)))</f>
        <v>0.01</v>
      </c>
      <c r="Z782" s="52">
        <f>IF(ISBLANK(O782),"",IF(O782="IB",8.63*200,IF(O782="IR",16*100,IF(O782="YT",20*100,IF(O782="YT-XT",24*200,IF(O782="TED",80*100,IF(O782="IR|YT",300*100)))))))</f>
        <v>1600</v>
      </c>
      <c r="AA782" s="52" t="s">
        <v>2437</v>
      </c>
      <c r="AB782" s="52" t="s">
        <v>2438</v>
      </c>
      <c r="AC782" s="52" t="s">
        <v>2439</v>
      </c>
      <c r="AD782" s="231">
        <v>-0.17</v>
      </c>
      <c r="AE782" s="49"/>
      <c r="AF782" s="84"/>
      <c r="AG782" s="49"/>
      <c r="AH782" s="49"/>
      <c r="AI782" s="49"/>
      <c r="AJ782" s="226"/>
      <c r="AK782" s="49"/>
      <c r="AL782" s="113">
        <f t="shared" si="321"/>
        <v>-32</v>
      </c>
      <c r="AM782" s="113">
        <f t="shared" si="318"/>
        <v>-640</v>
      </c>
      <c r="AN782" s="218"/>
      <c r="AO782" s="49"/>
      <c r="AP782" s="49" t="s">
        <v>279</v>
      </c>
      <c r="AQ782" s="84" t="s">
        <v>155</v>
      </c>
      <c r="AR782" s="49"/>
      <c r="AS782" s="55">
        <v>-0.17</v>
      </c>
      <c r="AT782" s="55">
        <f>IF(ISBLANK(AS782),,IF(U782="S",AD782-AS782,AS782-AD782))</f>
        <v>0</v>
      </c>
      <c r="AU782" s="54">
        <f>AV782*R782</f>
        <v>0</v>
      </c>
      <c r="AV782" s="56">
        <f t="shared" si="320"/>
        <v>0</v>
      </c>
      <c r="AW782" s="57" t="s">
        <v>155</v>
      </c>
      <c r="AX782" s="153"/>
      <c r="AY782" s="153"/>
      <c r="AZ782" s="153"/>
      <c r="BA782" s="153"/>
      <c r="BB782" s="153"/>
      <c r="BC782" s="153"/>
      <c r="BD782" s="151"/>
      <c r="BE782" s="152"/>
      <c r="BF782" s="151"/>
      <c r="BG782" s="94">
        <f>SUM($AV$4:AV782)</f>
        <v>4853.6690193478789</v>
      </c>
      <c r="BH782" s="95">
        <f>SUM($AU$4:AU782)</f>
        <v>53572.423836163798</v>
      </c>
      <c r="BI782" s="80">
        <f>SUMIFS($AU$3:AU783,$Q$3:Q783,"F")</f>
        <v>36587.078121878127</v>
      </c>
      <c r="BJ782" s="80">
        <f>SUMIFS($AU$3:AU783,$Q$3:Q783,"S")</f>
        <v>21362.285714285714</v>
      </c>
      <c r="BK782" s="87">
        <f>SUMIFS($AU$3:AU783,$P$3:P783,"W")</f>
        <v>34464.143836164178</v>
      </c>
      <c r="BL782" s="87">
        <f>SUMIFS($AU$3:AU783,$P$3:P783,"R")</f>
        <v>17812.400000000162</v>
      </c>
      <c r="BM782" s="87">
        <f>SUMIFS($AU$3:AU783,$AQ$3:AQ783,"M")</f>
        <v>12131.179999998967</v>
      </c>
      <c r="BN782" s="87">
        <f>SUMIFS($AU$3:AU783,$AQ$3:AQ783,"H")</f>
        <v>14523.200000000877</v>
      </c>
      <c r="BO782" s="87">
        <f>SUMIFS($AU$3:AU783,$AQ$3:AQ783,"D")</f>
        <v>11302.377472527354</v>
      </c>
      <c r="BP782" s="87">
        <f>SUMIFS($AS$3:AS1310,$AO$3:AO1310,"W")</f>
        <v>0</v>
      </c>
      <c r="BQ782" s="87">
        <f>SUMIFS($AU$3:AU783,$Q$3:Q783,"O")</f>
        <v>-5384.9400000000251</v>
      </c>
      <c r="BR782" s="87">
        <f>SUMIFS($AU$3:AU783,$AA$3:AA783,"*")</f>
        <v>40521.522077921829</v>
      </c>
      <c r="BS782" s="87">
        <f>SUMIFS($AU$3:AU783,$AB$3:AB783,"*")</f>
        <v>14587.859999999973</v>
      </c>
      <c r="BT782" s="87">
        <f>SUMIFS($AU$3:AU783,$AC$3:AC783,"*")</f>
        <v>45147.078121878294</v>
      </c>
      <c r="BU782" s="87">
        <f>SUMIFS($AU$3:AU783,$AA$3:AA783,"*",$AB$3:AB783,"*")</f>
        <v>8011.9999999997544</v>
      </c>
      <c r="BV782" s="87">
        <f>SUMIFS($AU$3:AU783,$AA$3:AA783,"*",$AC$3:AC783,"*")</f>
        <v>31600.036363636533</v>
      </c>
      <c r="BW782" s="87">
        <f>SUMIFS($AU$3:AU783,$AB$3:AB783,"*",$AC$3:AC783,"*")</f>
        <v>10976</v>
      </c>
      <c r="BX782" s="87">
        <f>SUMIFS($AV$3:AV783,$Q$3:Q783,"F")</f>
        <v>493.65837744248347</v>
      </c>
      <c r="BY782" s="87">
        <f>SUMIFS($AV$3:AV783,$Q$3:Q783,"S")</f>
        <v>756.6113419057275</v>
      </c>
      <c r="BZ782" s="87">
        <f>SUMIFS($AV$3:AV783,$Q$3:Q783,"O")</f>
        <v>471.55929999966099</v>
      </c>
    </row>
    <row r="783" spans="1:78" ht="15.75" customHeight="1">
      <c r="A783" s="45" t="s">
        <v>2311</v>
      </c>
      <c r="B783" s="59">
        <v>45454</v>
      </c>
      <c r="C783" s="46" t="s">
        <v>2440</v>
      </c>
      <c r="D783" s="46" t="s">
        <v>98</v>
      </c>
      <c r="E783" s="66"/>
      <c r="F783" s="47"/>
      <c r="G783" s="110" t="s">
        <v>2441</v>
      </c>
      <c r="H783" s="49"/>
      <c r="I783" s="49"/>
      <c r="J783" s="49"/>
      <c r="K783" s="50"/>
      <c r="L783" s="49"/>
      <c r="M783" s="49">
        <v>2</v>
      </c>
      <c r="N783" s="49"/>
      <c r="O783" s="50" t="s">
        <v>100</v>
      </c>
      <c r="P783" s="50" t="s">
        <v>101</v>
      </c>
      <c r="Q783" s="50" t="s">
        <v>127</v>
      </c>
      <c r="R783" s="50">
        <v>100</v>
      </c>
      <c r="S783" s="50">
        <v>67</v>
      </c>
      <c r="T783" s="50">
        <v>60</v>
      </c>
      <c r="U783" s="50" t="s">
        <v>102</v>
      </c>
      <c r="V783" s="50"/>
      <c r="W783" s="50"/>
      <c r="X783" s="50"/>
      <c r="Y783" s="51">
        <f>IF(ISBLANK(O783),"",(IF(O783=UPPER("IB"),0.005,0.01)))</f>
        <v>0.01</v>
      </c>
      <c r="Z783" s="52">
        <f>IF(ISBLANK(O783),"",IF(O783="IB",8.63*200,IF(O783="IR",16*100,IF(O783="YT",20*100,IF(O783="YT-XT",24*200,IF(O783="TED",80*100,IF(O783="IR|YT",300*100)))))))</f>
        <v>1600</v>
      </c>
      <c r="AA783" s="52"/>
      <c r="AB783" s="52" t="s">
        <v>2438</v>
      </c>
      <c r="AC783" s="52" t="s">
        <v>2442</v>
      </c>
      <c r="AD783" s="231">
        <v>0.03</v>
      </c>
      <c r="AE783" s="49"/>
      <c r="AF783" s="84"/>
      <c r="AG783" s="49"/>
      <c r="AH783" s="49"/>
      <c r="AI783" s="49"/>
      <c r="AJ783" s="226" t="s">
        <v>2443</v>
      </c>
      <c r="AK783" s="49"/>
      <c r="AL783" s="113">
        <f t="shared" si="314"/>
        <v>-32</v>
      </c>
      <c r="AM783" s="113">
        <f t="shared" si="318"/>
        <v>-1056</v>
      </c>
      <c r="AN783" s="218"/>
      <c r="AO783" s="49"/>
      <c r="AP783" s="49" t="s">
        <v>1162</v>
      </c>
      <c r="AQ783" s="84" t="s">
        <v>155</v>
      </c>
      <c r="AR783" s="49"/>
      <c r="AS783" s="55">
        <f>(0.02*1+0.01*1+0.02*65+0.02*33)/100</f>
        <v>1.9900000000000001E-2</v>
      </c>
      <c r="AT783" s="55">
        <f>IF(ISBLANK(AS783),,IF(U783="S",AD783-AS783,AS783-AD783))</f>
        <v>1.0099999999999998E-2</v>
      </c>
      <c r="AU783" s="54">
        <f>AV783*R783</f>
        <v>1615.9999999999995</v>
      </c>
      <c r="AV783" s="56">
        <f t="shared" si="319"/>
        <v>16.159999999999997</v>
      </c>
      <c r="AW783" s="57" t="s">
        <v>101</v>
      </c>
      <c r="AX783" s="153" t="s">
        <v>2444</v>
      </c>
      <c r="AY783" s="153" t="s">
        <v>2445</v>
      </c>
      <c r="AZ783" s="153"/>
      <c r="BA783" s="153"/>
      <c r="BB783" s="153"/>
      <c r="BC783" s="153"/>
      <c r="BD783" s="151"/>
      <c r="BE783" s="152"/>
      <c r="BF783" s="151"/>
      <c r="BG783" s="94">
        <f>SUM($AV$4:AV783)</f>
        <v>4869.8290193478788</v>
      </c>
      <c r="BH783" s="95">
        <f>SUM($AU$4:AU783)</f>
        <v>55188.423836163798</v>
      </c>
      <c r="BI783" s="80">
        <f>SUMIFS($AU$3:AU803,$Q$3:Q803,"F")</f>
        <v>36347.078121878127</v>
      </c>
      <c r="BJ783" s="80">
        <f>SUMIFS($AU$3:AU803,$Q$3:Q803,"S")</f>
        <v>24722.28571428571</v>
      </c>
      <c r="BK783" s="87">
        <f>SUMIFS($AU$3:AU803,$P$3:P803,"W")</f>
        <v>35024.14383616417</v>
      </c>
      <c r="BL783" s="87">
        <f>SUMIFS($AU$3:AU803,$P$3:P803,"R")</f>
        <v>20372.400000000162</v>
      </c>
      <c r="BM783" s="87">
        <f>SUMIFS($AU$3:AU803,$AQ$3:AQ803,"M")</f>
        <v>12131.179999998967</v>
      </c>
      <c r="BN783" s="87">
        <f>SUMIFS($AU$3:AU803,$AQ$3:AQ803,"H")</f>
        <v>14523.200000000877</v>
      </c>
      <c r="BO783" s="87">
        <f>SUMIFS($AU$3:AU803,$AQ$3:AQ803,"D")</f>
        <v>14422.377472527351</v>
      </c>
      <c r="BP783" s="87">
        <f>SUMIFS($AS$3:AS1311,$AO$3:AO1311,"W")</f>
        <v>0</v>
      </c>
      <c r="BQ783" s="87">
        <f>SUMIFS($AU$3:AU803,$Q$3:Q803,"O")</f>
        <v>-5384.9400000000251</v>
      </c>
      <c r="BR783" s="87">
        <f>SUMIFS($AU$3:AU803,$AA$3:AA803,"*")</f>
        <v>43881.522077921822</v>
      </c>
      <c r="BS783" s="87">
        <f>SUMIFS($AU$3:AU803,$AB$3:AB803,"*")</f>
        <v>14347.859999999973</v>
      </c>
      <c r="BT783" s="87">
        <f>SUMIFS($AU$3:AU803,$AC$3:AC803,"*")</f>
        <v>47467.078121878294</v>
      </c>
      <c r="BU783" s="87">
        <f>SUMIFS($AU$3:AU803,$AA$3:AA803,"*",$AB$3:AB803,"*")</f>
        <v>8011.9999999997544</v>
      </c>
      <c r="BV783" s="87">
        <f>SUMIFS($AU$3:AU803,$AA$3:AA803,"*",$AC$3:AC803,"*")</f>
        <v>34160.036363636536</v>
      </c>
      <c r="BW783" s="87">
        <f>SUMIFS($AU$3:AU803,$AB$3:AB803,"*",$AC$3:AC803,"*")</f>
        <v>10736</v>
      </c>
      <c r="BX783" s="87">
        <f>SUMIFS($AV$3:AV803,$Q$3:Q803,"F")</f>
        <v>477.65837744248347</v>
      </c>
      <c r="BY783" s="87">
        <f>SUMIFS($AV$3:AV803,$Q$3:Q803,"S")</f>
        <v>820.61134190572739</v>
      </c>
      <c r="BZ783" s="87">
        <f>SUMIFS($AV$3:AV803,$Q$3:Q803,"O")</f>
        <v>471.55929999966099</v>
      </c>
    </row>
    <row r="784" spans="1:78" ht="15.75" customHeight="1">
      <c r="A784" s="45" t="s">
        <v>2311</v>
      </c>
      <c r="B784" s="59"/>
      <c r="C784" s="46"/>
      <c r="D784" s="46"/>
      <c r="E784" s="66"/>
      <c r="F784" s="47"/>
      <c r="G784" s="48"/>
      <c r="H784" s="49"/>
      <c r="I784" s="49"/>
      <c r="J784" s="49"/>
      <c r="K784" s="50"/>
      <c r="L784" s="49"/>
      <c r="M784" s="49"/>
      <c r="N784" s="49"/>
      <c r="O784" s="50"/>
      <c r="P784" s="50"/>
      <c r="Q784" s="50"/>
      <c r="R784" s="50"/>
      <c r="S784" s="50"/>
      <c r="T784" s="50"/>
      <c r="U784" s="50"/>
      <c r="V784" s="50"/>
      <c r="W784" s="50"/>
      <c r="X784" s="50"/>
      <c r="Y784" s="50"/>
      <c r="Z784" s="50"/>
      <c r="AA784" s="52"/>
      <c r="AB784" s="52"/>
      <c r="AC784" s="52"/>
      <c r="AD784" s="231"/>
      <c r="AE784" s="49"/>
      <c r="AF784" s="84"/>
      <c r="AG784" s="49"/>
      <c r="AH784" s="49"/>
      <c r="AI784" s="49"/>
      <c r="AJ784" s="226"/>
      <c r="AK784" s="49"/>
      <c r="AL784" s="113">
        <f t="shared" si="314"/>
        <v>0</v>
      </c>
      <c r="AM784" s="113">
        <f t="shared" si="318"/>
        <v>0</v>
      </c>
      <c r="AN784" s="218"/>
      <c r="AO784" s="49"/>
      <c r="AP784" s="49"/>
      <c r="AQ784" s="84" t="str">
        <f>UPPER(RIGHT(Journal_Live[[#This Row],[DURATION ]]))</f>
        <v/>
      </c>
      <c r="AR784" s="49"/>
      <c r="AS784" s="55"/>
      <c r="AT784" s="55"/>
      <c r="AU784" s="54"/>
      <c r="AV784" s="56"/>
      <c r="AW784" s="57"/>
      <c r="AX784" s="153" t="s">
        <v>2446</v>
      </c>
      <c r="AY784" s="153" t="s">
        <v>2447</v>
      </c>
      <c r="AZ784" s="153"/>
      <c r="BA784" s="153"/>
      <c r="BB784" s="153"/>
      <c r="BC784" s="153"/>
      <c r="BD784" s="151"/>
      <c r="BE784" s="152"/>
      <c r="BF784" s="151"/>
      <c r="BG784" s="94">
        <f>SUM($AV$4:AV784)</f>
        <v>4869.8290193478788</v>
      </c>
      <c r="BH784" s="95">
        <f>SUM($AU$4:AU784)</f>
        <v>55188.423836163798</v>
      </c>
      <c r="BI784" s="80">
        <f>SUMIFS($AU$3:AU785,$Q$3:Q785,"F")</f>
        <v>36587.078121878127</v>
      </c>
      <c r="BJ784" s="80">
        <f>SUMIFS($AU$3:AU785,$Q$3:Q785,"S")</f>
        <v>21362.285714285714</v>
      </c>
      <c r="BK784" s="87">
        <f>SUMIFS($AU$3:AU785,$P$3:P785,"W")</f>
        <v>34464.143836164178</v>
      </c>
      <c r="BL784" s="87">
        <f>SUMIFS($AU$3:AU785,$P$3:P785,"R")</f>
        <v>17812.400000000162</v>
      </c>
      <c r="BM784" s="87">
        <f>SUMIFS($AU$3:AU785,$AQ$3:AQ785,"M")</f>
        <v>12131.179999998967</v>
      </c>
      <c r="BN784" s="87">
        <f>SUMIFS($AU$3:AU785,$AQ$3:AQ785,"H")</f>
        <v>14523.200000000877</v>
      </c>
      <c r="BO784" s="87">
        <f>SUMIFS($AU$3:AU785,$AQ$3:AQ785,"D")</f>
        <v>11302.377472527354</v>
      </c>
      <c r="BP784" s="87">
        <f>SUMIFS($AS$3:AS1302,$AO$3:AO1302,"W")</f>
        <v>0</v>
      </c>
      <c r="BQ784" s="87">
        <f>SUMIFS($AU$3:AU785,$Q$3:Q785,"O")</f>
        <v>-5384.9400000000251</v>
      </c>
      <c r="BR784" s="87">
        <f>SUMIFS($AU$3:AU785,$AA$3:AA785,"*")</f>
        <v>40521.522077921829</v>
      </c>
      <c r="BS784" s="87">
        <f>SUMIFS($AU$3:AU785,$AB$3:AB785,"*")</f>
        <v>14587.859999999973</v>
      </c>
      <c r="BT784" s="87">
        <f>SUMIFS($AU$3:AU785,$AC$3:AC785,"*")</f>
        <v>45147.078121878294</v>
      </c>
      <c r="BU784" s="87">
        <f>SUMIFS($AU$3:AU785,$AA$3:AA785,"*",$AB$3:AB785,"*")</f>
        <v>8011.9999999997544</v>
      </c>
      <c r="BV784" s="87">
        <f>SUMIFS($AU$3:AU785,$AA$3:AA785,"*",$AC$3:AC785,"*")</f>
        <v>31600.036363636533</v>
      </c>
      <c r="BW784" s="87">
        <f>SUMIFS($AU$3:AU785,$AB$3:AB785,"*",$AC$3:AC785,"*")</f>
        <v>10976</v>
      </c>
      <c r="BX784" s="87">
        <f>SUMIFS($AV$3:AV785,$Q$3:Q785,"F")</f>
        <v>493.65837744248347</v>
      </c>
      <c r="BY784" s="87">
        <f>SUMIFS($AV$3:AV785,$Q$3:Q785,"S")</f>
        <v>756.6113419057275</v>
      </c>
      <c r="BZ784" s="87">
        <f>SUMIFS($AV$3:AV785,$Q$3:Q785,"O")</f>
        <v>471.55929999966099</v>
      </c>
    </row>
    <row r="785" spans="1:78" ht="15.75" customHeight="1">
      <c r="A785" s="45" t="s">
        <v>2311</v>
      </c>
      <c r="B785" s="59">
        <v>45455</v>
      </c>
      <c r="C785" s="46" t="s">
        <v>871</v>
      </c>
      <c r="D785" s="46" t="s">
        <v>186</v>
      </c>
      <c r="E785" s="66" t="s">
        <v>2448</v>
      </c>
      <c r="F785" s="47"/>
      <c r="G785" s="48"/>
      <c r="H785" s="49"/>
      <c r="I785" s="49"/>
      <c r="J785" s="49">
        <v>1</v>
      </c>
      <c r="K785" s="50" t="s">
        <v>155</v>
      </c>
      <c r="L785" s="49"/>
      <c r="M785" s="49"/>
      <c r="N785" s="49"/>
      <c r="O785" s="50"/>
      <c r="P785" s="50"/>
      <c r="Q785" s="50"/>
      <c r="R785" s="50"/>
      <c r="S785" s="50"/>
      <c r="T785" s="50"/>
      <c r="U785" s="50"/>
      <c r="V785" s="50"/>
      <c r="W785" s="50"/>
      <c r="X785" s="50"/>
      <c r="Y785" s="50"/>
      <c r="Z785" s="50"/>
      <c r="AA785" s="52"/>
      <c r="AB785" s="52"/>
      <c r="AC785" s="52"/>
      <c r="AD785" s="231"/>
      <c r="AE785" s="49"/>
      <c r="AF785" s="84"/>
      <c r="AG785" s="49"/>
      <c r="AH785" s="49"/>
      <c r="AI785" s="49"/>
      <c r="AJ785" s="226"/>
      <c r="AK785" s="49"/>
      <c r="AL785" s="113">
        <f t="shared" si="314"/>
        <v>0</v>
      </c>
      <c r="AM785" s="113">
        <f t="shared" si="318"/>
        <v>0</v>
      </c>
      <c r="AN785" s="218"/>
      <c r="AO785" s="49"/>
      <c r="AP785" s="49"/>
      <c r="AQ785" s="84" t="str">
        <f>UPPER(RIGHT(Journal_Live[[#This Row],[DURATION ]]))</f>
        <v/>
      </c>
      <c r="AR785" s="49"/>
      <c r="AS785" s="55"/>
      <c r="AT785" s="55"/>
      <c r="AU785" s="54"/>
      <c r="AV785" s="56"/>
      <c r="AW785" s="57"/>
      <c r="AX785" s="153"/>
      <c r="AY785" s="153"/>
      <c r="AZ785" s="153"/>
      <c r="BA785" s="153"/>
      <c r="BB785" s="153"/>
      <c r="BC785" s="153"/>
      <c r="BD785" s="151"/>
      <c r="BE785" s="152"/>
      <c r="BF785" s="151"/>
      <c r="BG785" s="94">
        <f>SUM($AV$4:AV785)</f>
        <v>4869.8290193478788</v>
      </c>
      <c r="BH785" s="95">
        <f>SUM($AU$4:AU785)</f>
        <v>55188.423836163798</v>
      </c>
      <c r="BI785" s="80">
        <f>SUMIFS($AU$3:AU786,$Q$3:Q786,"F")</f>
        <v>36587.078121878127</v>
      </c>
      <c r="BJ785" s="80">
        <f>SUMIFS($AU$3:AU786,$Q$3:Q786,"S")</f>
        <v>21362.285714285714</v>
      </c>
      <c r="BK785" s="87">
        <f>SUMIFS($AU$3:AU786,$P$3:P786,"W")</f>
        <v>34464.143836164178</v>
      </c>
      <c r="BL785" s="87">
        <f>SUMIFS($AU$3:AU786,$P$3:P786,"R")</f>
        <v>17812.400000000162</v>
      </c>
      <c r="BM785" s="87">
        <f>SUMIFS($AU$3:AU786,$AQ$3:AQ786,"M")</f>
        <v>12131.179999998967</v>
      </c>
      <c r="BN785" s="87">
        <f>SUMIFS($AU$3:AU786,$AQ$3:AQ786,"H")</f>
        <v>14523.200000000877</v>
      </c>
      <c r="BO785" s="87">
        <f>SUMIFS($AU$3:AU786,$AQ$3:AQ786,"D")</f>
        <v>11302.377472527354</v>
      </c>
      <c r="BP785" s="87">
        <f>SUMIFS($AS$3:AS1303,$AO$3:AO1303,"W")</f>
        <v>0</v>
      </c>
      <c r="BQ785" s="87">
        <f>SUMIFS($AU$3:AU786,$Q$3:Q786,"O")</f>
        <v>-5384.9400000000251</v>
      </c>
      <c r="BR785" s="87">
        <f>SUMIFS($AU$3:AU786,$AA$3:AA786,"*")</f>
        <v>40521.522077921829</v>
      </c>
      <c r="BS785" s="87">
        <f>SUMIFS($AU$3:AU786,$AB$3:AB786,"*")</f>
        <v>14587.859999999973</v>
      </c>
      <c r="BT785" s="87">
        <f>SUMIFS($AU$3:AU786,$AC$3:AC786,"*")</f>
        <v>45147.078121878294</v>
      </c>
      <c r="BU785" s="87">
        <f>SUMIFS($AU$3:AU786,$AA$3:AA786,"*",$AB$3:AB786,"*")</f>
        <v>8011.9999999997544</v>
      </c>
      <c r="BV785" s="87">
        <f>SUMIFS($AU$3:AU786,$AA$3:AA786,"*",$AC$3:AC786,"*")</f>
        <v>31600.036363636533</v>
      </c>
      <c r="BW785" s="87">
        <f>SUMIFS($AU$3:AU786,$AB$3:AB786,"*",$AC$3:AC786,"*")</f>
        <v>10976</v>
      </c>
      <c r="BX785" s="87">
        <f>SUMIFS($AV$3:AV786,$Q$3:Q786,"F")</f>
        <v>493.65837744248347</v>
      </c>
      <c r="BY785" s="87">
        <f>SUMIFS($AV$3:AV786,$Q$3:Q786,"S")</f>
        <v>756.6113419057275</v>
      </c>
      <c r="BZ785" s="87">
        <f>SUMIFS($AV$3:AV786,$Q$3:Q786,"O")</f>
        <v>471.55929999966099</v>
      </c>
    </row>
    <row r="786" spans="1:78" ht="15.75" customHeight="1">
      <c r="A786" s="45" t="s">
        <v>2311</v>
      </c>
      <c r="B786" s="59"/>
      <c r="C786" s="46"/>
      <c r="D786" s="46"/>
      <c r="E786" s="66" t="s">
        <v>2449</v>
      </c>
      <c r="F786" s="47"/>
      <c r="G786" s="48"/>
      <c r="H786" s="49"/>
      <c r="I786" s="49"/>
      <c r="J786" s="49">
        <v>1</v>
      </c>
      <c r="K786" s="50" t="s">
        <v>155</v>
      </c>
      <c r="L786" s="49"/>
      <c r="M786" s="49"/>
      <c r="N786" s="49"/>
      <c r="O786" s="50"/>
      <c r="P786" s="50"/>
      <c r="Q786" s="50"/>
      <c r="R786" s="50"/>
      <c r="S786" s="50"/>
      <c r="T786" s="50"/>
      <c r="U786" s="50"/>
      <c r="V786" s="50"/>
      <c r="W786" s="50"/>
      <c r="X786" s="50"/>
      <c r="Y786" s="50"/>
      <c r="Z786" s="50"/>
      <c r="AA786" s="52"/>
      <c r="AB786" s="52"/>
      <c r="AC786" s="52"/>
      <c r="AD786" s="231"/>
      <c r="AE786" s="49"/>
      <c r="AF786" s="84"/>
      <c r="AG786" s="49"/>
      <c r="AH786" s="49"/>
      <c r="AI786" s="49"/>
      <c r="AJ786" s="226"/>
      <c r="AK786" s="49"/>
      <c r="AL786" s="113">
        <f t="shared" si="314"/>
        <v>0</v>
      </c>
      <c r="AM786" s="113">
        <f t="shared" si="318"/>
        <v>0</v>
      </c>
      <c r="AN786" s="218"/>
      <c r="AO786" s="49"/>
      <c r="AP786" s="49"/>
      <c r="AQ786" s="84" t="str">
        <f>UPPER(RIGHT(Journal_Live[[#This Row],[DURATION ]]))</f>
        <v/>
      </c>
      <c r="AR786" s="49"/>
      <c r="AS786" s="55"/>
      <c r="AT786" s="55"/>
      <c r="AU786" s="54"/>
      <c r="AV786" s="56"/>
      <c r="AW786" s="57"/>
      <c r="AX786" s="153"/>
      <c r="AY786" s="153"/>
      <c r="AZ786" s="153"/>
      <c r="BA786" s="153"/>
      <c r="BB786" s="153"/>
      <c r="BC786" s="153"/>
      <c r="BD786" s="151"/>
      <c r="BE786" s="152"/>
      <c r="BF786" s="151"/>
      <c r="BG786" s="94">
        <f>SUM($AV$4:AV786)</f>
        <v>4869.8290193478788</v>
      </c>
      <c r="BH786" s="95">
        <f>SUM($AU$4:AU786)</f>
        <v>55188.423836163798</v>
      </c>
      <c r="BI786" s="80">
        <f>SUMIFS($AU$3:AU787,$Q$3:Q787,"F")</f>
        <v>36587.078121878127</v>
      </c>
      <c r="BJ786" s="80">
        <f>SUMIFS($AU$3:AU787,$Q$3:Q787,"S")</f>
        <v>21362.285714285714</v>
      </c>
      <c r="BK786" s="87">
        <f>SUMIFS($AU$3:AU787,$P$3:P787,"W")</f>
        <v>34464.143836164178</v>
      </c>
      <c r="BL786" s="87">
        <f>SUMIFS($AU$3:AU787,$P$3:P787,"R")</f>
        <v>17812.400000000162</v>
      </c>
      <c r="BM786" s="87">
        <f>SUMIFS($AU$3:AU787,$AQ$3:AQ787,"M")</f>
        <v>12131.179999998967</v>
      </c>
      <c r="BN786" s="87">
        <f>SUMIFS($AU$3:AU787,$AQ$3:AQ787,"H")</f>
        <v>14523.200000000877</v>
      </c>
      <c r="BO786" s="87">
        <f>SUMIFS($AU$3:AU787,$AQ$3:AQ787,"D")</f>
        <v>11302.377472527354</v>
      </c>
      <c r="BP786" s="87">
        <f>SUMIFS($AS$3:AS1304,$AO$3:AO1304,"W")</f>
        <v>0</v>
      </c>
      <c r="BQ786" s="87">
        <f>SUMIFS($AU$3:AU787,$Q$3:Q787,"O")</f>
        <v>-5384.9400000000251</v>
      </c>
      <c r="BR786" s="87">
        <f>SUMIFS($AU$3:AU787,$AA$3:AA787,"*")</f>
        <v>40521.522077921829</v>
      </c>
      <c r="BS786" s="87">
        <f>SUMIFS($AU$3:AU787,$AB$3:AB787,"*")</f>
        <v>14587.859999999973</v>
      </c>
      <c r="BT786" s="87">
        <f>SUMIFS($AU$3:AU787,$AC$3:AC787,"*")</f>
        <v>45147.078121878294</v>
      </c>
      <c r="BU786" s="87">
        <f>SUMIFS($AU$3:AU787,$AA$3:AA787,"*",$AB$3:AB787,"*")</f>
        <v>8011.9999999997544</v>
      </c>
      <c r="BV786" s="87">
        <f>SUMIFS($AU$3:AU787,$AA$3:AA787,"*",$AC$3:AC787,"*")</f>
        <v>31600.036363636533</v>
      </c>
      <c r="BW786" s="87">
        <f>SUMIFS($AU$3:AU787,$AB$3:AB787,"*",$AC$3:AC787,"*")</f>
        <v>10976</v>
      </c>
      <c r="BX786" s="87">
        <f>SUMIFS($AV$3:AV787,$Q$3:Q787,"F")</f>
        <v>493.65837744248347</v>
      </c>
      <c r="BY786" s="87">
        <f>SUMIFS($AV$3:AV787,$Q$3:Q787,"S")</f>
        <v>756.6113419057275</v>
      </c>
      <c r="BZ786" s="87">
        <f>SUMIFS($AV$3:AV787,$Q$3:Q787,"O")</f>
        <v>471.55929999966099</v>
      </c>
    </row>
    <row r="787" spans="1:78" ht="15.75" customHeight="1">
      <c r="A787" s="45" t="s">
        <v>2311</v>
      </c>
      <c r="B787" s="59"/>
      <c r="C787" s="46"/>
      <c r="D787" s="46"/>
      <c r="E787" s="66" t="s">
        <v>2450</v>
      </c>
      <c r="F787" s="47"/>
      <c r="G787" s="48"/>
      <c r="H787" s="49"/>
      <c r="I787" s="49"/>
      <c r="J787" s="49">
        <v>1</v>
      </c>
      <c r="K787" s="50" t="s">
        <v>155</v>
      </c>
      <c r="L787" s="49"/>
      <c r="M787" s="49"/>
      <c r="N787" s="49"/>
      <c r="O787" s="50"/>
      <c r="P787" s="50"/>
      <c r="Q787" s="50"/>
      <c r="R787" s="50"/>
      <c r="S787" s="50"/>
      <c r="T787" s="50"/>
      <c r="U787" s="50"/>
      <c r="V787" s="50"/>
      <c r="W787" s="50"/>
      <c r="X787" s="50"/>
      <c r="Y787" s="50"/>
      <c r="Z787" s="50"/>
      <c r="AA787" s="52"/>
      <c r="AB787" s="52"/>
      <c r="AC787" s="52"/>
      <c r="AD787" s="231"/>
      <c r="AE787" s="49"/>
      <c r="AF787" s="84"/>
      <c r="AG787" s="49"/>
      <c r="AH787" s="49"/>
      <c r="AI787" s="49"/>
      <c r="AJ787" s="226"/>
      <c r="AK787" s="49"/>
      <c r="AL787" s="113">
        <f t="shared" si="314"/>
        <v>0</v>
      </c>
      <c r="AM787" s="113">
        <f t="shared" si="318"/>
        <v>0</v>
      </c>
      <c r="AN787" s="218"/>
      <c r="AO787" s="49"/>
      <c r="AP787" s="49"/>
      <c r="AQ787" s="84" t="str">
        <f>UPPER(RIGHT(Journal_Live[[#This Row],[DURATION ]]))</f>
        <v/>
      </c>
      <c r="AR787" s="49"/>
      <c r="AS787" s="55"/>
      <c r="AT787" s="55"/>
      <c r="AU787" s="54"/>
      <c r="AV787" s="56"/>
      <c r="AW787" s="57"/>
      <c r="AX787" s="153"/>
      <c r="AY787" s="153"/>
      <c r="AZ787" s="153"/>
      <c r="BA787" s="153"/>
      <c r="BB787" s="153"/>
      <c r="BC787" s="153"/>
      <c r="BD787" s="151"/>
      <c r="BE787" s="152"/>
      <c r="BF787" s="151"/>
      <c r="BG787" s="94">
        <f>SUM($AV$4:AV787)</f>
        <v>4869.8290193478788</v>
      </c>
      <c r="BH787" s="95">
        <f>SUM($AU$4:AU787)</f>
        <v>55188.423836163798</v>
      </c>
      <c r="BI787" s="80">
        <f>SUMIFS($AU$3:AU788,$Q$3:Q788,"F")</f>
        <v>36587.078121878127</v>
      </c>
      <c r="BJ787" s="80">
        <f>SUMIFS($AU$3:AU788,$Q$3:Q788,"S")</f>
        <v>21362.285714285714</v>
      </c>
      <c r="BK787" s="87">
        <f>SUMIFS($AU$3:AU788,$P$3:P788,"W")</f>
        <v>34464.143836164178</v>
      </c>
      <c r="BL787" s="87">
        <f>SUMIFS($AU$3:AU788,$P$3:P788,"R")</f>
        <v>17812.400000000162</v>
      </c>
      <c r="BM787" s="87">
        <f>SUMIFS($AU$3:AU788,$AQ$3:AQ788,"M")</f>
        <v>12131.179999998967</v>
      </c>
      <c r="BN787" s="87">
        <f>SUMIFS($AU$3:AU788,$AQ$3:AQ788,"H")</f>
        <v>14523.200000000877</v>
      </c>
      <c r="BO787" s="87">
        <f>SUMIFS($AU$3:AU788,$AQ$3:AQ788,"D")</f>
        <v>11302.377472527354</v>
      </c>
      <c r="BP787" s="87">
        <f>SUMIFS($AS$3:AS1305,$AO$3:AO1305,"W")</f>
        <v>0</v>
      </c>
      <c r="BQ787" s="87">
        <f>SUMIFS($AU$3:AU788,$Q$3:Q788,"O")</f>
        <v>-5384.9400000000251</v>
      </c>
      <c r="BR787" s="87">
        <f>SUMIFS($AU$3:AU788,$AA$3:AA788,"*")</f>
        <v>40521.522077921829</v>
      </c>
      <c r="BS787" s="87">
        <f>SUMIFS($AU$3:AU788,$AB$3:AB788,"*")</f>
        <v>14587.859999999973</v>
      </c>
      <c r="BT787" s="87">
        <f>SUMIFS($AU$3:AU788,$AC$3:AC788,"*")</f>
        <v>45147.078121878294</v>
      </c>
      <c r="BU787" s="87">
        <f>SUMIFS($AU$3:AU788,$AA$3:AA788,"*",$AB$3:AB788,"*")</f>
        <v>8011.9999999997544</v>
      </c>
      <c r="BV787" s="87">
        <f>SUMIFS($AU$3:AU788,$AA$3:AA788,"*",$AC$3:AC788,"*")</f>
        <v>31600.036363636533</v>
      </c>
      <c r="BW787" s="87">
        <f>SUMIFS($AU$3:AU788,$AB$3:AB788,"*",$AC$3:AC788,"*")</f>
        <v>10976</v>
      </c>
      <c r="BX787" s="87">
        <f>SUMIFS($AV$3:AV788,$Q$3:Q788,"F")</f>
        <v>493.65837744248347</v>
      </c>
      <c r="BY787" s="87">
        <f>SUMIFS($AV$3:AV788,$Q$3:Q788,"S")</f>
        <v>756.6113419057275</v>
      </c>
      <c r="BZ787" s="87">
        <f>SUMIFS($AV$3:AV788,$Q$3:Q788,"O")</f>
        <v>471.55929999966099</v>
      </c>
    </row>
    <row r="788" spans="1:78" ht="15.75" customHeight="1">
      <c r="A788" s="45" t="s">
        <v>2311</v>
      </c>
      <c r="B788" s="59"/>
      <c r="C788" s="46"/>
      <c r="D788" s="46"/>
      <c r="E788" s="66" t="s">
        <v>2451</v>
      </c>
      <c r="F788" s="47"/>
      <c r="G788" s="48"/>
      <c r="H788" s="49"/>
      <c r="I788" s="49"/>
      <c r="J788" s="49">
        <v>1</v>
      </c>
      <c r="K788" s="50" t="s">
        <v>155</v>
      </c>
      <c r="L788" s="49"/>
      <c r="M788" s="49"/>
      <c r="N788" s="49"/>
      <c r="O788" s="50"/>
      <c r="P788" s="50"/>
      <c r="Q788" s="50"/>
      <c r="R788" s="50"/>
      <c r="S788" s="50"/>
      <c r="T788" s="50"/>
      <c r="U788" s="50"/>
      <c r="V788" s="50"/>
      <c r="W788" s="50"/>
      <c r="X788" s="50"/>
      <c r="Y788" s="50"/>
      <c r="Z788" s="50"/>
      <c r="AA788" s="52"/>
      <c r="AB788" s="52"/>
      <c r="AC788" s="52"/>
      <c r="AD788" s="231"/>
      <c r="AE788" s="49"/>
      <c r="AF788" s="84"/>
      <c r="AG788" s="49"/>
      <c r="AH788" s="49"/>
      <c r="AI788" s="49"/>
      <c r="AJ788" s="226"/>
      <c r="AK788" s="49"/>
      <c r="AL788" s="113">
        <f t="shared" si="314"/>
        <v>0</v>
      </c>
      <c r="AM788" s="113">
        <f t="shared" si="318"/>
        <v>0</v>
      </c>
      <c r="AN788" s="218"/>
      <c r="AO788" s="49"/>
      <c r="AP788" s="49"/>
      <c r="AQ788" s="84" t="str">
        <f>UPPER(RIGHT(Journal_Live[[#This Row],[DURATION ]]))</f>
        <v/>
      </c>
      <c r="AR788" s="49"/>
      <c r="AS788" s="55"/>
      <c r="AT788" s="55"/>
      <c r="AU788" s="54"/>
      <c r="AV788" s="56"/>
      <c r="AW788" s="57"/>
      <c r="AX788" s="153"/>
      <c r="AY788" s="153"/>
      <c r="AZ788" s="153"/>
      <c r="BA788" s="153"/>
      <c r="BB788" s="153"/>
      <c r="BC788" s="153"/>
      <c r="BD788" s="151"/>
      <c r="BE788" s="152"/>
      <c r="BF788" s="151"/>
      <c r="BG788" s="94">
        <f>SUM($AV$4:AV788)</f>
        <v>4869.8290193478788</v>
      </c>
      <c r="BH788" s="95">
        <f>SUM($AU$4:AU788)</f>
        <v>55188.423836163798</v>
      </c>
      <c r="BI788" s="80">
        <f>SUMIFS($AU$3:AU789,$Q$3:Q789,"F")</f>
        <v>36587.078121878127</v>
      </c>
      <c r="BJ788" s="80">
        <f>SUMIFS($AU$3:AU789,$Q$3:Q789,"S")</f>
        <v>21362.285714285714</v>
      </c>
      <c r="BK788" s="87">
        <f>SUMIFS($AU$3:AU789,$P$3:P789,"W")</f>
        <v>34464.143836164178</v>
      </c>
      <c r="BL788" s="87">
        <f>SUMIFS($AU$3:AU789,$P$3:P789,"R")</f>
        <v>17812.400000000162</v>
      </c>
      <c r="BM788" s="87">
        <f>SUMIFS($AU$3:AU789,$AQ$3:AQ789,"M")</f>
        <v>12131.179999998967</v>
      </c>
      <c r="BN788" s="87">
        <f>SUMIFS($AU$3:AU789,$AQ$3:AQ789,"H")</f>
        <v>14523.200000000877</v>
      </c>
      <c r="BO788" s="87">
        <f>SUMIFS($AU$3:AU789,$AQ$3:AQ789,"D")</f>
        <v>11302.377472527354</v>
      </c>
      <c r="BP788" s="87">
        <f>SUMIFS($AS$3:AS1306,$AO$3:AO1306,"W")</f>
        <v>0</v>
      </c>
      <c r="BQ788" s="87">
        <f>SUMIFS($AU$3:AU789,$Q$3:Q789,"O")</f>
        <v>-5384.9400000000251</v>
      </c>
      <c r="BR788" s="87">
        <f>SUMIFS($AU$3:AU789,$AA$3:AA789,"*")</f>
        <v>40521.522077921829</v>
      </c>
      <c r="BS788" s="87">
        <f>SUMIFS($AU$3:AU789,$AB$3:AB789,"*")</f>
        <v>14587.859999999973</v>
      </c>
      <c r="BT788" s="87">
        <f>SUMIFS($AU$3:AU789,$AC$3:AC789,"*")</f>
        <v>45147.078121878294</v>
      </c>
      <c r="BU788" s="87">
        <f>SUMIFS($AU$3:AU789,$AA$3:AA789,"*",$AB$3:AB789,"*")</f>
        <v>8011.9999999997544</v>
      </c>
      <c r="BV788" s="87">
        <f>SUMIFS($AU$3:AU789,$AA$3:AA789,"*",$AC$3:AC789,"*")</f>
        <v>31600.036363636533</v>
      </c>
      <c r="BW788" s="87">
        <f>SUMIFS($AU$3:AU789,$AB$3:AB789,"*",$AC$3:AC789,"*")</f>
        <v>10976</v>
      </c>
      <c r="BX788" s="87">
        <f>SUMIFS($AV$3:AV789,$Q$3:Q789,"F")</f>
        <v>493.65837744248347</v>
      </c>
      <c r="BY788" s="87">
        <f>SUMIFS($AV$3:AV789,$Q$3:Q789,"S")</f>
        <v>756.6113419057275</v>
      </c>
      <c r="BZ788" s="87">
        <f>SUMIFS($AV$3:AV789,$Q$3:Q789,"O")</f>
        <v>471.55929999966099</v>
      </c>
    </row>
    <row r="789" spans="1:78" ht="15.75" customHeight="1">
      <c r="A789" s="45" t="s">
        <v>2311</v>
      </c>
      <c r="B789" s="59">
        <v>45455</v>
      </c>
      <c r="C789" s="46" t="s">
        <v>147</v>
      </c>
      <c r="D789" s="46" t="s">
        <v>186</v>
      </c>
      <c r="E789" s="66"/>
      <c r="F789" s="47"/>
      <c r="G789" s="48" t="s">
        <v>227</v>
      </c>
      <c r="H789" s="49"/>
      <c r="I789" s="49"/>
      <c r="J789" s="49"/>
      <c r="K789" s="50"/>
      <c r="L789" s="49"/>
      <c r="M789" s="49">
        <v>2</v>
      </c>
      <c r="N789" s="49"/>
      <c r="O789" s="50" t="s">
        <v>100</v>
      </c>
      <c r="P789" s="50" t="s">
        <v>101</v>
      </c>
      <c r="Q789" s="50" t="s">
        <v>102</v>
      </c>
      <c r="R789" s="50">
        <v>75</v>
      </c>
      <c r="S789" s="50">
        <v>0</v>
      </c>
      <c r="T789" s="50">
        <v>60</v>
      </c>
      <c r="U789" s="50" t="s">
        <v>22</v>
      </c>
      <c r="V789" s="50"/>
      <c r="W789" s="50"/>
      <c r="X789" s="50"/>
      <c r="Y789" s="51">
        <f>IF(ISBLANK(O789),"",(IF(O789=UPPER("IB"),0.005,0.01)))</f>
        <v>0.01</v>
      </c>
      <c r="Z789" s="52">
        <f>IF(ISBLANK(O789),"",IF(O789="IB",8.63*200,IF(O789="IR",16*100,IF(O789="YT",20*100,IF(O789="YT-XT",24*200,IF(O789="TED",80*100,IF(O789="IR|YT",300*100)))))))</f>
        <v>1600</v>
      </c>
      <c r="AA789" s="52" t="s">
        <v>836</v>
      </c>
      <c r="AB789" s="52"/>
      <c r="AC789" s="52"/>
      <c r="AD789" s="231">
        <v>-0.06</v>
      </c>
      <c r="AE789" s="49"/>
      <c r="AF789" s="84"/>
      <c r="AG789" s="49"/>
      <c r="AH789" s="49"/>
      <c r="AI789" s="49"/>
      <c r="AJ789" s="226"/>
      <c r="AK789" s="49"/>
      <c r="AL789" s="113">
        <f t="shared" si="314"/>
        <v>-32</v>
      </c>
      <c r="AM789" s="113">
        <f t="shared" si="318"/>
        <v>-2400</v>
      </c>
      <c r="AN789" s="218"/>
      <c r="AO789" s="49"/>
      <c r="AP789" s="49"/>
      <c r="AQ789" s="84" t="s">
        <v>142</v>
      </c>
      <c r="AR789" s="49"/>
      <c r="AS789" s="55">
        <v>-0.06</v>
      </c>
      <c r="AT789" s="55">
        <f>IF(ISBLANK(AS789),,IF(U789="S",AD789-AS789,AS789-AD789))</f>
        <v>0</v>
      </c>
      <c r="AU789" s="54">
        <f>AV789*R789</f>
        <v>0</v>
      </c>
      <c r="AV789" s="56">
        <f t="shared" si="319"/>
        <v>0</v>
      </c>
      <c r="AW789" s="57" t="s">
        <v>155</v>
      </c>
      <c r="AX789" s="153"/>
      <c r="AY789" s="153"/>
      <c r="AZ789" s="153"/>
      <c r="BA789" s="153"/>
      <c r="BB789" s="153"/>
      <c r="BC789" s="153"/>
      <c r="BD789" s="151"/>
      <c r="BE789" s="152"/>
      <c r="BF789" s="151"/>
      <c r="BG789" s="94">
        <f>SUM($AV$4:AV789)</f>
        <v>4869.8290193478788</v>
      </c>
      <c r="BH789" s="95">
        <f>SUM($AU$4:AU789)</f>
        <v>55188.423836163798</v>
      </c>
      <c r="BI789" s="80">
        <f>SUMIFS($AU$3:AU790,$Q$3:Q790,"F")</f>
        <v>36587.078121878127</v>
      </c>
      <c r="BJ789" s="80">
        <f>SUMIFS($AU$3:AU790,$Q$3:Q790,"S")</f>
        <v>21362.285714285714</v>
      </c>
      <c r="BK789" s="87">
        <f>SUMIFS($AU$3:AU790,$P$3:P790,"W")</f>
        <v>34464.143836164178</v>
      </c>
      <c r="BL789" s="87">
        <f>SUMIFS($AU$3:AU790,$P$3:P790,"R")</f>
        <v>17812.400000000162</v>
      </c>
      <c r="BM789" s="87">
        <f>SUMIFS($AU$3:AU790,$AQ$3:AQ790,"M")</f>
        <v>12131.179999998967</v>
      </c>
      <c r="BN789" s="87">
        <f>SUMIFS($AU$3:AU790,$AQ$3:AQ790,"H")</f>
        <v>14523.200000000877</v>
      </c>
      <c r="BO789" s="87">
        <f>SUMIFS($AU$3:AU790,$AQ$3:AQ790,"D")</f>
        <v>11302.377472527354</v>
      </c>
      <c r="BP789" s="87">
        <f>SUMIFS($AS$3:AS1307,$AO$3:AO1307,"W")</f>
        <v>0</v>
      </c>
      <c r="BQ789" s="87">
        <f>SUMIFS($AU$3:AU790,$Q$3:Q790,"O")</f>
        <v>-5384.9400000000251</v>
      </c>
      <c r="BR789" s="87">
        <f>SUMIFS($AU$3:AU790,$AA$3:AA790,"*")</f>
        <v>40521.522077921829</v>
      </c>
      <c r="BS789" s="87">
        <f>SUMIFS($AU$3:AU790,$AB$3:AB790,"*")</f>
        <v>14587.859999999973</v>
      </c>
      <c r="BT789" s="87">
        <f>SUMIFS($AU$3:AU790,$AC$3:AC790,"*")</f>
        <v>45147.078121878294</v>
      </c>
      <c r="BU789" s="87">
        <f>SUMIFS($AU$3:AU790,$AA$3:AA790,"*",$AB$3:AB790,"*")</f>
        <v>8011.9999999997544</v>
      </c>
      <c r="BV789" s="87">
        <f>SUMIFS($AU$3:AU790,$AA$3:AA790,"*",$AC$3:AC790,"*")</f>
        <v>31600.036363636533</v>
      </c>
      <c r="BW789" s="87">
        <f>SUMIFS($AU$3:AU790,$AB$3:AB790,"*",$AC$3:AC790,"*")</f>
        <v>10976</v>
      </c>
      <c r="BX789" s="87">
        <f>SUMIFS($AV$3:AV790,$Q$3:Q790,"F")</f>
        <v>493.65837744248347</v>
      </c>
      <c r="BY789" s="87">
        <f>SUMIFS($AV$3:AV790,$Q$3:Q790,"S")</f>
        <v>756.6113419057275</v>
      </c>
      <c r="BZ789" s="87">
        <f>SUMIFS($AV$3:AV790,$Q$3:Q790,"O")</f>
        <v>471.55929999966099</v>
      </c>
    </row>
    <row r="790" spans="1:78" ht="15.75" customHeight="1">
      <c r="A790" s="45" t="s">
        <v>2311</v>
      </c>
      <c r="B790" s="59">
        <v>45455</v>
      </c>
      <c r="C790" s="46" t="s">
        <v>147</v>
      </c>
      <c r="D790" s="46" t="s">
        <v>186</v>
      </c>
      <c r="E790" s="66"/>
      <c r="F790" s="47"/>
      <c r="G790" s="48" t="s">
        <v>181</v>
      </c>
      <c r="H790" s="49"/>
      <c r="I790" s="49"/>
      <c r="J790" s="49"/>
      <c r="K790" s="50"/>
      <c r="L790" s="49"/>
      <c r="M790" s="49">
        <v>2</v>
      </c>
      <c r="N790" s="49"/>
      <c r="O790" s="50" t="s">
        <v>100</v>
      </c>
      <c r="P790" s="50" t="s">
        <v>101</v>
      </c>
      <c r="Q790" s="50" t="s">
        <v>102</v>
      </c>
      <c r="R790" s="50">
        <v>60</v>
      </c>
      <c r="S790" s="50">
        <v>0</v>
      </c>
      <c r="T790" s="50">
        <v>60</v>
      </c>
      <c r="U790" s="50" t="s">
        <v>22</v>
      </c>
      <c r="V790" s="50"/>
      <c r="W790" s="50"/>
      <c r="X790" s="50"/>
      <c r="Y790" s="51">
        <f>IF(ISBLANK(O790),"",(IF(O790=UPPER("IB"),0.005,0.01)))</f>
        <v>0.01</v>
      </c>
      <c r="Z790" s="52">
        <f>IF(ISBLANK(O790),"",IF(O790="IB",8.63*200,IF(O790="IR",16*100,IF(O790="YT",20*100,IF(O790="YT-XT",24*200,IF(O790="TED",80*100,IF(O790="IR|YT",300*100)))))))</f>
        <v>1600</v>
      </c>
      <c r="AA790" s="52" t="s">
        <v>2452</v>
      </c>
      <c r="AB790" s="52"/>
      <c r="AC790" s="52"/>
      <c r="AD790" s="231">
        <v>-0.09</v>
      </c>
      <c r="AE790" s="49"/>
      <c r="AF790" s="84"/>
      <c r="AG790" s="49"/>
      <c r="AH790" s="49"/>
      <c r="AI790" s="49"/>
      <c r="AJ790" s="226"/>
      <c r="AK790" s="49"/>
      <c r="AL790" s="113">
        <f t="shared" ref="AL790:AL802" si="322">-0.02*Z790</f>
        <v>-32</v>
      </c>
      <c r="AM790" s="113">
        <f t="shared" si="318"/>
        <v>-1920</v>
      </c>
      <c r="AN790" s="218"/>
      <c r="AO790" s="49"/>
      <c r="AP790" s="49"/>
      <c r="AQ790" s="84" t="s">
        <v>142</v>
      </c>
      <c r="AR790" s="49"/>
      <c r="AS790" s="55">
        <v>-0.09</v>
      </c>
      <c r="AT790" s="55">
        <f>IF(ISBLANK(AS790),,IF(U790="S",AD790-AS790,AS790-AD790))</f>
        <v>0</v>
      </c>
      <c r="AU790" s="54">
        <f>AV790*R790</f>
        <v>0</v>
      </c>
      <c r="AV790" s="56">
        <f t="shared" ref="AV790:AV802" si="323">IF(ISBLANK(AS790),,(AT790*Z790))</f>
        <v>0</v>
      </c>
      <c r="AW790" s="57" t="s">
        <v>155</v>
      </c>
      <c r="AX790" s="153"/>
      <c r="AY790" s="153"/>
      <c r="AZ790" s="153"/>
      <c r="BA790" s="153"/>
      <c r="BB790" s="153"/>
      <c r="BC790" s="153"/>
      <c r="BD790" s="151"/>
      <c r="BE790" s="152"/>
      <c r="BF790" s="151"/>
      <c r="BG790" s="94">
        <f>SUM($AV$4:AV790)</f>
        <v>4869.8290193478788</v>
      </c>
      <c r="BH790" s="95">
        <f>SUM($AU$4:AU790)</f>
        <v>55188.423836163798</v>
      </c>
      <c r="BI790" s="80">
        <f>SUMIFS($AU$3:AU791,$Q$3:Q791,"F")</f>
        <v>36587.078121878127</v>
      </c>
      <c r="BJ790" s="80">
        <f>SUMIFS($AU$3:AU791,$Q$3:Q791,"S")</f>
        <v>21362.285714285714</v>
      </c>
      <c r="BK790" s="87">
        <f>SUMIFS($AU$3:AU791,$P$3:P791,"W")</f>
        <v>34464.143836164178</v>
      </c>
      <c r="BL790" s="87">
        <f>SUMIFS($AU$3:AU791,$P$3:P791,"R")</f>
        <v>17812.400000000162</v>
      </c>
      <c r="BM790" s="87">
        <f>SUMIFS($AU$3:AU791,$AQ$3:AQ791,"M")</f>
        <v>12131.179999998967</v>
      </c>
      <c r="BN790" s="87">
        <f>SUMIFS($AU$3:AU791,$AQ$3:AQ791,"H")</f>
        <v>14523.200000000877</v>
      </c>
      <c r="BO790" s="87">
        <f>SUMIFS($AU$3:AU791,$AQ$3:AQ791,"D")</f>
        <v>11302.377472527354</v>
      </c>
      <c r="BP790" s="87">
        <f>SUMIFS($AS$3:AS1308,$AO$3:AO1308,"W")</f>
        <v>0</v>
      </c>
      <c r="BQ790" s="87">
        <f>SUMIFS($AU$3:AU791,$Q$3:Q791,"O")</f>
        <v>-5384.9400000000251</v>
      </c>
      <c r="BR790" s="87">
        <f>SUMIFS($AU$3:AU791,$AA$3:AA791,"*")</f>
        <v>40521.522077921829</v>
      </c>
      <c r="BS790" s="87">
        <f>SUMIFS($AU$3:AU791,$AB$3:AB791,"*")</f>
        <v>14587.859999999973</v>
      </c>
      <c r="BT790" s="87">
        <f>SUMIFS($AU$3:AU791,$AC$3:AC791,"*")</f>
        <v>45147.078121878294</v>
      </c>
      <c r="BU790" s="87">
        <f>SUMIFS($AU$3:AU791,$AA$3:AA791,"*",$AB$3:AB791,"*")</f>
        <v>8011.9999999997544</v>
      </c>
      <c r="BV790" s="87">
        <f>SUMIFS($AU$3:AU791,$AA$3:AA791,"*",$AC$3:AC791,"*")</f>
        <v>31600.036363636533</v>
      </c>
      <c r="BW790" s="87">
        <f>SUMIFS($AU$3:AU791,$AB$3:AB791,"*",$AC$3:AC791,"*")</f>
        <v>10976</v>
      </c>
      <c r="BX790" s="87">
        <f>SUMIFS($AV$3:AV791,$Q$3:Q791,"F")</f>
        <v>493.65837744248347</v>
      </c>
      <c r="BY790" s="87">
        <f>SUMIFS($AV$3:AV791,$Q$3:Q791,"S")</f>
        <v>756.6113419057275</v>
      </c>
      <c r="BZ790" s="87">
        <f>SUMIFS($AV$3:AV791,$Q$3:Q791,"O")</f>
        <v>471.55929999966099</v>
      </c>
    </row>
    <row r="791" spans="1:78" ht="15.75" customHeight="1">
      <c r="A791" s="45" t="s">
        <v>2311</v>
      </c>
      <c r="B791" s="59">
        <v>45455</v>
      </c>
      <c r="C791" s="46" t="s">
        <v>147</v>
      </c>
      <c r="D791" s="46" t="s">
        <v>186</v>
      </c>
      <c r="E791" s="66"/>
      <c r="F791" s="47"/>
      <c r="G791" s="48" t="s">
        <v>1501</v>
      </c>
      <c r="H791" s="49"/>
      <c r="I791" s="49"/>
      <c r="J791" s="49"/>
      <c r="K791" s="50"/>
      <c r="L791" s="49"/>
      <c r="M791" s="49">
        <v>2</v>
      </c>
      <c r="N791" s="49"/>
      <c r="O791" s="50" t="s">
        <v>100</v>
      </c>
      <c r="P791" s="50" t="s">
        <v>101</v>
      </c>
      <c r="Q791" s="50" t="s">
        <v>102</v>
      </c>
      <c r="R791" s="50">
        <v>100</v>
      </c>
      <c r="S791" s="50">
        <v>0</v>
      </c>
      <c r="T791" s="50">
        <v>100</v>
      </c>
      <c r="U791" s="50" t="s">
        <v>22</v>
      </c>
      <c r="V791" s="50"/>
      <c r="W791" s="50"/>
      <c r="X791" s="50"/>
      <c r="Y791" s="51">
        <f>IF(ISBLANK(O791),"",(IF(O791=UPPER("IB"),0.005,0.01)))</f>
        <v>0.01</v>
      </c>
      <c r="Z791" s="52">
        <f>IF(ISBLANK(O791),"",IF(O791="IB",8.63*200,IF(O791="IR",16*100,IF(O791="YT",20*100,IF(O791="YT-XT",24*200,IF(O791="TED",80*100,IF(O791="IR|YT",300*100)))))))</f>
        <v>1600</v>
      </c>
      <c r="AA791" s="52" t="s">
        <v>1889</v>
      </c>
      <c r="AB791" s="52"/>
      <c r="AC791" s="52"/>
      <c r="AD791" s="231">
        <v>-0.19</v>
      </c>
      <c r="AE791" s="49"/>
      <c r="AF791" s="84"/>
      <c r="AG791" s="49"/>
      <c r="AH791" s="49"/>
      <c r="AI791" s="49"/>
      <c r="AJ791" s="226"/>
      <c r="AK791" s="49"/>
      <c r="AL791" s="113">
        <f t="shared" si="322"/>
        <v>-32</v>
      </c>
      <c r="AM791" s="113">
        <f t="shared" si="318"/>
        <v>-3200</v>
      </c>
      <c r="AN791" s="218"/>
      <c r="AO791" s="49"/>
      <c r="AP791" s="49"/>
      <c r="AQ791" s="84" t="s">
        <v>142</v>
      </c>
      <c r="AR791" s="49"/>
      <c r="AS791" s="55">
        <v>-0.19</v>
      </c>
      <c r="AT791" s="55">
        <f>IF(ISBLANK(AS791),,IF(U791="S",AD791-AS791,AS791-AD791))</f>
        <v>0</v>
      </c>
      <c r="AU791" s="54">
        <f>AV791*R791</f>
        <v>0</v>
      </c>
      <c r="AV791" s="56">
        <f t="shared" si="323"/>
        <v>0</v>
      </c>
      <c r="AW791" s="57" t="s">
        <v>155</v>
      </c>
      <c r="AX791" s="153" t="s">
        <v>2453</v>
      </c>
      <c r="AY791" s="153"/>
      <c r="AZ791" s="153"/>
      <c r="BA791" s="153"/>
      <c r="BB791" s="153"/>
      <c r="BC791" s="153"/>
      <c r="BD791" s="151"/>
      <c r="BE791" s="152"/>
      <c r="BF791" s="151"/>
      <c r="BG791" s="94">
        <f>SUM($AV$4:AV791)</f>
        <v>4869.8290193478788</v>
      </c>
      <c r="BH791" s="95">
        <f>SUM($AU$4:AU791)</f>
        <v>55188.423836163798</v>
      </c>
      <c r="BI791" s="80">
        <f>SUMIFS($AU$3:AU792,$Q$3:Q792,"F")</f>
        <v>36587.078121878127</v>
      </c>
      <c r="BJ791" s="80">
        <f>SUMIFS($AU$3:AU792,$Q$3:Q792,"S")</f>
        <v>21362.285714285714</v>
      </c>
      <c r="BK791" s="87">
        <f>SUMIFS($AU$3:AU792,$P$3:P792,"W")</f>
        <v>34464.143836164178</v>
      </c>
      <c r="BL791" s="87">
        <f>SUMIFS($AU$3:AU792,$P$3:P792,"R")</f>
        <v>17812.400000000162</v>
      </c>
      <c r="BM791" s="87">
        <f>SUMIFS($AU$3:AU792,$AQ$3:AQ792,"M")</f>
        <v>12131.179999998967</v>
      </c>
      <c r="BN791" s="87">
        <f>SUMIFS($AU$3:AU792,$AQ$3:AQ792,"H")</f>
        <v>14523.200000000877</v>
      </c>
      <c r="BO791" s="87">
        <f>SUMIFS($AU$3:AU792,$AQ$3:AQ792,"D")</f>
        <v>11302.377472527354</v>
      </c>
      <c r="BP791" s="87">
        <f>SUMIFS($AS$3:AS1309,$AO$3:AO1309,"W")</f>
        <v>0</v>
      </c>
      <c r="BQ791" s="87">
        <f>SUMIFS($AU$3:AU792,$Q$3:Q792,"O")</f>
        <v>-5384.9400000000251</v>
      </c>
      <c r="BR791" s="87">
        <f>SUMIFS($AU$3:AU792,$AA$3:AA792,"*")</f>
        <v>40521.522077921829</v>
      </c>
      <c r="BS791" s="87">
        <f>SUMIFS($AU$3:AU792,$AB$3:AB792,"*")</f>
        <v>14587.859999999973</v>
      </c>
      <c r="BT791" s="87">
        <f>SUMIFS($AU$3:AU792,$AC$3:AC792,"*")</f>
        <v>45147.078121878294</v>
      </c>
      <c r="BU791" s="87">
        <f>SUMIFS($AU$3:AU792,$AA$3:AA792,"*",$AB$3:AB792,"*")</f>
        <v>8011.9999999997544</v>
      </c>
      <c r="BV791" s="87">
        <f>SUMIFS($AU$3:AU792,$AA$3:AA792,"*",$AC$3:AC792,"*")</f>
        <v>31600.036363636533</v>
      </c>
      <c r="BW791" s="87">
        <f>SUMIFS($AU$3:AU792,$AB$3:AB792,"*",$AC$3:AC792,"*")</f>
        <v>10976</v>
      </c>
      <c r="BX791" s="87">
        <f>SUMIFS($AV$3:AV792,$Q$3:Q792,"F")</f>
        <v>493.65837744248347</v>
      </c>
      <c r="BY791" s="87">
        <f>SUMIFS($AV$3:AV792,$Q$3:Q792,"S")</f>
        <v>756.6113419057275</v>
      </c>
      <c r="BZ791" s="87">
        <f>SUMIFS($AV$3:AV792,$Q$3:Q792,"O")</f>
        <v>471.55929999966099</v>
      </c>
    </row>
    <row r="792" spans="1:78" ht="15.75" customHeight="1">
      <c r="A792" s="45" t="s">
        <v>2311</v>
      </c>
      <c r="B792" s="59">
        <v>45455</v>
      </c>
      <c r="C792" s="46" t="s">
        <v>1845</v>
      </c>
      <c r="D792" s="46" t="s">
        <v>186</v>
      </c>
      <c r="E792" s="66" t="s">
        <v>2454</v>
      </c>
      <c r="F792" s="47"/>
      <c r="G792" s="48"/>
      <c r="H792" s="49"/>
      <c r="I792" s="49"/>
      <c r="J792" s="49"/>
      <c r="K792" s="50"/>
      <c r="L792" s="49"/>
      <c r="M792" s="49"/>
      <c r="N792" s="49"/>
      <c r="O792" s="50"/>
      <c r="P792" s="50"/>
      <c r="Q792" s="50"/>
      <c r="R792" s="50"/>
      <c r="S792" s="50"/>
      <c r="T792" s="50"/>
      <c r="U792" s="50"/>
      <c r="V792" s="50"/>
      <c r="W792" s="50"/>
      <c r="X792" s="50"/>
      <c r="Y792" s="50"/>
      <c r="Z792" s="50"/>
      <c r="AA792" s="52"/>
      <c r="AB792" s="52"/>
      <c r="AC792" s="52"/>
      <c r="AD792" s="231"/>
      <c r="AE792" s="49"/>
      <c r="AF792" s="84"/>
      <c r="AG792" s="49"/>
      <c r="AH792" s="49"/>
      <c r="AI792" s="49"/>
      <c r="AJ792" s="226"/>
      <c r="AK792" s="49"/>
      <c r="AL792" s="113">
        <f t="shared" si="322"/>
        <v>0</v>
      </c>
      <c r="AM792" s="113">
        <f t="shared" si="318"/>
        <v>0</v>
      </c>
      <c r="AN792" s="218"/>
      <c r="AO792" s="49"/>
      <c r="AP792" s="49"/>
      <c r="AQ792" s="84" t="str">
        <f>UPPER(RIGHT(Journal_Live[[#This Row],[DURATION ]]))</f>
        <v/>
      </c>
      <c r="AR792" s="49"/>
      <c r="AS792" s="55"/>
      <c r="AT792" s="55"/>
      <c r="AU792" s="54"/>
      <c r="AV792" s="56"/>
      <c r="AW792" s="57"/>
      <c r="AX792" s="153" t="s">
        <v>2455</v>
      </c>
      <c r="AY792" s="153" t="s">
        <v>2456</v>
      </c>
      <c r="AZ792" s="153" t="s">
        <v>2457</v>
      </c>
      <c r="BA792" s="153"/>
      <c r="BB792" s="153"/>
      <c r="BC792" s="153"/>
      <c r="BD792" s="151"/>
      <c r="BE792" s="152"/>
      <c r="BF792" s="151"/>
      <c r="BG792" s="94">
        <f>SUM($AV$4:AV792)</f>
        <v>4869.8290193478788</v>
      </c>
      <c r="BH792" s="95">
        <f>SUM($AU$4:AU792)</f>
        <v>55188.423836163798</v>
      </c>
      <c r="BI792" s="80">
        <f>SUMIFS($AU$3:AU793,$Q$3:Q793,"F")</f>
        <v>36587.078121878127</v>
      </c>
      <c r="BJ792" s="80">
        <f>SUMIFS($AU$3:AU793,$Q$3:Q793,"S")</f>
        <v>21362.285714285714</v>
      </c>
      <c r="BK792" s="87">
        <f>SUMIFS($AU$3:AU793,$P$3:P793,"W")</f>
        <v>34464.143836164178</v>
      </c>
      <c r="BL792" s="87">
        <f>SUMIFS($AU$3:AU793,$P$3:P793,"R")</f>
        <v>17812.400000000162</v>
      </c>
      <c r="BM792" s="87">
        <f>SUMIFS($AU$3:AU793,$AQ$3:AQ793,"M")</f>
        <v>12131.179999998967</v>
      </c>
      <c r="BN792" s="87">
        <f>SUMIFS($AU$3:AU793,$AQ$3:AQ793,"H")</f>
        <v>14523.200000000877</v>
      </c>
      <c r="BO792" s="87">
        <f>SUMIFS($AU$3:AU793,$AQ$3:AQ793,"D")</f>
        <v>11302.377472527354</v>
      </c>
      <c r="BP792" s="87">
        <f>SUMIFS($AS$3:AS1310,$AO$3:AO1310,"W")</f>
        <v>0</v>
      </c>
      <c r="BQ792" s="87">
        <f>SUMIFS($AU$3:AU793,$Q$3:Q793,"O")</f>
        <v>-5384.9400000000251</v>
      </c>
      <c r="BR792" s="87">
        <f>SUMIFS($AU$3:AU793,$AA$3:AA793,"*")</f>
        <v>40521.522077921829</v>
      </c>
      <c r="BS792" s="87">
        <f>SUMIFS($AU$3:AU793,$AB$3:AB793,"*")</f>
        <v>14587.859999999973</v>
      </c>
      <c r="BT792" s="87">
        <f>SUMIFS($AU$3:AU793,$AC$3:AC793,"*")</f>
        <v>45147.078121878294</v>
      </c>
      <c r="BU792" s="87">
        <f>SUMIFS($AU$3:AU793,$AA$3:AA793,"*",$AB$3:AB793,"*")</f>
        <v>8011.9999999997544</v>
      </c>
      <c r="BV792" s="87">
        <f>SUMIFS($AU$3:AU793,$AA$3:AA793,"*",$AC$3:AC793,"*")</f>
        <v>31600.036363636533</v>
      </c>
      <c r="BW792" s="87">
        <f>SUMIFS($AU$3:AU793,$AB$3:AB793,"*",$AC$3:AC793,"*")</f>
        <v>10976</v>
      </c>
      <c r="BX792" s="87">
        <f>SUMIFS($AV$3:AV793,$Q$3:Q793,"F")</f>
        <v>493.65837744248347</v>
      </c>
      <c r="BY792" s="87">
        <f>SUMIFS($AV$3:AV793,$Q$3:Q793,"S")</f>
        <v>756.6113419057275</v>
      </c>
      <c r="BZ792" s="87">
        <f>SUMIFS($AV$3:AV793,$Q$3:Q793,"O")</f>
        <v>471.55929999966099</v>
      </c>
    </row>
    <row r="793" spans="1:78" ht="15.75" customHeight="1">
      <c r="A793" s="45" t="s">
        <v>2311</v>
      </c>
      <c r="B793" s="59">
        <v>45455</v>
      </c>
      <c r="C793" s="46" t="s">
        <v>147</v>
      </c>
      <c r="D793" s="46" t="s">
        <v>186</v>
      </c>
      <c r="E793" s="66"/>
      <c r="F793" s="47"/>
      <c r="G793" s="104" t="s">
        <v>527</v>
      </c>
      <c r="H793" s="49"/>
      <c r="I793" s="49"/>
      <c r="J793" s="49"/>
      <c r="K793" s="50"/>
      <c r="L793" s="49">
        <v>1</v>
      </c>
      <c r="M793" s="49"/>
      <c r="N793" s="49"/>
      <c r="O793" s="50" t="s">
        <v>100</v>
      </c>
      <c r="P793" s="50" t="s">
        <v>101</v>
      </c>
      <c r="Q793" s="67" t="s">
        <v>127</v>
      </c>
      <c r="R793" s="50">
        <v>30</v>
      </c>
      <c r="S793" s="50">
        <v>0</v>
      </c>
      <c r="T793" s="50">
        <v>30</v>
      </c>
      <c r="U793" s="50" t="s">
        <v>102</v>
      </c>
      <c r="V793" s="50"/>
      <c r="W793" s="50"/>
      <c r="X793" s="50"/>
      <c r="Y793" s="51">
        <f>IF(ISBLANK(O793),"",(IF(O793=UPPER("IB"),0.005,0.01)))</f>
        <v>0.01</v>
      </c>
      <c r="Z793" s="52">
        <f>IF(ISBLANK(O793),"",IF(O793="IB",8.63*200,IF(O793="IR",16*100,IF(O793="YT",20*100,IF(O793="YT-XT",24*200,IF(O793="TED",80*100,IF(O793="IR|YT",300*100)))))))</f>
        <v>1600</v>
      </c>
      <c r="AA793" s="52"/>
      <c r="AB793" s="52"/>
      <c r="AC793" s="52" t="s">
        <v>2458</v>
      </c>
      <c r="AD793" s="231">
        <v>0.03</v>
      </c>
      <c r="AE793" s="49"/>
      <c r="AF793" s="84"/>
      <c r="AG793" s="49"/>
      <c r="AH793" s="49"/>
      <c r="AI793" s="49"/>
      <c r="AJ793" s="226"/>
      <c r="AK793" s="49"/>
      <c r="AL793" s="113">
        <f t="shared" si="322"/>
        <v>-32</v>
      </c>
      <c r="AM793" s="113">
        <f t="shared" si="318"/>
        <v>-960</v>
      </c>
      <c r="AN793" s="218"/>
      <c r="AO793" s="49"/>
      <c r="AP793" s="49" t="s">
        <v>468</v>
      </c>
      <c r="AQ793" s="84" t="s">
        <v>142</v>
      </c>
      <c r="AR793" s="49" t="s">
        <v>2423</v>
      </c>
      <c r="AS793" s="55">
        <v>0.03</v>
      </c>
      <c r="AT793" s="55">
        <f>IF(ISBLANK(AS793),,IF(U793="S",AD793-AS793,AS793-AD793))</f>
        <v>0</v>
      </c>
      <c r="AU793" s="54">
        <f>AV793*R793</f>
        <v>0</v>
      </c>
      <c r="AV793" s="56">
        <f t="shared" si="323"/>
        <v>0</v>
      </c>
      <c r="AW793" s="57" t="s">
        <v>155</v>
      </c>
      <c r="AX793" s="153" t="s">
        <v>2459</v>
      </c>
      <c r="AY793" s="153"/>
      <c r="AZ793" s="153"/>
      <c r="BA793" s="153"/>
      <c r="BB793" s="153"/>
      <c r="BC793" s="153"/>
      <c r="BD793" s="151"/>
      <c r="BE793" s="152"/>
      <c r="BF793" s="151"/>
      <c r="BG793" s="94">
        <f>SUM($AV$4:AV793)</f>
        <v>4869.8290193478788</v>
      </c>
      <c r="BH793" s="95">
        <f>SUM($AU$4:AU793)</f>
        <v>55188.423836163798</v>
      </c>
      <c r="BI793" s="80">
        <f>SUMIFS($AU$3:AU803,$Q$3:Q803,"F")</f>
        <v>36347.078121878127</v>
      </c>
      <c r="BJ793" s="80">
        <f>SUMIFS($AU$3:AU803,$Q$3:Q803,"S")</f>
        <v>24722.28571428571</v>
      </c>
      <c r="BK793" s="87">
        <f>SUMIFS($AU$3:AU803,$P$3:P803,"W")</f>
        <v>35024.14383616417</v>
      </c>
      <c r="BL793" s="87">
        <f>SUMIFS($AU$3:AU803,$P$3:P803,"R")</f>
        <v>20372.400000000162</v>
      </c>
      <c r="BM793" s="87">
        <f>SUMIFS($AU$3:AU803,$AQ$3:AQ803,"M")</f>
        <v>12131.179999998967</v>
      </c>
      <c r="BN793" s="87">
        <f>SUMIFS($AU$3:AU803,$AQ$3:AQ803,"H")</f>
        <v>14523.200000000877</v>
      </c>
      <c r="BO793" s="87">
        <f>SUMIFS($AU$3:AU803,$AQ$3:AQ803,"D")</f>
        <v>14422.377472527351</v>
      </c>
      <c r="BP793" s="87">
        <f>SUMIFS($AS$3:AS1311,$AO$3:AO1311,"W")</f>
        <v>0</v>
      </c>
      <c r="BQ793" s="87">
        <f>SUMIFS($AU$3:AU803,$Q$3:Q803,"O")</f>
        <v>-5384.9400000000251</v>
      </c>
      <c r="BR793" s="87">
        <f>SUMIFS($AU$3:AU803,$AA$3:AA803,"*")</f>
        <v>43881.522077921822</v>
      </c>
      <c r="BS793" s="87">
        <f>SUMIFS($AU$3:AU803,$AB$3:AB803,"*")</f>
        <v>14347.859999999973</v>
      </c>
      <c r="BT793" s="87">
        <f>SUMIFS($AU$3:AU803,$AC$3:AC803,"*")</f>
        <v>47467.078121878294</v>
      </c>
      <c r="BU793" s="87">
        <f>SUMIFS($AU$3:AU803,$AA$3:AA803,"*",$AB$3:AB803,"*")</f>
        <v>8011.9999999997544</v>
      </c>
      <c r="BV793" s="87">
        <f>SUMIFS($AU$3:AU803,$AA$3:AA803,"*",$AC$3:AC803,"*")</f>
        <v>34160.036363636536</v>
      </c>
      <c r="BW793" s="87">
        <f>SUMIFS($AU$3:AU803,$AB$3:AB803,"*",$AC$3:AC803,"*")</f>
        <v>10736</v>
      </c>
      <c r="BX793" s="87">
        <f>SUMIFS($AV$3:AV803,$Q$3:Q803,"F")</f>
        <v>477.65837744248347</v>
      </c>
      <c r="BY793" s="87">
        <f>SUMIFS($AV$3:AV803,$Q$3:Q803,"S")</f>
        <v>820.61134190572739</v>
      </c>
      <c r="BZ793" s="87">
        <f>SUMIFS($AV$3:AV803,$Q$3:Q803,"O")</f>
        <v>471.55929999966099</v>
      </c>
    </row>
    <row r="794" spans="1:78" ht="15.75" customHeight="1">
      <c r="A794" s="45" t="s">
        <v>2311</v>
      </c>
      <c r="B794" s="59">
        <v>45456</v>
      </c>
      <c r="C794" s="46" t="s">
        <v>194</v>
      </c>
      <c r="D794" s="46" t="s">
        <v>107</v>
      </c>
      <c r="E794" s="66" t="s">
        <v>2460</v>
      </c>
      <c r="F794" s="47"/>
      <c r="G794" s="48"/>
      <c r="H794" s="49">
        <v>1</v>
      </c>
      <c r="I794" s="49"/>
      <c r="J794" s="49"/>
      <c r="K794" s="50" t="s">
        <v>142</v>
      </c>
      <c r="L794" s="49"/>
      <c r="M794" s="49"/>
      <c r="N794" s="49"/>
      <c r="O794" s="50"/>
      <c r="P794" s="50"/>
      <c r="Q794" s="50"/>
      <c r="R794" s="50"/>
      <c r="S794" s="50"/>
      <c r="T794" s="50"/>
      <c r="U794" s="50"/>
      <c r="V794" s="50"/>
      <c r="W794" s="50"/>
      <c r="X794" s="50"/>
      <c r="Y794" s="50"/>
      <c r="Z794" s="50"/>
      <c r="AA794" s="52"/>
      <c r="AB794" s="52"/>
      <c r="AC794" s="52"/>
      <c r="AD794" s="231"/>
      <c r="AE794" s="49"/>
      <c r="AF794" s="84"/>
      <c r="AG794" s="49"/>
      <c r="AH794" s="49"/>
      <c r="AI794" s="49"/>
      <c r="AJ794" s="226"/>
      <c r="AK794" s="49"/>
      <c r="AL794" s="113">
        <f t="shared" si="322"/>
        <v>0</v>
      </c>
      <c r="AM794" s="113">
        <f t="shared" si="318"/>
        <v>0</v>
      </c>
      <c r="AN794" s="218"/>
      <c r="AO794" s="49"/>
      <c r="AP794" s="49"/>
      <c r="AQ794" s="84" t="str">
        <f>UPPER(RIGHT(Journal_Live[[#This Row],[DURATION ]]))</f>
        <v/>
      </c>
      <c r="AR794" s="49"/>
      <c r="AS794" s="55"/>
      <c r="AT794" s="55"/>
      <c r="AU794" s="54"/>
      <c r="AV794" s="56"/>
      <c r="AW794" s="57"/>
      <c r="AX794" s="153"/>
      <c r="AY794" s="153"/>
      <c r="AZ794" s="153"/>
      <c r="BA794" s="153"/>
      <c r="BB794" s="153"/>
      <c r="BC794" s="153"/>
      <c r="BD794" s="151"/>
      <c r="BE794" s="152"/>
      <c r="BF794" s="151"/>
      <c r="BG794" s="94">
        <f>SUM($AV$4:AV794)</f>
        <v>4869.8290193478788</v>
      </c>
      <c r="BH794" s="95">
        <f>SUM($AU$4:AU794)</f>
        <v>55188.423836163798</v>
      </c>
      <c r="BI794" s="80">
        <f>SUMIFS($AU$3:AU795,$Q$3:Q795,"F")</f>
        <v>36587.078121878127</v>
      </c>
      <c r="BJ794" s="80">
        <f>SUMIFS($AU$3:AU795,$Q$3:Q795,"S")</f>
        <v>21362.285714285714</v>
      </c>
      <c r="BK794" s="87">
        <f>SUMIFS($AU$3:AU795,$P$3:P795,"W")</f>
        <v>34464.143836164178</v>
      </c>
      <c r="BL794" s="87">
        <f>SUMIFS($AU$3:AU795,$P$3:P795,"R")</f>
        <v>17812.400000000162</v>
      </c>
      <c r="BM794" s="87">
        <f>SUMIFS($AU$3:AU795,$AQ$3:AQ795,"M")</f>
        <v>12131.179999998967</v>
      </c>
      <c r="BN794" s="87">
        <f>SUMIFS($AU$3:AU795,$AQ$3:AQ795,"H")</f>
        <v>14523.200000000877</v>
      </c>
      <c r="BO794" s="87">
        <f>SUMIFS($AU$3:AU795,$AQ$3:AQ795,"D")</f>
        <v>11302.377472527354</v>
      </c>
      <c r="BP794" s="87">
        <f>SUMIFS($AS$3:AS1308,$AO$3:AO1308,"W")</f>
        <v>0</v>
      </c>
      <c r="BQ794" s="87">
        <f>SUMIFS($AU$3:AU795,$Q$3:Q795,"O")</f>
        <v>-5384.9400000000251</v>
      </c>
      <c r="BR794" s="87">
        <f>SUMIFS($AU$3:AU795,$AA$3:AA795,"*")</f>
        <v>40521.522077921829</v>
      </c>
      <c r="BS794" s="87">
        <f>SUMIFS($AU$3:AU795,$AB$3:AB795,"*")</f>
        <v>14587.859999999973</v>
      </c>
      <c r="BT794" s="87">
        <f>SUMIFS($AU$3:AU795,$AC$3:AC795,"*")</f>
        <v>45147.078121878294</v>
      </c>
      <c r="BU794" s="87">
        <f>SUMIFS($AU$3:AU795,$AA$3:AA795,"*",$AB$3:AB795,"*")</f>
        <v>8011.9999999997544</v>
      </c>
      <c r="BV794" s="87">
        <f>SUMIFS($AU$3:AU795,$AA$3:AA795,"*",$AC$3:AC795,"*")</f>
        <v>31600.036363636533</v>
      </c>
      <c r="BW794" s="87">
        <f>SUMIFS($AU$3:AU795,$AB$3:AB795,"*",$AC$3:AC795,"*")</f>
        <v>10976</v>
      </c>
      <c r="BX794" s="87">
        <f>SUMIFS($AV$3:AV795,$Q$3:Q795,"F")</f>
        <v>493.65837744248347</v>
      </c>
      <c r="BY794" s="87">
        <f>SUMIFS($AV$3:AV795,$Q$3:Q795,"S")</f>
        <v>756.6113419057275</v>
      </c>
      <c r="BZ794" s="87">
        <f>SUMIFS($AV$3:AV795,$Q$3:Q795,"O")</f>
        <v>471.55929999966099</v>
      </c>
    </row>
    <row r="795" spans="1:78" ht="15.75" customHeight="1">
      <c r="A795" s="45" t="s">
        <v>2311</v>
      </c>
      <c r="B795" s="59"/>
      <c r="C795" s="46"/>
      <c r="D795" s="46"/>
      <c r="E795" s="66" t="s">
        <v>2461</v>
      </c>
      <c r="F795" s="47"/>
      <c r="G795" s="48"/>
      <c r="H795" s="49"/>
      <c r="I795" s="49">
        <v>1</v>
      </c>
      <c r="J795" s="49"/>
      <c r="K795" s="50"/>
      <c r="L795" s="49"/>
      <c r="M795" s="49"/>
      <c r="N795" s="49"/>
      <c r="O795" s="50"/>
      <c r="P795" s="50"/>
      <c r="Q795" s="50"/>
      <c r="R795" s="50"/>
      <c r="S795" s="50"/>
      <c r="T795" s="50"/>
      <c r="U795" s="50"/>
      <c r="V795" s="50"/>
      <c r="W795" s="50"/>
      <c r="X795" s="50"/>
      <c r="Y795" s="50"/>
      <c r="Z795" s="50"/>
      <c r="AA795" s="52"/>
      <c r="AB795" s="52"/>
      <c r="AC795" s="52"/>
      <c r="AD795" s="231"/>
      <c r="AE795" s="49"/>
      <c r="AF795" s="84"/>
      <c r="AG795" s="49"/>
      <c r="AH795" s="49"/>
      <c r="AI795" s="49"/>
      <c r="AJ795" s="226"/>
      <c r="AK795" s="49"/>
      <c r="AL795" s="113">
        <f t="shared" si="322"/>
        <v>0</v>
      </c>
      <c r="AM795" s="113">
        <f t="shared" si="318"/>
        <v>0</v>
      </c>
      <c r="AN795" s="218"/>
      <c r="AO795" s="49"/>
      <c r="AP795" s="49"/>
      <c r="AQ795" s="84" t="str">
        <f>UPPER(RIGHT(Journal_Live[[#This Row],[DURATION ]]))</f>
        <v/>
      </c>
      <c r="AR795" s="49"/>
      <c r="AS795" s="55"/>
      <c r="AT795" s="55"/>
      <c r="AU795" s="54"/>
      <c r="AV795" s="56"/>
      <c r="AW795" s="57"/>
      <c r="AX795" s="153"/>
      <c r="AY795" s="153"/>
      <c r="AZ795" s="153"/>
      <c r="BA795" s="153"/>
      <c r="BB795" s="153"/>
      <c r="BC795" s="153"/>
      <c r="BD795" s="151"/>
      <c r="BE795" s="152"/>
      <c r="BF795" s="151"/>
      <c r="BG795" s="94">
        <f>SUM($AV$4:AV795)</f>
        <v>4869.8290193478788</v>
      </c>
      <c r="BH795" s="95">
        <f>SUM($AU$4:AU795)</f>
        <v>55188.423836163798</v>
      </c>
      <c r="BI795" s="80">
        <f>SUMIFS($AU$3:AU796,$Q$3:Q796,"F")</f>
        <v>36347.078121878127</v>
      </c>
      <c r="BJ795" s="80">
        <f>SUMIFS($AU$3:AU796,$Q$3:Q796,"S")</f>
        <v>21362.285714285714</v>
      </c>
      <c r="BK795" s="87">
        <f>SUMIFS($AU$3:AU796,$P$3:P796,"W")</f>
        <v>34224.143836164178</v>
      </c>
      <c r="BL795" s="87">
        <f>SUMIFS($AU$3:AU796,$P$3:P796,"R")</f>
        <v>17812.400000000162</v>
      </c>
      <c r="BM795" s="87">
        <f>SUMIFS($AU$3:AU796,$AQ$3:AQ796,"M")</f>
        <v>12131.179999998967</v>
      </c>
      <c r="BN795" s="87">
        <f>SUMIFS($AU$3:AU796,$AQ$3:AQ796,"H")</f>
        <v>14523.200000000877</v>
      </c>
      <c r="BO795" s="87">
        <f>SUMIFS($AU$3:AU796,$AQ$3:AQ796,"D")</f>
        <v>11062.377472527354</v>
      </c>
      <c r="BP795" s="87">
        <f>SUMIFS($AS$3:AS1309,$AO$3:AO1309,"W")</f>
        <v>0</v>
      </c>
      <c r="BQ795" s="87">
        <f>SUMIFS($AU$3:AU796,$Q$3:Q796,"O")</f>
        <v>-5384.9400000000251</v>
      </c>
      <c r="BR795" s="87">
        <f>SUMIFS($AU$3:AU796,$AA$3:AA796,"*")</f>
        <v>40521.522077921829</v>
      </c>
      <c r="BS795" s="87">
        <f>SUMIFS($AU$3:AU796,$AB$3:AB796,"*")</f>
        <v>14347.859999999973</v>
      </c>
      <c r="BT795" s="87">
        <f>SUMIFS($AU$3:AU796,$AC$3:AC796,"*")</f>
        <v>44907.078121878294</v>
      </c>
      <c r="BU795" s="87">
        <f>SUMIFS($AU$3:AU796,$AA$3:AA796,"*",$AB$3:AB796,"*")</f>
        <v>8011.9999999997544</v>
      </c>
      <c r="BV795" s="87">
        <f>SUMIFS($AU$3:AU796,$AA$3:AA796,"*",$AC$3:AC796,"*")</f>
        <v>31600.036363636533</v>
      </c>
      <c r="BW795" s="87">
        <f>SUMIFS($AU$3:AU796,$AB$3:AB796,"*",$AC$3:AC796,"*")</f>
        <v>10736</v>
      </c>
      <c r="BX795" s="87">
        <f>SUMIFS($AV$3:AV796,$Q$3:Q796,"F")</f>
        <v>477.65837744248347</v>
      </c>
      <c r="BY795" s="87">
        <f>SUMIFS($AV$3:AV796,$Q$3:Q796,"S")</f>
        <v>756.6113419057275</v>
      </c>
      <c r="BZ795" s="87">
        <f>SUMIFS($AV$3:AV796,$Q$3:Q796,"O")</f>
        <v>471.55929999966099</v>
      </c>
    </row>
    <row r="796" spans="1:78" ht="15.75" customHeight="1">
      <c r="A796" s="45" t="s">
        <v>2311</v>
      </c>
      <c r="B796" s="59">
        <v>45456</v>
      </c>
      <c r="C796" s="46" t="s">
        <v>1573</v>
      </c>
      <c r="D796" s="46" t="s">
        <v>107</v>
      </c>
      <c r="E796" s="66"/>
      <c r="F796" s="47"/>
      <c r="G796" s="104" t="s">
        <v>2462</v>
      </c>
      <c r="H796" s="49"/>
      <c r="I796" s="49"/>
      <c r="J796" s="49"/>
      <c r="K796" s="50"/>
      <c r="L796" s="49">
        <v>1</v>
      </c>
      <c r="M796" s="49"/>
      <c r="N796" s="49"/>
      <c r="O796" s="50" t="s">
        <v>100</v>
      </c>
      <c r="P796" s="50" t="s">
        <v>101</v>
      </c>
      <c r="Q796" s="50" t="s">
        <v>127</v>
      </c>
      <c r="R796" s="50">
        <v>15</v>
      </c>
      <c r="S796" s="50">
        <v>15</v>
      </c>
      <c r="T796" s="50">
        <v>50</v>
      </c>
      <c r="U796" s="50" t="s">
        <v>22</v>
      </c>
      <c r="V796" s="50"/>
      <c r="W796" s="50"/>
      <c r="X796" s="50"/>
      <c r="Y796" s="51">
        <f>IF(ISBLANK(O796),"",(IF(O796=UPPER("IB"),0.005,0.01)))</f>
        <v>0.01</v>
      </c>
      <c r="Z796" s="52">
        <f>IF(ISBLANK(O796),"",IF(O796="IB",8.63*200,IF(O796="IR",16*100,IF(O796="YT",20*100,IF(O796="YT-XT",24*200,IF(O796="TED",80*100,IF(O796="IR|YT",300*100)))))))</f>
        <v>1600</v>
      </c>
      <c r="AA796" s="52"/>
      <c r="AB796" s="52" t="s">
        <v>2463</v>
      </c>
      <c r="AC796" s="52" t="s">
        <v>2464</v>
      </c>
      <c r="AD796" s="231">
        <v>0.01</v>
      </c>
      <c r="AE796" s="49"/>
      <c r="AF796" s="84"/>
      <c r="AG796" s="49"/>
      <c r="AH796" s="49"/>
      <c r="AI796" s="49"/>
      <c r="AJ796" s="226"/>
      <c r="AK796" s="49"/>
      <c r="AL796" s="113">
        <f t="shared" si="322"/>
        <v>-32</v>
      </c>
      <c r="AM796" s="113">
        <f t="shared" si="318"/>
        <v>0</v>
      </c>
      <c r="AN796" s="218"/>
      <c r="AO796" s="49"/>
      <c r="AP796" s="49" t="s">
        <v>1162</v>
      </c>
      <c r="AQ796" s="84" t="s">
        <v>155</v>
      </c>
      <c r="AR796" s="74">
        <v>45461</v>
      </c>
      <c r="AS796" s="55">
        <v>0</v>
      </c>
      <c r="AT796" s="55">
        <f t="shared" ref="AT796:AT813" si="324">IF(ISBLANK(AS796),,IF(U796="S",AD796-AS796,AS796-AD796))</f>
        <v>-0.01</v>
      </c>
      <c r="AU796" s="54">
        <f t="shared" ref="AU796:AU813" si="325">AV796*R796</f>
        <v>-240</v>
      </c>
      <c r="AV796" s="56">
        <f t="shared" si="323"/>
        <v>-16</v>
      </c>
      <c r="AW796" s="57" t="s">
        <v>121</v>
      </c>
      <c r="AX796" s="153"/>
      <c r="AY796" s="153"/>
      <c r="AZ796" s="153"/>
      <c r="BA796" s="153"/>
      <c r="BB796" s="153"/>
      <c r="BC796" s="153"/>
      <c r="BD796" s="151"/>
      <c r="BE796" s="152"/>
      <c r="BF796" s="151"/>
      <c r="BG796" s="94">
        <f>SUM($AV$4:AV796)</f>
        <v>4853.8290193478788</v>
      </c>
      <c r="BH796" s="95">
        <f>SUM($AU$4:AU796)</f>
        <v>54948.423836163798</v>
      </c>
      <c r="BI796" s="80">
        <f>SUMIFS($AU$3:AU802,$Q$3:Q802,"F")</f>
        <v>36347.078121878127</v>
      </c>
      <c r="BJ796" s="80">
        <f>SUMIFS($AU$3:AU802,$Q$3:Q802,"S")</f>
        <v>24722.28571428571</v>
      </c>
      <c r="BK796" s="87">
        <f>SUMIFS($AU$3:AU802,$P$3:P802,"W")</f>
        <v>35024.14383616417</v>
      </c>
      <c r="BL796" s="87">
        <f>SUMIFS($AU$3:AU802,$P$3:P802,"R")</f>
        <v>20372.400000000162</v>
      </c>
      <c r="BM796" s="87">
        <f>SUMIFS($AU$3:AU802,$AQ$3:AQ802,"M")</f>
        <v>12131.179999998967</v>
      </c>
      <c r="BN796" s="87">
        <f>SUMIFS($AU$3:AU802,$AQ$3:AQ802,"H")</f>
        <v>14523.200000000877</v>
      </c>
      <c r="BO796" s="87">
        <f>SUMIFS($AU$3:AU802,$AQ$3:AQ802,"D")</f>
        <v>14422.377472527351</v>
      </c>
      <c r="BP796" s="87">
        <f>SUMIFS($AS$3:AS1310,$AO$3:AO1310,"W")</f>
        <v>0</v>
      </c>
      <c r="BQ796" s="87">
        <f>SUMIFS($AU$3:AU802,$Q$3:Q802,"O")</f>
        <v>-5384.9400000000251</v>
      </c>
      <c r="BR796" s="87">
        <f>SUMIFS($AU$3:AU802,$AA$3:AA802,"*")</f>
        <v>43881.522077921822</v>
      </c>
      <c r="BS796" s="87">
        <f>SUMIFS($AU$3:AU802,$AB$3:AB802,"*")</f>
        <v>14347.859999999973</v>
      </c>
      <c r="BT796" s="87">
        <f>SUMIFS($AU$3:AU802,$AC$3:AC802,"*")</f>
        <v>47467.078121878294</v>
      </c>
      <c r="BU796" s="87">
        <f>SUMIFS($AU$3:AU802,$AA$3:AA802,"*",$AB$3:AB802,"*")</f>
        <v>8011.9999999997544</v>
      </c>
      <c r="BV796" s="87">
        <f>SUMIFS($AU$3:AU802,$AA$3:AA802,"*",$AC$3:AC802,"*")</f>
        <v>34160.036363636536</v>
      </c>
      <c r="BW796" s="87">
        <f>SUMIFS($AU$3:AU802,$AB$3:AB802,"*",$AC$3:AC802,"*")</f>
        <v>10736</v>
      </c>
      <c r="BX796" s="87">
        <f>SUMIFS($AV$3:AV802,$Q$3:Q802,"F")</f>
        <v>477.65837744248347</v>
      </c>
      <c r="BY796" s="87">
        <f>SUMIFS($AV$3:AV802,$Q$3:Q802,"S")</f>
        <v>820.61134190572739</v>
      </c>
      <c r="BZ796" s="87">
        <f>SUMIFS($AV$3:AV802,$Q$3:Q802,"O")</f>
        <v>471.55929999966099</v>
      </c>
    </row>
    <row r="797" spans="1:78" ht="15.75" customHeight="1">
      <c r="A797" s="45" t="s">
        <v>2311</v>
      </c>
      <c r="B797" s="59">
        <v>45456</v>
      </c>
      <c r="C797" s="46" t="s">
        <v>2465</v>
      </c>
      <c r="D797" s="46" t="s">
        <v>107</v>
      </c>
      <c r="E797" s="66"/>
      <c r="F797" s="47"/>
      <c r="G797" s="104" t="s">
        <v>2466</v>
      </c>
      <c r="H797" s="49"/>
      <c r="I797" s="49"/>
      <c r="J797" s="49"/>
      <c r="K797" s="50"/>
      <c r="L797" s="49">
        <v>1</v>
      </c>
      <c r="M797" s="49"/>
      <c r="N797" s="49"/>
      <c r="O797" s="50" t="s">
        <v>100</v>
      </c>
      <c r="P797" s="50" t="s">
        <v>101</v>
      </c>
      <c r="Q797" s="50" t="s">
        <v>102</v>
      </c>
      <c r="R797" s="50">
        <v>100</v>
      </c>
      <c r="S797" s="50">
        <v>33</v>
      </c>
      <c r="T797" s="50">
        <v>50</v>
      </c>
      <c r="U797" s="50" t="s">
        <v>22</v>
      </c>
      <c r="V797" s="50"/>
      <c r="W797" s="50"/>
      <c r="X797" s="50"/>
      <c r="Y797" s="51">
        <f>IF(ISBLANK(O797),"",(IF(O797=UPPER("IB"),0.005,0.01)))</f>
        <v>0.01</v>
      </c>
      <c r="Z797" s="52">
        <f>IF(ISBLANK(O797),"",IF(O797="IB",8.63*200,IF(O797="IR",16*100,IF(O797="YT",20*100,IF(O797="YT-XT",24*200,IF(O797="TED",80*100,IF(O797="IR|YT",300*100)))))))</f>
        <v>1600</v>
      </c>
      <c r="AA797" s="52"/>
      <c r="AB797" s="52"/>
      <c r="AC797" s="52" t="s">
        <v>2467</v>
      </c>
      <c r="AD797" s="231">
        <v>-0.34</v>
      </c>
      <c r="AE797" s="49"/>
      <c r="AF797" s="84"/>
      <c r="AG797" s="49"/>
      <c r="AH797" s="49"/>
      <c r="AI797" s="49"/>
      <c r="AJ797" s="226"/>
      <c r="AK797" s="49"/>
      <c r="AL797" s="113">
        <f t="shared" ref="AL797:AL801" si="326">-0.02*Z797</f>
        <v>-32</v>
      </c>
      <c r="AM797" s="113">
        <f t="shared" si="318"/>
        <v>-2144</v>
      </c>
      <c r="AN797" s="218"/>
      <c r="AO797" s="49"/>
      <c r="AP797" s="49" t="s">
        <v>1262</v>
      </c>
      <c r="AQ797" s="84" t="s">
        <v>142</v>
      </c>
      <c r="AR797" s="49"/>
      <c r="AS797" s="55">
        <v>-0.34</v>
      </c>
      <c r="AT797" s="55">
        <f t="shared" si="324"/>
        <v>0</v>
      </c>
      <c r="AU797" s="54">
        <f t="shared" si="325"/>
        <v>0</v>
      </c>
      <c r="AV797" s="56">
        <f t="shared" ref="AV797:AV801" si="327">IF(ISBLANK(AS797),,(AT797*Z797))</f>
        <v>0</v>
      </c>
      <c r="AW797" s="57" t="s">
        <v>155</v>
      </c>
      <c r="AX797" s="153"/>
      <c r="AY797" s="153"/>
      <c r="AZ797" s="153"/>
      <c r="BA797" s="153"/>
      <c r="BB797" s="153"/>
      <c r="BC797" s="153"/>
      <c r="BD797" s="151"/>
      <c r="BE797" s="152"/>
      <c r="BF797" s="151"/>
      <c r="BG797" s="94">
        <f>SUM($AV$4:AV797)</f>
        <v>4853.8290193478788</v>
      </c>
      <c r="BH797" s="95">
        <f>SUM($AU$4:AU797)</f>
        <v>54948.423836163798</v>
      </c>
      <c r="BI797" s="80">
        <f>SUMIFS($AU$3:AU798,$Q$3:Q798,"F")</f>
        <v>36347.078121878127</v>
      </c>
      <c r="BJ797" s="80">
        <f>SUMIFS($AU$3:AU798,$Q$3:Q798,"S")</f>
        <v>21362.285714285714</v>
      </c>
      <c r="BK797" s="87">
        <f>SUMIFS($AU$3:AU798,$P$3:P798,"W")</f>
        <v>34224.143836164178</v>
      </c>
      <c r="BL797" s="87">
        <f>SUMIFS($AU$3:AU798,$P$3:P798,"R")</f>
        <v>17812.400000000162</v>
      </c>
      <c r="BM797" s="87">
        <f>SUMIFS($AU$3:AU798,$AQ$3:AQ798,"M")</f>
        <v>12131.179999998967</v>
      </c>
      <c r="BN797" s="87">
        <f>SUMIFS($AU$3:AU798,$AQ$3:AQ798,"H")</f>
        <v>14523.200000000877</v>
      </c>
      <c r="BO797" s="87">
        <f>SUMIFS($AU$3:AU798,$AQ$3:AQ798,"D")</f>
        <v>11062.377472527354</v>
      </c>
      <c r="BP797" s="87">
        <f>SUMIFS($AS$3:AS1306,$AO$3:AO1306,"W")</f>
        <v>0</v>
      </c>
      <c r="BQ797" s="87">
        <f>SUMIFS($AU$3:AU798,$Q$3:Q798,"O")</f>
        <v>-5384.9400000000251</v>
      </c>
      <c r="BR797" s="87">
        <f>SUMIFS($AU$3:AU798,$AA$3:AA798,"*")</f>
        <v>40521.522077921829</v>
      </c>
      <c r="BS797" s="87">
        <f>SUMIFS($AU$3:AU798,$AB$3:AB798,"*")</f>
        <v>14347.859999999973</v>
      </c>
      <c r="BT797" s="87">
        <f>SUMIFS($AU$3:AU798,$AC$3:AC798,"*")</f>
        <v>44907.078121878294</v>
      </c>
      <c r="BU797" s="87">
        <f>SUMIFS($AU$3:AU798,$AA$3:AA798,"*",$AB$3:AB798,"*")</f>
        <v>8011.9999999997544</v>
      </c>
      <c r="BV797" s="87">
        <f>SUMIFS($AU$3:AU798,$AA$3:AA798,"*",$AC$3:AC798,"*")</f>
        <v>31600.036363636533</v>
      </c>
      <c r="BW797" s="87">
        <f>SUMIFS($AU$3:AU798,$AB$3:AB798,"*",$AC$3:AC798,"*")</f>
        <v>10736</v>
      </c>
      <c r="BX797" s="87">
        <f>SUMIFS($AV$3:AV798,$Q$3:Q798,"F")</f>
        <v>477.65837744248347</v>
      </c>
      <c r="BY797" s="87">
        <f>SUMIFS($AV$3:AV798,$Q$3:Q798,"S")</f>
        <v>756.6113419057275</v>
      </c>
      <c r="BZ797" s="87">
        <f>SUMIFS($AV$3:AV798,$Q$3:Q798,"O")</f>
        <v>471.55929999966099</v>
      </c>
    </row>
    <row r="798" spans="1:78" ht="15.75" customHeight="1">
      <c r="A798" s="45" t="s">
        <v>2311</v>
      </c>
      <c r="B798" s="59">
        <v>45456</v>
      </c>
      <c r="C798" s="46" t="s">
        <v>2465</v>
      </c>
      <c r="D798" s="46" t="s">
        <v>107</v>
      </c>
      <c r="E798" s="66"/>
      <c r="F798" s="47"/>
      <c r="G798" s="48" t="s">
        <v>2466</v>
      </c>
      <c r="H798" s="49"/>
      <c r="I798" s="49"/>
      <c r="J798" s="49"/>
      <c r="K798" s="50"/>
      <c r="L798" s="49"/>
      <c r="M798" s="49"/>
      <c r="N798" s="49"/>
      <c r="O798" s="50"/>
      <c r="P798" s="50"/>
      <c r="Q798" s="50"/>
      <c r="R798" s="50"/>
      <c r="S798" s="50"/>
      <c r="T798" s="50"/>
      <c r="U798" s="50"/>
      <c r="V798" s="50"/>
      <c r="W798" s="50"/>
      <c r="X798" s="50"/>
      <c r="Y798" s="51"/>
      <c r="Z798" s="52"/>
      <c r="AA798" s="52"/>
      <c r="AB798" s="52"/>
      <c r="AC798" s="52"/>
      <c r="AD798" s="231"/>
      <c r="AE798" s="49"/>
      <c r="AF798" s="84"/>
      <c r="AG798" s="49"/>
      <c r="AH798" s="49"/>
      <c r="AI798" s="49"/>
      <c r="AJ798" s="226"/>
      <c r="AK798" s="49"/>
      <c r="AL798" s="113">
        <f t="shared" si="326"/>
        <v>0</v>
      </c>
      <c r="AM798" s="113">
        <f t="shared" si="318"/>
        <v>0</v>
      </c>
      <c r="AN798" s="218"/>
      <c r="AO798" s="49"/>
      <c r="AP798" s="49"/>
      <c r="AQ798" s="84" t="str">
        <f>UPPER(RIGHT(Journal_Live[[#This Row],[DURATION ]]))</f>
        <v/>
      </c>
      <c r="AR798" s="49"/>
      <c r="AS798" s="55"/>
      <c r="AT798" s="55">
        <f t="shared" si="324"/>
        <v>0</v>
      </c>
      <c r="AU798" s="54">
        <f t="shared" si="325"/>
        <v>0</v>
      </c>
      <c r="AV798" s="56">
        <f t="shared" si="327"/>
        <v>0</v>
      </c>
      <c r="AW798" s="57"/>
      <c r="AX798" s="153" t="s">
        <v>539</v>
      </c>
      <c r="AY798" s="153" t="s">
        <v>2468</v>
      </c>
      <c r="AZ798" s="153" t="s">
        <v>2469</v>
      </c>
      <c r="BA798" s="153" t="s">
        <v>2470</v>
      </c>
      <c r="BB798" s="153"/>
      <c r="BC798" s="153"/>
      <c r="BD798" s="151"/>
      <c r="BE798" s="152"/>
      <c r="BF798" s="151"/>
      <c r="BG798" s="94">
        <f>SUM($AV$4:AV798)</f>
        <v>4853.8290193478788</v>
      </c>
      <c r="BH798" s="95">
        <f>SUM($AU$4:AU798)</f>
        <v>54948.423836163798</v>
      </c>
      <c r="BI798" s="80">
        <f>SUMIFS($AU$3:AU799,$Q$3:Q799,"F")</f>
        <v>36347.078121878127</v>
      </c>
      <c r="BJ798" s="80">
        <f>SUMIFS($AU$3:AU799,$Q$3:Q799,"S")</f>
        <v>21362.285714285714</v>
      </c>
      <c r="BK798" s="87">
        <f>SUMIFS($AU$3:AU799,$P$3:P799,"W")</f>
        <v>34224.143836164178</v>
      </c>
      <c r="BL798" s="87">
        <f>SUMIFS($AU$3:AU799,$P$3:P799,"R")</f>
        <v>17812.400000000162</v>
      </c>
      <c r="BM798" s="87">
        <f>SUMIFS($AU$3:AU799,$AQ$3:AQ799,"M")</f>
        <v>12131.179999998967</v>
      </c>
      <c r="BN798" s="87">
        <f>SUMIFS($AU$3:AU799,$AQ$3:AQ799,"H")</f>
        <v>14523.200000000877</v>
      </c>
      <c r="BO798" s="87">
        <f>SUMIFS($AU$3:AU799,$AQ$3:AQ799,"D")</f>
        <v>11062.377472527354</v>
      </c>
      <c r="BP798" s="87">
        <f>SUMIFS($AS$3:AS1307,$AO$3:AO1307,"W")</f>
        <v>0</v>
      </c>
      <c r="BQ798" s="87">
        <f>SUMIFS($AU$3:AU799,$Q$3:Q799,"O")</f>
        <v>-5384.9400000000251</v>
      </c>
      <c r="BR798" s="87">
        <f>SUMIFS($AU$3:AU799,$AA$3:AA799,"*")</f>
        <v>40521.522077921829</v>
      </c>
      <c r="BS798" s="87">
        <f>SUMIFS($AU$3:AU799,$AB$3:AB799,"*")</f>
        <v>14347.859999999973</v>
      </c>
      <c r="BT798" s="87">
        <f>SUMIFS($AU$3:AU799,$AC$3:AC799,"*")</f>
        <v>44907.078121878294</v>
      </c>
      <c r="BU798" s="87">
        <f>SUMIFS($AU$3:AU799,$AA$3:AA799,"*",$AB$3:AB799,"*")</f>
        <v>8011.9999999997544</v>
      </c>
      <c r="BV798" s="87">
        <f>SUMIFS($AU$3:AU799,$AA$3:AA799,"*",$AC$3:AC799,"*")</f>
        <v>31600.036363636533</v>
      </c>
      <c r="BW798" s="87">
        <f>SUMIFS($AU$3:AU799,$AB$3:AB799,"*",$AC$3:AC799,"*")</f>
        <v>10736</v>
      </c>
      <c r="BX798" s="87">
        <f>SUMIFS($AV$3:AV799,$Q$3:Q799,"F")</f>
        <v>477.65837744248347</v>
      </c>
      <c r="BY798" s="87">
        <f>SUMIFS($AV$3:AV799,$Q$3:Q799,"S")</f>
        <v>756.6113419057275</v>
      </c>
      <c r="BZ798" s="87">
        <f>SUMIFS($AV$3:AV799,$Q$3:Q799,"O")</f>
        <v>471.55929999966099</v>
      </c>
    </row>
    <row r="799" spans="1:78" ht="15.75" customHeight="1">
      <c r="A799" s="45" t="s">
        <v>2311</v>
      </c>
      <c r="B799" s="59">
        <v>45457</v>
      </c>
      <c r="C799" s="46" t="s">
        <v>2471</v>
      </c>
      <c r="D799" s="46" t="s">
        <v>115</v>
      </c>
      <c r="E799" s="66" t="s">
        <v>2472</v>
      </c>
      <c r="F799" s="47"/>
      <c r="G799" s="48"/>
      <c r="H799" s="49"/>
      <c r="I799" s="49"/>
      <c r="J799" s="49"/>
      <c r="K799" s="50"/>
      <c r="L799" s="49"/>
      <c r="M799" s="49"/>
      <c r="N799" s="49"/>
      <c r="O799" s="50"/>
      <c r="P799" s="50"/>
      <c r="Q799" s="50"/>
      <c r="R799" s="50"/>
      <c r="S799" s="50"/>
      <c r="T799" s="50"/>
      <c r="U799" s="50"/>
      <c r="V799" s="50"/>
      <c r="W799" s="50"/>
      <c r="X799" s="50"/>
      <c r="Y799" s="50"/>
      <c r="Z799" s="50"/>
      <c r="AA799" s="52"/>
      <c r="AB799" s="52"/>
      <c r="AC799" s="52"/>
      <c r="AD799" s="231"/>
      <c r="AE799" s="49"/>
      <c r="AF799" s="84"/>
      <c r="AG799" s="49"/>
      <c r="AH799" s="49"/>
      <c r="AI799" s="49"/>
      <c r="AJ799" s="226"/>
      <c r="AK799" s="49"/>
      <c r="AL799" s="113">
        <f t="shared" si="326"/>
        <v>0</v>
      </c>
      <c r="AM799" s="113">
        <f t="shared" si="318"/>
        <v>0</v>
      </c>
      <c r="AN799" s="218"/>
      <c r="AO799" s="49"/>
      <c r="AP799" s="49"/>
      <c r="AQ799" s="84" t="str">
        <f>UPPER(RIGHT(Journal_Live[[#This Row],[DURATION ]]))</f>
        <v/>
      </c>
      <c r="AR799" s="49"/>
      <c r="AS799" s="55"/>
      <c r="AT799" s="55">
        <f t="shared" si="324"/>
        <v>0</v>
      </c>
      <c r="AU799" s="54">
        <f t="shared" si="325"/>
        <v>0</v>
      </c>
      <c r="AV799" s="56">
        <f t="shared" si="327"/>
        <v>0</v>
      </c>
      <c r="AW799" s="57"/>
      <c r="AX799" s="153"/>
      <c r="AY799" s="153"/>
      <c r="AZ799" s="153"/>
      <c r="BA799" s="153"/>
      <c r="BB799" s="153"/>
      <c r="BC799" s="153"/>
      <c r="BD799" s="151"/>
      <c r="BE799" s="152"/>
      <c r="BF799" s="151"/>
      <c r="BG799" s="94">
        <f>SUM($AV$4:AV799)</f>
        <v>4853.8290193478788</v>
      </c>
      <c r="BH799" s="95">
        <f>SUM($AU$4:AU799)</f>
        <v>54948.423836163798</v>
      </c>
      <c r="BI799" s="80">
        <f>SUMIFS($AU$3:AU800,$Q$3:Q800,"F")</f>
        <v>36347.078121878127</v>
      </c>
      <c r="BJ799" s="80">
        <f>SUMIFS($AU$3:AU800,$Q$3:Q800,"S")</f>
        <v>22962.285714285714</v>
      </c>
      <c r="BK799" s="87">
        <f>SUMIFS($AU$3:AU800,$P$3:P800,"W")</f>
        <v>34224.143836164178</v>
      </c>
      <c r="BL799" s="87">
        <f>SUMIFS($AU$3:AU800,$P$3:P800,"R")</f>
        <v>19412.400000000162</v>
      </c>
      <c r="BM799" s="87">
        <f>SUMIFS($AU$3:AU800,$AQ$3:AQ800,"M")</f>
        <v>12131.179999998967</v>
      </c>
      <c r="BN799" s="87">
        <f>SUMIFS($AU$3:AU800,$AQ$3:AQ800,"H")</f>
        <v>14523.200000000877</v>
      </c>
      <c r="BO799" s="87">
        <f>SUMIFS($AU$3:AU800,$AQ$3:AQ800,"D")</f>
        <v>12662.377472527354</v>
      </c>
      <c r="BP799" s="87">
        <f>SUMIFS($AS$3:AS1308,$AO$3:AO1308,"W")</f>
        <v>0</v>
      </c>
      <c r="BQ799" s="87">
        <f>SUMIFS($AU$3:AU800,$Q$3:Q800,"O")</f>
        <v>-5384.9400000000251</v>
      </c>
      <c r="BR799" s="87">
        <f>SUMIFS($AU$3:AU800,$AA$3:AA800,"*")</f>
        <v>42121.522077921829</v>
      </c>
      <c r="BS799" s="87">
        <f>SUMIFS($AU$3:AU800,$AB$3:AB800,"*")</f>
        <v>14347.859999999973</v>
      </c>
      <c r="BT799" s="87">
        <f>SUMIFS($AU$3:AU800,$AC$3:AC800,"*")</f>
        <v>46507.078121878294</v>
      </c>
      <c r="BU799" s="87">
        <f>SUMIFS($AU$3:AU800,$AA$3:AA800,"*",$AB$3:AB800,"*")</f>
        <v>8011.9999999997544</v>
      </c>
      <c r="BV799" s="87">
        <f>SUMIFS($AU$3:AU800,$AA$3:AA800,"*",$AC$3:AC800,"*")</f>
        <v>33200.036363636536</v>
      </c>
      <c r="BW799" s="87">
        <f>SUMIFS($AU$3:AU800,$AB$3:AB800,"*",$AC$3:AC800,"*")</f>
        <v>10736</v>
      </c>
      <c r="BX799" s="87">
        <f>SUMIFS($AV$3:AV800,$Q$3:Q800,"F")</f>
        <v>477.65837744248347</v>
      </c>
      <c r="BY799" s="87">
        <f>SUMIFS($AV$3:AV800,$Q$3:Q800,"S")</f>
        <v>788.6113419057275</v>
      </c>
      <c r="BZ799" s="87">
        <f>SUMIFS($AV$3:AV800,$Q$3:Q800,"O")</f>
        <v>471.55929999966099</v>
      </c>
    </row>
    <row r="800" spans="1:78" ht="15.75" customHeight="1">
      <c r="A800" s="45" t="s">
        <v>2311</v>
      </c>
      <c r="B800" s="59">
        <v>45457</v>
      </c>
      <c r="C800" s="46" t="s">
        <v>2473</v>
      </c>
      <c r="D800" s="46" t="s">
        <v>115</v>
      </c>
      <c r="E800" s="66"/>
      <c r="F800" s="47"/>
      <c r="G800" s="104" t="s">
        <v>2474</v>
      </c>
      <c r="H800" s="49"/>
      <c r="I800" s="49"/>
      <c r="J800" s="49"/>
      <c r="K800" s="50"/>
      <c r="L800" s="49"/>
      <c r="M800" s="49">
        <v>2</v>
      </c>
      <c r="N800" s="49"/>
      <c r="O800" s="50" t="s">
        <v>100</v>
      </c>
      <c r="P800" s="50" t="s">
        <v>126</v>
      </c>
      <c r="Q800" s="50" t="s">
        <v>102</v>
      </c>
      <c r="R800" s="50">
        <v>50</v>
      </c>
      <c r="S800" s="50">
        <v>27</v>
      </c>
      <c r="T800" s="50">
        <v>50</v>
      </c>
      <c r="U800" s="50" t="s">
        <v>102</v>
      </c>
      <c r="V800" s="50"/>
      <c r="W800" s="50"/>
      <c r="X800" s="50"/>
      <c r="Y800" s="51">
        <f>IF(ISBLANK(O800),"",(IF(O800=UPPER("IB"),0.005,0.01)))</f>
        <v>0.01</v>
      </c>
      <c r="Z800" s="52">
        <f>IF(ISBLANK(O800),"",IF(O800="IB",8.63*200,IF(O800="IR",16*100,IF(O800="YT",20*100,IF(O800="YT-XT",24*200,IF(O800="TED",80*100,IF(O800="IR|YT",300*100)))))))</f>
        <v>1600</v>
      </c>
      <c r="AA800" s="52" t="s">
        <v>2475</v>
      </c>
      <c r="AB800" s="52"/>
      <c r="AC800" s="52" t="s">
        <v>1281</v>
      </c>
      <c r="AD800" s="231">
        <v>0.02</v>
      </c>
      <c r="AE800" s="49"/>
      <c r="AF800" s="84"/>
      <c r="AG800" s="49"/>
      <c r="AH800" s="49"/>
      <c r="AI800" s="49"/>
      <c r="AJ800" s="226"/>
      <c r="AK800" s="49"/>
      <c r="AL800" s="113">
        <f>-0.03*Z800</f>
        <v>-48</v>
      </c>
      <c r="AM800" s="113">
        <f t="shared" si="318"/>
        <v>-1104</v>
      </c>
      <c r="AN800" s="218"/>
      <c r="AO800" s="49"/>
      <c r="AP800" s="49" t="s">
        <v>1369</v>
      </c>
      <c r="AQ800" s="84" t="s">
        <v>155</v>
      </c>
      <c r="AR800" s="74">
        <v>45462</v>
      </c>
      <c r="AS800" s="55">
        <f>((0*7)+(-0.01*10)+(0.01*10)+(0*23))/50</f>
        <v>0</v>
      </c>
      <c r="AT800" s="55">
        <f t="shared" si="324"/>
        <v>0.02</v>
      </c>
      <c r="AU800" s="54">
        <f t="shared" si="325"/>
        <v>1600</v>
      </c>
      <c r="AV800" s="56">
        <f t="shared" si="327"/>
        <v>32</v>
      </c>
      <c r="AW800" s="57" t="s">
        <v>101</v>
      </c>
      <c r="AX800" s="159" t="s">
        <v>2476</v>
      </c>
      <c r="AY800" s="159" t="s">
        <v>2477</v>
      </c>
      <c r="AZ800" s="159" t="s">
        <v>2478</v>
      </c>
      <c r="BA800" s="153" t="s">
        <v>2479</v>
      </c>
      <c r="BB800" s="153" t="s">
        <v>2480</v>
      </c>
      <c r="BC800" s="153"/>
      <c r="BD800" s="151"/>
      <c r="BE800" s="152"/>
      <c r="BF800" s="151"/>
      <c r="BG800" s="94">
        <f>SUM($AV$4:AV800)</f>
        <v>4885.8290193478788</v>
      </c>
      <c r="BH800" s="95">
        <f>SUM($AU$4:AU800)</f>
        <v>56548.423836163798</v>
      </c>
      <c r="BI800" s="80">
        <f>SUMIFS($AU$3:AU801,$Q$3:Q801,"F")</f>
        <v>36347.078121878127</v>
      </c>
      <c r="BJ800" s="80">
        <f>SUMIFS($AU$3:AU801,$Q$3:Q801,"S")</f>
        <v>23762.28571428571</v>
      </c>
      <c r="BK800" s="87">
        <f>SUMIFS($AU$3:AU801,$P$3:P801,"W")</f>
        <v>35024.14383616417</v>
      </c>
      <c r="BL800" s="87">
        <f>SUMIFS($AU$3:AU801,$P$3:P801,"R")</f>
        <v>19412.400000000162</v>
      </c>
      <c r="BM800" s="87">
        <f>SUMIFS($AU$3:AU801,$AQ$3:AQ801,"M")</f>
        <v>12131.179999998967</v>
      </c>
      <c r="BN800" s="87">
        <f>SUMIFS($AU$3:AU801,$AQ$3:AQ801,"H")</f>
        <v>14523.200000000877</v>
      </c>
      <c r="BO800" s="87">
        <f>SUMIFS($AU$3:AU801,$AQ$3:AQ801,"D")</f>
        <v>13462.377472527351</v>
      </c>
      <c r="BP800" s="87">
        <f>SUMIFS($AS$3:AS1309,$AO$3:AO1309,"W")</f>
        <v>0</v>
      </c>
      <c r="BQ800" s="87">
        <f>SUMIFS($AU$3:AU801,$Q$3:Q801,"O")</f>
        <v>-5384.9400000000251</v>
      </c>
      <c r="BR800" s="87">
        <f>SUMIFS($AU$3:AU801,$AA$3:AA801,"*")</f>
        <v>42921.522077921822</v>
      </c>
      <c r="BS800" s="87">
        <f>SUMIFS($AU$3:AU801,$AB$3:AB801,"*")</f>
        <v>14347.859999999973</v>
      </c>
      <c r="BT800" s="87">
        <f>SUMIFS($AU$3:AU801,$AC$3:AC801,"*")</f>
        <v>46507.078121878294</v>
      </c>
      <c r="BU800" s="87">
        <f>SUMIFS($AU$3:AU801,$AA$3:AA801,"*",$AB$3:AB801,"*")</f>
        <v>8011.9999999997544</v>
      </c>
      <c r="BV800" s="87">
        <f>SUMIFS($AU$3:AU801,$AA$3:AA801,"*",$AC$3:AC801,"*")</f>
        <v>33200.036363636536</v>
      </c>
      <c r="BW800" s="87">
        <f>SUMIFS($AU$3:AU801,$AB$3:AB801,"*",$AC$3:AC801,"*")</f>
        <v>10736</v>
      </c>
      <c r="BX800" s="87">
        <f>SUMIFS($AV$3:AV801,$Q$3:Q801,"F")</f>
        <v>477.65837744248347</v>
      </c>
      <c r="BY800" s="87">
        <f>SUMIFS($AV$3:AV801,$Q$3:Q801,"S")</f>
        <v>804.61134190572739</v>
      </c>
      <c r="BZ800" s="87">
        <f>SUMIFS($AV$3:AV801,$Q$3:Q801,"O")</f>
        <v>471.55929999966099</v>
      </c>
    </row>
    <row r="801" spans="1:78" ht="15.75" customHeight="1">
      <c r="A801" s="45" t="s">
        <v>2311</v>
      </c>
      <c r="B801" s="59">
        <v>45457</v>
      </c>
      <c r="C801" s="46" t="s">
        <v>2481</v>
      </c>
      <c r="D801" s="46" t="s">
        <v>115</v>
      </c>
      <c r="E801" s="66"/>
      <c r="F801" s="47"/>
      <c r="G801" s="104" t="s">
        <v>2466</v>
      </c>
      <c r="H801" s="49"/>
      <c r="I801" s="49"/>
      <c r="J801" s="49"/>
      <c r="K801" s="50"/>
      <c r="L801" s="49"/>
      <c r="M801" s="49">
        <v>2</v>
      </c>
      <c r="N801" s="49"/>
      <c r="O801" s="50" t="s">
        <v>100</v>
      </c>
      <c r="P801" s="50" t="s">
        <v>101</v>
      </c>
      <c r="Q801" s="50" t="s">
        <v>102</v>
      </c>
      <c r="R801" s="50">
        <v>50</v>
      </c>
      <c r="S801" s="50">
        <v>50</v>
      </c>
      <c r="T801" s="50">
        <v>50</v>
      </c>
      <c r="U801" s="50" t="s">
        <v>102</v>
      </c>
      <c r="V801" s="50"/>
      <c r="W801" s="50"/>
      <c r="X801" s="50"/>
      <c r="Y801" s="51">
        <f>IF(ISBLANK(O801),"",(IF(O801=UPPER("IB"),0.005,0.01)))</f>
        <v>0.01</v>
      </c>
      <c r="Z801" s="52">
        <f>IF(ISBLANK(O801),"",IF(O801="IB",8.63*200,IF(O801="IR",16*100,IF(O801="YT",20*100,IF(O801="YT-XT",24*200,IF(O801="TED",80*100,IF(O801="IR|YT",300*100)))))))</f>
        <v>1600</v>
      </c>
      <c r="AA801" s="52" t="s">
        <v>2482</v>
      </c>
      <c r="AB801" s="52"/>
      <c r="AC801" s="52"/>
      <c r="AD801" s="231">
        <v>-0.34</v>
      </c>
      <c r="AE801" s="49"/>
      <c r="AF801" s="84"/>
      <c r="AG801" s="49"/>
      <c r="AH801" s="49"/>
      <c r="AI801" s="49"/>
      <c r="AJ801" s="226"/>
      <c r="AK801" s="49"/>
      <c r="AL801" s="113">
        <f t="shared" si="326"/>
        <v>-32</v>
      </c>
      <c r="AM801" s="113">
        <f t="shared" si="318"/>
        <v>0</v>
      </c>
      <c r="AN801" s="218"/>
      <c r="AO801" s="49"/>
      <c r="AP801" s="49" t="s">
        <v>279</v>
      </c>
      <c r="AQ801" s="84" t="s">
        <v>155</v>
      </c>
      <c r="AR801" s="49" t="s">
        <v>2483</v>
      </c>
      <c r="AS801" s="55">
        <v>-0.35</v>
      </c>
      <c r="AT801" s="55">
        <f t="shared" si="324"/>
        <v>9.9999999999999534E-3</v>
      </c>
      <c r="AU801" s="54">
        <f t="shared" si="325"/>
        <v>799.99999999999625</v>
      </c>
      <c r="AV801" s="56">
        <f t="shared" si="327"/>
        <v>15.999999999999925</v>
      </c>
      <c r="AW801" s="57" t="s">
        <v>101</v>
      </c>
      <c r="AX801" s="153" t="s">
        <v>2484</v>
      </c>
      <c r="AY801" s="153"/>
      <c r="AZ801" s="153"/>
      <c r="BA801" s="153"/>
      <c r="BB801" s="153"/>
      <c r="BC801" s="153"/>
      <c r="BD801" s="151"/>
      <c r="BE801" s="152"/>
      <c r="BF801" s="151"/>
      <c r="BG801" s="94">
        <f>SUM($AV$4:AV801)</f>
        <v>4901.8290193478788</v>
      </c>
      <c r="BH801" s="95">
        <f>SUM($AU$4:AU801)</f>
        <v>57348.423836163791</v>
      </c>
      <c r="BI801" s="80">
        <f>SUMIFS($AU$3:AU802,$Q$3:Q802,"F")</f>
        <v>36347.078121878127</v>
      </c>
      <c r="BJ801" s="80">
        <f>SUMIFS($AU$3:AU802,$Q$3:Q802,"S")</f>
        <v>24722.28571428571</v>
      </c>
      <c r="BK801" s="87">
        <f>SUMIFS($AU$3:AU802,$P$3:P802,"W")</f>
        <v>35024.14383616417</v>
      </c>
      <c r="BL801" s="87">
        <f>SUMIFS($AU$3:AU802,$P$3:P802,"R")</f>
        <v>20372.400000000162</v>
      </c>
      <c r="BM801" s="87">
        <f>SUMIFS($AU$3:AU802,$AQ$3:AQ802,"M")</f>
        <v>12131.179999998967</v>
      </c>
      <c r="BN801" s="87">
        <f>SUMIFS($AU$3:AU802,$AQ$3:AQ802,"H")</f>
        <v>14523.200000000877</v>
      </c>
      <c r="BO801" s="87">
        <f>SUMIFS($AU$3:AU802,$AQ$3:AQ802,"D")</f>
        <v>14422.377472527351</v>
      </c>
      <c r="BP801" s="87">
        <f>SUMIFS($AS$3:AS1310,$AO$3:AO1310,"W")</f>
        <v>0</v>
      </c>
      <c r="BQ801" s="87">
        <f>SUMIFS($AU$3:AU802,$Q$3:Q802,"O")</f>
        <v>-5384.9400000000251</v>
      </c>
      <c r="BR801" s="87">
        <f>SUMIFS($AU$3:AU802,$AA$3:AA802,"*")</f>
        <v>43881.522077921822</v>
      </c>
      <c r="BS801" s="87">
        <f>SUMIFS($AU$3:AU802,$AB$3:AB802,"*")</f>
        <v>14347.859999999973</v>
      </c>
      <c r="BT801" s="87">
        <f>SUMIFS($AU$3:AU802,$AC$3:AC802,"*")</f>
        <v>47467.078121878294</v>
      </c>
      <c r="BU801" s="87">
        <f>SUMIFS($AU$3:AU802,$AA$3:AA802,"*",$AB$3:AB802,"*")</f>
        <v>8011.9999999997544</v>
      </c>
      <c r="BV801" s="87">
        <f>SUMIFS($AU$3:AU802,$AA$3:AA802,"*",$AC$3:AC802,"*")</f>
        <v>34160.036363636536</v>
      </c>
      <c r="BW801" s="87">
        <f>SUMIFS($AU$3:AU802,$AB$3:AB802,"*",$AC$3:AC802,"*")</f>
        <v>10736</v>
      </c>
      <c r="BX801" s="87">
        <f>SUMIFS($AV$3:AV802,$Q$3:Q802,"F")</f>
        <v>477.65837744248347</v>
      </c>
      <c r="BY801" s="87">
        <f>SUMIFS($AV$3:AV802,$Q$3:Q802,"S")</f>
        <v>820.61134190572739</v>
      </c>
      <c r="BZ801" s="87">
        <f>SUMIFS($AV$3:AV802,$Q$3:Q802,"O")</f>
        <v>471.55929999966099</v>
      </c>
    </row>
    <row r="802" spans="1:78" ht="15.75" customHeight="1">
      <c r="A802" s="45" t="s">
        <v>2311</v>
      </c>
      <c r="B802" s="59">
        <v>45457</v>
      </c>
      <c r="C802" s="46" t="s">
        <v>2485</v>
      </c>
      <c r="D802" s="46" t="s">
        <v>115</v>
      </c>
      <c r="E802" s="66"/>
      <c r="F802" s="47"/>
      <c r="G802" s="104" t="s">
        <v>2486</v>
      </c>
      <c r="H802" s="49"/>
      <c r="I802" s="49"/>
      <c r="J802" s="49"/>
      <c r="K802" s="50"/>
      <c r="L802" s="49"/>
      <c r="M802" s="49">
        <v>2</v>
      </c>
      <c r="N802" s="49"/>
      <c r="O802" s="50" t="s">
        <v>100</v>
      </c>
      <c r="P802" s="50" t="s">
        <v>126</v>
      </c>
      <c r="Q802" s="50" t="s">
        <v>102</v>
      </c>
      <c r="R802" s="50">
        <v>60</v>
      </c>
      <c r="S802" s="50">
        <v>0</v>
      </c>
      <c r="T802" s="50">
        <v>100</v>
      </c>
      <c r="U802" s="50" t="s">
        <v>22</v>
      </c>
      <c r="V802" s="50"/>
      <c r="W802" s="50"/>
      <c r="X802" s="50"/>
      <c r="Y802" s="51">
        <f>IF(ISBLANK(O802),"",(IF(O802=UPPER("IB"),0.005,0.01)))</f>
        <v>0.01</v>
      </c>
      <c r="Z802" s="52">
        <f>IF(ISBLANK(O802),"",IF(O802="IB",8.63*200,IF(O802="IR",16*100,IF(O802="YT",20*100,IF(O802="YT-XT",24*200,IF(O802="TED",80*100,IF(O802="IR|YT",300*100)))))))</f>
        <v>1600</v>
      </c>
      <c r="AA802" s="52" t="s">
        <v>1588</v>
      </c>
      <c r="AB802" s="52"/>
      <c r="AC802" s="52" t="s">
        <v>2487</v>
      </c>
      <c r="AD802" s="231">
        <v>-0.09</v>
      </c>
      <c r="AE802" s="49"/>
      <c r="AF802" s="84"/>
      <c r="AG802" s="49"/>
      <c r="AH802" s="49"/>
      <c r="AI802" s="49"/>
      <c r="AJ802" s="226"/>
      <c r="AK802" s="49"/>
      <c r="AL802" s="113">
        <f t="shared" si="322"/>
        <v>-32</v>
      </c>
      <c r="AM802" s="113">
        <f t="shared" si="318"/>
        <v>-1920</v>
      </c>
      <c r="AN802" s="218"/>
      <c r="AO802" s="49"/>
      <c r="AP802" s="49"/>
      <c r="AQ802" s="84" t="s">
        <v>155</v>
      </c>
      <c r="AR802" s="49" t="s">
        <v>2483</v>
      </c>
      <c r="AS802" s="55">
        <v>-0.08</v>
      </c>
      <c r="AT802" s="55">
        <f t="shared" si="324"/>
        <v>9.999999999999995E-3</v>
      </c>
      <c r="AU802" s="54">
        <f t="shared" si="325"/>
        <v>959.99999999999955</v>
      </c>
      <c r="AV802" s="56">
        <f t="shared" si="323"/>
        <v>15.999999999999993</v>
      </c>
      <c r="AW802" s="57" t="s">
        <v>101</v>
      </c>
      <c r="AX802" s="159" t="s">
        <v>2488</v>
      </c>
      <c r="AY802" s="151" t="s">
        <v>2489</v>
      </c>
      <c r="AZ802" s="153"/>
      <c r="BA802" s="153"/>
      <c r="BB802" s="153"/>
      <c r="BC802" s="153"/>
      <c r="BD802" s="151"/>
      <c r="BE802" s="152"/>
      <c r="BF802" s="151"/>
      <c r="BG802" s="94">
        <f>SUM($AV$4:AV802)</f>
        <v>4917.8290193478788</v>
      </c>
      <c r="BH802" s="95">
        <f>SUM($AU$4:AU802)</f>
        <v>58308.423836163791</v>
      </c>
      <c r="BI802" s="80">
        <f>SUMIFS($AU$3:AU803,$Q$3:Q803,"F")</f>
        <v>36347.078121878127</v>
      </c>
      <c r="BJ802" s="80">
        <f>SUMIFS($AU$3:AU803,$Q$3:Q803,"S")</f>
        <v>24722.28571428571</v>
      </c>
      <c r="BK802" s="87">
        <f>SUMIFS($AU$3:AU803,$P$3:P803,"W")</f>
        <v>35024.14383616417</v>
      </c>
      <c r="BL802" s="87">
        <f>SUMIFS($AU$3:AU803,$P$3:P803,"R")</f>
        <v>20372.400000000162</v>
      </c>
      <c r="BM802" s="87">
        <f>SUMIFS($AU$3:AU803,$AQ$3:AQ803,"M")</f>
        <v>12131.179999998967</v>
      </c>
      <c r="BN802" s="87">
        <f>SUMIFS($AU$3:AU803,$AQ$3:AQ803,"H")</f>
        <v>14523.200000000877</v>
      </c>
      <c r="BO802" s="87">
        <f>SUMIFS($AU$3:AU803,$AQ$3:AQ803,"D")</f>
        <v>14422.377472527351</v>
      </c>
      <c r="BP802" s="87">
        <f>SUMIFS($AS$3:AS1311,$AO$3:AO1311,"W")</f>
        <v>0</v>
      </c>
      <c r="BQ802" s="87">
        <f>SUMIFS($AU$3:AU803,$Q$3:Q803,"O")</f>
        <v>-5384.9400000000251</v>
      </c>
      <c r="BR802" s="87">
        <f>SUMIFS($AU$3:AU803,$AA$3:AA803,"*")</f>
        <v>43881.522077921822</v>
      </c>
      <c r="BS802" s="87">
        <f>SUMIFS($AU$3:AU803,$AB$3:AB803,"*")</f>
        <v>14347.859999999973</v>
      </c>
      <c r="BT802" s="87">
        <f>SUMIFS($AU$3:AU803,$AC$3:AC803,"*")</f>
        <v>47467.078121878294</v>
      </c>
      <c r="BU802" s="87">
        <f>SUMIFS($AU$3:AU803,$AA$3:AA803,"*",$AB$3:AB803,"*")</f>
        <v>8011.9999999997544</v>
      </c>
      <c r="BV802" s="87">
        <f>SUMIFS($AU$3:AU803,$AA$3:AA803,"*",$AC$3:AC803,"*")</f>
        <v>34160.036363636536</v>
      </c>
      <c r="BW802" s="87">
        <f>SUMIFS($AU$3:AU803,$AB$3:AB803,"*",$AC$3:AC803,"*")</f>
        <v>10736</v>
      </c>
      <c r="BX802" s="87">
        <f>SUMIFS($AV$3:AV803,$Q$3:Q803,"F")</f>
        <v>477.65837744248347</v>
      </c>
      <c r="BY802" s="87">
        <f>SUMIFS($AV$3:AV803,$Q$3:Q803,"S")</f>
        <v>820.61134190572739</v>
      </c>
      <c r="BZ802" s="87">
        <f>SUMIFS($AV$3:AV803,$Q$3:Q803,"O")</f>
        <v>471.55929999966099</v>
      </c>
    </row>
    <row r="803" spans="1:78" ht="15.75" customHeight="1">
      <c r="A803" s="45" t="s">
        <v>2311</v>
      </c>
      <c r="B803" s="59">
        <v>45460</v>
      </c>
      <c r="C803" s="46" t="s">
        <v>504</v>
      </c>
      <c r="D803" s="46" t="s">
        <v>176</v>
      </c>
      <c r="E803" s="66"/>
      <c r="F803" s="47"/>
      <c r="G803" s="104" t="s">
        <v>113</v>
      </c>
      <c r="H803" s="49"/>
      <c r="I803" s="49"/>
      <c r="J803" s="49"/>
      <c r="K803" s="50"/>
      <c r="L803" s="49"/>
      <c r="M803" s="49">
        <v>2</v>
      </c>
      <c r="N803" s="49"/>
      <c r="O803" s="50" t="s">
        <v>100</v>
      </c>
      <c r="P803" s="50" t="s">
        <v>126</v>
      </c>
      <c r="Q803" s="50" t="s">
        <v>102</v>
      </c>
      <c r="R803" s="50">
        <v>60</v>
      </c>
      <c r="S803" s="50">
        <v>0</v>
      </c>
      <c r="T803" s="50">
        <v>100</v>
      </c>
      <c r="U803" s="50" t="s">
        <v>102</v>
      </c>
      <c r="V803" s="50"/>
      <c r="W803" s="50"/>
      <c r="X803" s="50"/>
      <c r="Y803" s="51">
        <f>IF(ISBLANK(O803),"",(IF(O803=UPPER("IB"),0.005,0.01)))</f>
        <v>0.01</v>
      </c>
      <c r="Z803" s="52">
        <f>IF(ISBLANK(O803),"",IF(O803="IB",8.63*200,IF(O803="IR",16*100,IF(O803="YT",20*100,IF(O803="YT-XT",24*200,IF(O803="TED",80*100,IF(O803="IR|YT",300*100)))))))</f>
        <v>1600</v>
      </c>
      <c r="AA803" s="52"/>
      <c r="AB803" s="52"/>
      <c r="AC803" s="52" t="s">
        <v>2490</v>
      </c>
      <c r="AD803" s="231">
        <v>-0.08</v>
      </c>
      <c r="AE803" s="49"/>
      <c r="AF803" s="84"/>
      <c r="AG803" s="49"/>
      <c r="AH803" s="49"/>
      <c r="AI803" s="49"/>
      <c r="AJ803" s="226"/>
      <c r="AK803" s="49"/>
      <c r="AL803" s="113">
        <f>0*Z803</f>
        <v>0</v>
      </c>
      <c r="AM803" s="113">
        <f t="shared" si="318"/>
        <v>0</v>
      </c>
      <c r="AN803" s="218"/>
      <c r="AO803" s="49"/>
      <c r="AP803" s="49" t="s">
        <v>1753</v>
      </c>
      <c r="AQ803" s="84" t="s">
        <v>142</v>
      </c>
      <c r="AR803" s="49" t="s">
        <v>2017</v>
      </c>
      <c r="AS803" s="55">
        <v>-0.08</v>
      </c>
      <c r="AT803" s="55">
        <f t="shared" si="324"/>
        <v>0</v>
      </c>
      <c r="AU803" s="54">
        <f t="shared" si="325"/>
        <v>0</v>
      </c>
      <c r="AV803" s="56">
        <f t="shared" si="319"/>
        <v>0</v>
      </c>
      <c r="AW803" s="57" t="s">
        <v>155</v>
      </c>
      <c r="AX803" s="153"/>
      <c r="AY803" s="153"/>
      <c r="AZ803" s="153"/>
      <c r="BA803" s="153"/>
      <c r="BB803" s="153"/>
      <c r="BC803" s="153"/>
      <c r="BD803" s="151"/>
      <c r="BE803" s="152"/>
      <c r="BF803" s="151"/>
      <c r="BG803" s="94">
        <f>SUM($AV$4:AV803)</f>
        <v>4917.8290193478788</v>
      </c>
      <c r="BH803" s="95">
        <f>SUM($AU$4:AU803)</f>
        <v>58308.423836163791</v>
      </c>
      <c r="BI803" s="80">
        <f>SUMIFS($AU$3:AU836,$Q$3:Q836,"F")</f>
        <v>37211.078121878127</v>
      </c>
      <c r="BJ803" s="80">
        <f>SUMIFS($AU$3:AU836,$Q$3:Q836,"S")</f>
        <v>25058.28571428571</v>
      </c>
      <c r="BK803" s="87">
        <f>SUMIFS($AU$3:AU836,$P$3:P836,"W")</f>
        <v>34608.14383616417</v>
      </c>
      <c r="BL803" s="87">
        <f>SUMIFS($AU$3:AU836,$P$3:P836,"R")</f>
        <v>22308.400000000325</v>
      </c>
      <c r="BM803" s="87">
        <f>SUMIFS($AU$3:AU836,$AQ$3:AQ836,"M")</f>
        <v>12669.179999998996</v>
      </c>
      <c r="BN803" s="87">
        <f>SUMIFS($AU$3:AU836,$AQ$3:AQ836,"H")</f>
        <v>14363.200000001041</v>
      </c>
      <c r="BO803" s="87">
        <f>SUMIFS($AU$3:AU836,$AQ$3:AQ836,"D")</f>
        <v>15062.377472527351</v>
      </c>
      <c r="BP803" s="87">
        <f>SUMIFS($AS$3:AS1312,$AO$3:AO1312,"W")</f>
        <v>0</v>
      </c>
      <c r="BQ803" s="87">
        <f>SUMIFS($AU$3:AU836,$Q$3:Q836,"O")</f>
        <v>-5006.9399999998313</v>
      </c>
      <c r="BR803" s="87">
        <f>SUMIFS($AU$3:AU836,$AA$3:AA836,"*")</f>
        <v>45123.522077922011</v>
      </c>
      <c r="BS803" s="87">
        <f>SUMIFS($AU$3:AU836,$AB$3:AB836,"*")</f>
        <v>14251.859999999973</v>
      </c>
      <c r="BT803" s="87">
        <f>SUMIFS($AU$3:AU836,$AC$3:AC836,"*")</f>
        <v>47387.078121878294</v>
      </c>
      <c r="BU803" s="87">
        <f>SUMIFS($AU$3:AU836,$AA$3:AA836,"*",$AB$3:AB836,"*")</f>
        <v>7915.9999999997544</v>
      </c>
      <c r="BV803" s="87">
        <f>SUMIFS($AU$3:AU836,$AA$3:AA836,"*",$AC$3:AC836,"*")</f>
        <v>33744.036363636536</v>
      </c>
      <c r="BW803" s="87">
        <f>SUMIFS($AU$3:AU836,$AB$3:AB836,"*",$AC$3:AC836,"*")</f>
        <v>10640</v>
      </c>
      <c r="BX803" s="87">
        <f>SUMIFS($AV$3:AV836,$Q$3:Q836,"F")</f>
        <v>488.85837744248346</v>
      </c>
      <c r="BY803" s="87">
        <f>SUMIFS($AV$3:AV836,$Q$3:Q836,"S")</f>
        <v>820.61134190572739</v>
      </c>
      <c r="BZ803" s="87">
        <f>SUMIFS($AV$3:AV836,$Q$3:Q836,"O")</f>
        <v>545.55929999969885</v>
      </c>
    </row>
    <row r="804" spans="1:78" ht="15.75" customHeight="1">
      <c r="A804" s="45" t="s">
        <v>2311</v>
      </c>
      <c r="B804" s="59">
        <v>45460</v>
      </c>
      <c r="C804" s="46" t="s">
        <v>345</v>
      </c>
      <c r="D804" s="46" t="s">
        <v>176</v>
      </c>
      <c r="E804" s="66"/>
      <c r="F804" s="47"/>
      <c r="G804" s="48" t="s">
        <v>2435</v>
      </c>
      <c r="H804" s="49"/>
      <c r="I804" s="49"/>
      <c r="J804" s="49"/>
      <c r="K804" s="50"/>
      <c r="L804" s="49"/>
      <c r="M804" s="49"/>
      <c r="N804" s="49"/>
      <c r="O804" s="50"/>
      <c r="P804" s="50"/>
      <c r="Q804" s="50"/>
      <c r="R804" s="50"/>
      <c r="S804" s="50"/>
      <c r="T804" s="50"/>
      <c r="U804" s="50"/>
      <c r="V804" s="50"/>
      <c r="W804" s="50"/>
      <c r="X804" s="50"/>
      <c r="Y804" s="51"/>
      <c r="Z804" s="52"/>
      <c r="AA804" s="52"/>
      <c r="AB804" s="52"/>
      <c r="AC804" s="52"/>
      <c r="AD804" s="231"/>
      <c r="AE804" s="49"/>
      <c r="AF804" s="84"/>
      <c r="AG804" s="49"/>
      <c r="AH804" s="49"/>
      <c r="AI804" s="49"/>
      <c r="AJ804" s="226"/>
      <c r="AK804" s="49"/>
      <c r="AL804" s="113">
        <f>0*Z804</f>
        <v>0</v>
      </c>
      <c r="AM804" s="113">
        <f t="shared" ref="AM804:AM813" si="328">AL804*(R804-S804)</f>
        <v>0</v>
      </c>
      <c r="AN804" s="218"/>
      <c r="AO804" s="49"/>
      <c r="AP804" s="49"/>
      <c r="AQ804" s="84" t="str">
        <f>UPPER(RIGHT(Journal_Live[[#This Row],[DURATION ]]))</f>
        <v/>
      </c>
      <c r="AR804" s="49"/>
      <c r="AS804" s="55"/>
      <c r="AT804" s="55">
        <f t="shared" si="324"/>
        <v>0</v>
      </c>
      <c r="AU804" s="54">
        <f t="shared" si="325"/>
        <v>0</v>
      </c>
      <c r="AV804" s="56">
        <f t="shared" ref="AV804:AV835" si="329">IF(ISBLANK(AS804),,(AT804*Z804))</f>
        <v>0</v>
      </c>
      <c r="AW804" s="57"/>
      <c r="AX804" s="153"/>
      <c r="AY804" s="153"/>
      <c r="AZ804" s="153"/>
      <c r="BA804" s="153"/>
      <c r="BB804" s="153"/>
      <c r="BC804" s="153"/>
      <c r="BD804" s="151"/>
      <c r="BE804" s="152"/>
      <c r="BF804" s="151"/>
      <c r="BG804" s="94">
        <f>SUM($AV$4:AV804)</f>
        <v>4917.8290193478788</v>
      </c>
      <c r="BH804" s="95">
        <f>SUM($AU$4:AU804)</f>
        <v>58308.423836163791</v>
      </c>
      <c r="BI804" s="80">
        <f>SUMIFS($AU$3:AU805,$Q$3:Q805,"F")</f>
        <v>36347.078121878127</v>
      </c>
      <c r="BJ804" s="80">
        <f>SUMIFS($AU$3:AU805,$Q$3:Q805,"S")</f>
        <v>24722.28571428571</v>
      </c>
      <c r="BK804" s="87">
        <f>SUMIFS($AU$3:AU805,$P$3:P805,"W")</f>
        <v>35024.14383616417</v>
      </c>
      <c r="BL804" s="87">
        <f>SUMIFS($AU$3:AU805,$P$3:P805,"R")</f>
        <v>20692.400000000325</v>
      </c>
      <c r="BM804" s="87">
        <f>SUMIFS($AU$3:AU805,$AQ$3:AQ805,"M")</f>
        <v>12131.179999998967</v>
      </c>
      <c r="BN804" s="87">
        <f>SUMIFS($AU$3:AU805,$AQ$3:AQ805,"H")</f>
        <v>14843.200000001041</v>
      </c>
      <c r="BO804" s="87">
        <f>SUMIFS($AU$3:AU805,$AQ$3:AQ805,"D")</f>
        <v>14422.377472527351</v>
      </c>
      <c r="BP804" s="87">
        <f>SUMIFS($AS$3:AS1310,$AO$3:AO1310,"W")</f>
        <v>0</v>
      </c>
      <c r="BQ804" s="87">
        <f>SUMIFS($AU$3:AU805,$Q$3:Q805,"O")</f>
        <v>-5064.9399999998614</v>
      </c>
      <c r="BR804" s="87">
        <f>SUMIFS($AU$3:AU805,$AA$3:AA805,"*")</f>
        <v>44201.522077921982</v>
      </c>
      <c r="BS804" s="87">
        <f>SUMIFS($AU$3:AU805,$AB$3:AB805,"*")</f>
        <v>14347.859999999973</v>
      </c>
      <c r="BT804" s="87">
        <f>SUMIFS($AU$3:AU805,$AC$3:AC805,"*")</f>
        <v>47467.078121878294</v>
      </c>
      <c r="BU804" s="87">
        <f>SUMIFS($AU$3:AU805,$AA$3:AA805,"*",$AB$3:AB805,"*")</f>
        <v>8011.9999999997544</v>
      </c>
      <c r="BV804" s="87">
        <f>SUMIFS($AU$3:AU805,$AA$3:AA805,"*",$AC$3:AC805,"*")</f>
        <v>34160.036363636536</v>
      </c>
      <c r="BW804" s="87">
        <f>SUMIFS($AU$3:AU805,$AB$3:AB805,"*",$AC$3:AC805,"*")</f>
        <v>10736</v>
      </c>
      <c r="BX804" s="87">
        <f>SUMIFS($AV$3:AV805,$Q$3:Q805,"F")</f>
        <v>477.65837744248347</v>
      </c>
      <c r="BY804" s="87">
        <f>SUMIFS($AV$3:AV805,$Q$3:Q805,"S")</f>
        <v>820.61134190572739</v>
      </c>
      <c r="BZ804" s="87">
        <f>SUMIFS($AV$3:AV805,$Q$3:Q805,"O")</f>
        <v>487.55929999966918</v>
      </c>
    </row>
    <row r="805" spans="1:78" ht="15.75" customHeight="1">
      <c r="A805" s="45" t="s">
        <v>2311</v>
      </c>
      <c r="B805" s="59">
        <v>45460</v>
      </c>
      <c r="C805" s="46" t="s">
        <v>2491</v>
      </c>
      <c r="D805" s="46" t="s">
        <v>176</v>
      </c>
      <c r="E805" s="66"/>
      <c r="F805" s="47"/>
      <c r="G805" s="104" t="s">
        <v>1989</v>
      </c>
      <c r="H805" s="49"/>
      <c r="I805" s="49"/>
      <c r="J805" s="49"/>
      <c r="K805" s="50"/>
      <c r="L805" s="49"/>
      <c r="M805" s="49">
        <v>2</v>
      </c>
      <c r="N805" s="49"/>
      <c r="O805" s="50" t="s">
        <v>100</v>
      </c>
      <c r="P805" s="50" t="s">
        <v>126</v>
      </c>
      <c r="Q805" s="50" t="s">
        <v>198</v>
      </c>
      <c r="R805" s="50">
        <v>20</v>
      </c>
      <c r="S805" s="50">
        <v>0</v>
      </c>
      <c r="T805" s="50">
        <v>20</v>
      </c>
      <c r="U805" s="50" t="s">
        <v>102</v>
      </c>
      <c r="V805" s="50"/>
      <c r="W805" s="50"/>
      <c r="X805" s="50"/>
      <c r="Y805" s="51">
        <f>IF(ISBLANK(O805),"",(IF(O805=UPPER("IB"),0.005,0.01)))</f>
        <v>0.01</v>
      </c>
      <c r="Z805" s="52">
        <f>IF(ISBLANK(O805),"",IF(O805="IB",8.63*200,IF(O805="IR",16*100,IF(O805="YT",20*100,IF(O805="YT-XT",24*200,IF(O805="TED",80*100,IF(O805="IR|YT",300*100)))))))</f>
        <v>1600</v>
      </c>
      <c r="AA805" s="52" t="s">
        <v>645</v>
      </c>
      <c r="AB805" s="52"/>
      <c r="AC805" s="52"/>
      <c r="AD805" s="231">
        <v>96.23</v>
      </c>
      <c r="AE805" s="49"/>
      <c r="AF805" s="84"/>
      <c r="AG805" s="49"/>
      <c r="AH805" s="49"/>
      <c r="AI805" s="49"/>
      <c r="AJ805" s="226"/>
      <c r="AK805" s="49"/>
      <c r="AL805" s="113">
        <f t="shared" ref="AL805:AL835" si="330">-0.02*Z805</f>
        <v>-32</v>
      </c>
      <c r="AM805" s="113">
        <f t="shared" si="328"/>
        <v>-640</v>
      </c>
      <c r="AN805" s="218"/>
      <c r="AO805" s="49"/>
      <c r="AP805" s="49" t="s">
        <v>301</v>
      </c>
      <c r="AQ805" s="84" t="s">
        <v>142</v>
      </c>
      <c r="AR805" s="49" t="s">
        <v>2492</v>
      </c>
      <c r="AS805" s="55">
        <v>96.22</v>
      </c>
      <c r="AT805" s="55">
        <f t="shared" si="324"/>
        <v>1.0000000000005116E-2</v>
      </c>
      <c r="AU805" s="54">
        <f t="shared" si="325"/>
        <v>320.00000000016371</v>
      </c>
      <c r="AV805" s="56">
        <f t="shared" si="329"/>
        <v>16.000000000008185</v>
      </c>
      <c r="AW805" s="57" t="s">
        <v>101</v>
      </c>
      <c r="AX805" s="153"/>
      <c r="AY805" s="153"/>
      <c r="AZ805" s="153"/>
      <c r="BA805" s="153"/>
      <c r="BB805" s="153" t="s">
        <v>2493</v>
      </c>
      <c r="BC805" s="153"/>
      <c r="BD805" s="151"/>
      <c r="BE805" s="152"/>
      <c r="BF805" s="151"/>
      <c r="BG805" s="94">
        <f>SUM($AV$4:AV805)</f>
        <v>4933.829019347887</v>
      </c>
      <c r="BH805" s="95">
        <f>SUM($AU$4:AU805)</f>
        <v>58628.423836163958</v>
      </c>
      <c r="BI805" s="80">
        <f>SUMIFS($AU$3:AU806,$Q$3:Q806,"F")</f>
        <v>36347.078121878127</v>
      </c>
      <c r="BJ805" s="80">
        <f>SUMIFS($AU$3:AU806,$Q$3:Q806,"S")</f>
        <v>24722.28571428571</v>
      </c>
      <c r="BK805" s="87">
        <f>SUMIFS($AU$3:AU806,$P$3:P806,"W")</f>
        <v>35024.14383616417</v>
      </c>
      <c r="BL805" s="87">
        <f>SUMIFS($AU$3:AU806,$P$3:P806,"R")</f>
        <v>20692.400000000325</v>
      </c>
      <c r="BM805" s="87">
        <f>SUMIFS($AU$3:AU806,$AQ$3:AQ806,"M")</f>
        <v>12131.179999998967</v>
      </c>
      <c r="BN805" s="87">
        <f>SUMIFS($AU$3:AU806,$AQ$3:AQ806,"H")</f>
        <v>14843.200000001041</v>
      </c>
      <c r="BO805" s="87">
        <f>SUMIFS($AU$3:AU806,$AQ$3:AQ806,"D")</f>
        <v>14422.377472527351</v>
      </c>
      <c r="BP805" s="87">
        <f>SUMIFS($AS$3:AS1311,$AO$3:AO1311,"W")</f>
        <v>0</v>
      </c>
      <c r="BQ805" s="87">
        <f>SUMIFS($AU$3:AU806,$Q$3:Q806,"O")</f>
        <v>-5064.9399999998614</v>
      </c>
      <c r="BR805" s="87">
        <f>SUMIFS($AU$3:AU806,$AA$3:AA806,"*")</f>
        <v>44201.522077921982</v>
      </c>
      <c r="BS805" s="87">
        <f>SUMIFS($AU$3:AU806,$AB$3:AB806,"*")</f>
        <v>14347.859999999973</v>
      </c>
      <c r="BT805" s="87">
        <f>SUMIFS($AU$3:AU806,$AC$3:AC806,"*")</f>
        <v>47467.078121878294</v>
      </c>
      <c r="BU805" s="87">
        <f>SUMIFS($AU$3:AU806,$AA$3:AA806,"*",$AB$3:AB806,"*")</f>
        <v>8011.9999999997544</v>
      </c>
      <c r="BV805" s="87">
        <f>SUMIFS($AU$3:AU806,$AA$3:AA806,"*",$AC$3:AC806,"*")</f>
        <v>34160.036363636536</v>
      </c>
      <c r="BW805" s="87">
        <f>SUMIFS($AU$3:AU806,$AB$3:AB806,"*",$AC$3:AC806,"*")</f>
        <v>10736</v>
      </c>
      <c r="BX805" s="87">
        <f>SUMIFS($AV$3:AV806,$Q$3:Q806,"F")</f>
        <v>477.65837744248347</v>
      </c>
      <c r="BY805" s="87">
        <f>SUMIFS($AV$3:AV806,$Q$3:Q806,"S")</f>
        <v>820.61134190572739</v>
      </c>
      <c r="BZ805" s="87">
        <f>SUMIFS($AV$3:AV806,$Q$3:Q806,"O")</f>
        <v>487.55929999966918</v>
      </c>
    </row>
    <row r="806" spans="1:78" ht="15.75" customHeight="1">
      <c r="A806" s="45" t="s">
        <v>2311</v>
      </c>
      <c r="B806" s="59">
        <v>45460</v>
      </c>
      <c r="C806" s="46" t="s">
        <v>1366</v>
      </c>
      <c r="D806" s="46" t="s">
        <v>176</v>
      </c>
      <c r="E806" s="66"/>
      <c r="F806" s="47"/>
      <c r="G806" s="48" t="s">
        <v>1451</v>
      </c>
      <c r="H806" s="49"/>
      <c r="I806" s="49"/>
      <c r="J806" s="49"/>
      <c r="K806" s="50"/>
      <c r="L806" s="49"/>
      <c r="M806" s="49"/>
      <c r="N806" s="49"/>
      <c r="O806" s="50"/>
      <c r="P806" s="50"/>
      <c r="Q806" s="50"/>
      <c r="R806" s="50"/>
      <c r="S806" s="50"/>
      <c r="T806" s="50"/>
      <c r="U806" s="50"/>
      <c r="V806" s="50"/>
      <c r="W806" s="50"/>
      <c r="X806" s="50"/>
      <c r="Y806" s="51"/>
      <c r="Z806" s="52"/>
      <c r="AA806" s="52"/>
      <c r="AB806" s="52"/>
      <c r="AC806" s="52"/>
      <c r="AD806" s="231"/>
      <c r="AE806" s="49"/>
      <c r="AF806" s="84"/>
      <c r="AG806" s="49"/>
      <c r="AH806" s="49"/>
      <c r="AI806" s="49"/>
      <c r="AJ806" s="226"/>
      <c r="AK806" s="49"/>
      <c r="AL806" s="113">
        <f t="shared" si="330"/>
        <v>0</v>
      </c>
      <c r="AM806" s="113">
        <f t="shared" si="328"/>
        <v>0</v>
      </c>
      <c r="AN806" s="218"/>
      <c r="AO806" s="49"/>
      <c r="AP806" s="49"/>
      <c r="AQ806" s="84" t="str">
        <f>UPPER(RIGHT(Journal_Live[[#This Row],[DURATION ]]))</f>
        <v/>
      </c>
      <c r="AR806" s="49"/>
      <c r="AS806" s="55"/>
      <c r="AT806" s="55">
        <f t="shared" si="324"/>
        <v>0</v>
      </c>
      <c r="AU806" s="54">
        <f t="shared" si="325"/>
        <v>0</v>
      </c>
      <c r="AV806" s="56">
        <f t="shared" si="329"/>
        <v>0</v>
      </c>
      <c r="AW806" s="57"/>
      <c r="AX806" s="153"/>
      <c r="AY806" s="153"/>
      <c r="AZ806" s="153"/>
      <c r="BA806" s="153"/>
      <c r="BB806" s="153"/>
      <c r="BC806" s="153"/>
      <c r="BD806" s="151"/>
      <c r="BE806" s="152"/>
      <c r="BF806" s="151"/>
      <c r="BG806" s="94">
        <f>SUM($AV$4:AV806)</f>
        <v>4933.829019347887</v>
      </c>
      <c r="BH806" s="95">
        <f>SUM($AU$4:AU806)</f>
        <v>58628.423836163958</v>
      </c>
      <c r="BI806" s="80">
        <f>SUMIFS($AU$3:AU836,$Q$3:Q836,"F")</f>
        <v>37211.078121878127</v>
      </c>
      <c r="BJ806" s="80">
        <f>SUMIFS($AU$3:AU836,$Q$3:Q836,"S")</f>
        <v>25058.28571428571</v>
      </c>
      <c r="BK806" s="87">
        <f>SUMIFS($AU$3:AU836,$P$3:P836,"W")</f>
        <v>34608.14383616417</v>
      </c>
      <c r="BL806" s="87">
        <f>SUMIFS($AU$3:AU836,$P$3:P836,"R")</f>
        <v>22308.400000000325</v>
      </c>
      <c r="BM806" s="87">
        <f>SUMIFS($AU$3:AU836,$AQ$3:AQ836,"M")</f>
        <v>12669.179999998996</v>
      </c>
      <c r="BN806" s="87">
        <f>SUMIFS($AU$3:AU836,$AQ$3:AQ836,"H")</f>
        <v>14363.200000001041</v>
      </c>
      <c r="BO806" s="87">
        <f>SUMIFS($AU$3:AU836,$AQ$3:AQ836,"D")</f>
        <v>15062.377472527351</v>
      </c>
      <c r="BP806" s="87">
        <f>SUMIFS($AS$3:AS1312,$AO$3:AO1312,"W")</f>
        <v>0</v>
      </c>
      <c r="BQ806" s="87">
        <f>SUMIFS($AU$3:AU836,$Q$3:Q836,"O")</f>
        <v>-5006.9399999998313</v>
      </c>
      <c r="BR806" s="87">
        <f>SUMIFS($AU$3:AU836,$AA$3:AA836,"*")</f>
        <v>45123.522077922011</v>
      </c>
      <c r="BS806" s="87">
        <f>SUMIFS($AU$3:AU836,$AB$3:AB836,"*")</f>
        <v>14251.859999999973</v>
      </c>
      <c r="BT806" s="87">
        <f>SUMIFS($AU$3:AU836,$AC$3:AC836,"*")</f>
        <v>47387.078121878294</v>
      </c>
      <c r="BU806" s="87">
        <f>SUMIFS($AU$3:AU836,$AA$3:AA836,"*",$AB$3:AB836,"*")</f>
        <v>7915.9999999997544</v>
      </c>
      <c r="BV806" s="87">
        <f>SUMIFS($AU$3:AU836,$AA$3:AA836,"*",$AC$3:AC836,"*")</f>
        <v>33744.036363636536</v>
      </c>
      <c r="BW806" s="87">
        <f>SUMIFS($AU$3:AU836,$AB$3:AB836,"*",$AC$3:AC836,"*")</f>
        <v>10640</v>
      </c>
      <c r="BX806" s="87">
        <f>SUMIFS($AV$3:AV836,$Q$3:Q836,"F")</f>
        <v>488.85837744248346</v>
      </c>
      <c r="BY806" s="87">
        <f>SUMIFS($AV$3:AV836,$Q$3:Q836,"S")</f>
        <v>820.61134190572739</v>
      </c>
      <c r="BZ806" s="87">
        <f>SUMIFS($AV$3:AV836,$Q$3:Q836,"O")</f>
        <v>545.55929999969885</v>
      </c>
    </row>
    <row r="807" spans="1:78" ht="15.75" customHeight="1">
      <c r="A807" s="45" t="s">
        <v>2311</v>
      </c>
      <c r="B807" s="59">
        <v>45460</v>
      </c>
      <c r="C807" s="46" t="s">
        <v>1171</v>
      </c>
      <c r="D807" s="46" t="s">
        <v>176</v>
      </c>
      <c r="E807" s="66"/>
      <c r="F807" s="47"/>
      <c r="G807" s="48"/>
      <c r="H807" s="49"/>
      <c r="I807" s="49"/>
      <c r="J807" s="49"/>
      <c r="K807" s="50"/>
      <c r="L807" s="49"/>
      <c r="M807" s="49"/>
      <c r="N807" s="49"/>
      <c r="O807" s="50"/>
      <c r="P807" s="50"/>
      <c r="Q807" s="50"/>
      <c r="R807" s="50"/>
      <c r="S807" s="50"/>
      <c r="T807" s="50"/>
      <c r="U807" s="50"/>
      <c r="V807" s="50"/>
      <c r="W807" s="50"/>
      <c r="X807" s="50"/>
      <c r="Y807" s="51"/>
      <c r="Z807" s="52"/>
      <c r="AA807" s="52"/>
      <c r="AB807" s="52"/>
      <c r="AC807" s="52"/>
      <c r="AD807" s="231"/>
      <c r="AE807" s="49"/>
      <c r="AF807" s="84"/>
      <c r="AG807" s="49"/>
      <c r="AH807" s="49"/>
      <c r="AI807" s="49"/>
      <c r="AJ807" s="226"/>
      <c r="AK807" s="49"/>
      <c r="AL807" s="113">
        <f t="shared" si="330"/>
        <v>0</v>
      </c>
      <c r="AM807" s="113">
        <f t="shared" si="328"/>
        <v>0</v>
      </c>
      <c r="AN807" s="218"/>
      <c r="AO807" s="49"/>
      <c r="AP807" s="49"/>
      <c r="AQ807" s="84" t="str">
        <f>UPPER(RIGHT(Journal_Live[[#This Row],[DURATION ]]))</f>
        <v/>
      </c>
      <c r="AR807" s="49"/>
      <c r="AS807" s="55"/>
      <c r="AT807" s="55">
        <f t="shared" si="324"/>
        <v>0</v>
      </c>
      <c r="AU807" s="54">
        <f t="shared" si="325"/>
        <v>0</v>
      </c>
      <c r="AV807" s="56">
        <f t="shared" si="329"/>
        <v>0</v>
      </c>
      <c r="AW807" s="57"/>
      <c r="AX807" s="151" t="s">
        <v>2494</v>
      </c>
      <c r="AY807" s="151" t="s">
        <v>2495</v>
      </c>
      <c r="AZ807" s="153"/>
      <c r="BA807" s="153"/>
      <c r="BB807" s="153"/>
      <c r="BC807" s="153"/>
      <c r="BD807" s="151"/>
      <c r="BE807" s="152"/>
      <c r="BF807" s="151"/>
      <c r="BG807" s="94">
        <f>SUM($AV$4:AV807)</f>
        <v>4933.829019347887</v>
      </c>
      <c r="BH807" s="95">
        <f>SUM($AU$4:AU807)</f>
        <v>58628.423836163958</v>
      </c>
      <c r="BI807" s="80">
        <f>SUMIFS($AU$3:AU809,$Q$3:Q809,"F")</f>
        <v>36347.078121878127</v>
      </c>
      <c r="BJ807" s="80">
        <f>SUMIFS($AU$3:AU809,$Q$3:Q809,"S")</f>
        <v>24722.28571428571</v>
      </c>
      <c r="BK807" s="87">
        <f>SUMIFS($AU$3:AU809,$P$3:P809,"W")</f>
        <v>35024.14383616417</v>
      </c>
      <c r="BL807" s="87">
        <f>SUMIFS($AU$3:AU809,$P$3:P809,"R")</f>
        <v>20692.400000000325</v>
      </c>
      <c r="BM807" s="87">
        <f>SUMIFS($AU$3:AU809,$AQ$3:AQ809,"M")</f>
        <v>12131.179999998967</v>
      </c>
      <c r="BN807" s="87">
        <f>SUMIFS($AU$3:AU809,$AQ$3:AQ809,"H")</f>
        <v>14843.200000001041</v>
      </c>
      <c r="BO807" s="87">
        <f>SUMIFS($AU$3:AU809,$AQ$3:AQ809,"D")</f>
        <v>14422.377472527351</v>
      </c>
      <c r="BP807" s="87">
        <f>SUMIFS($AS$3:AS1308,$AO$3:AO1308,"W")</f>
        <v>0</v>
      </c>
      <c r="BQ807" s="87">
        <f>SUMIFS($AU$3:AU809,$Q$3:Q809,"O")</f>
        <v>-5064.9399999998614</v>
      </c>
      <c r="BR807" s="87">
        <f>SUMIFS($AU$3:AU809,$AA$3:AA809,"*")</f>
        <v>44201.522077921982</v>
      </c>
      <c r="BS807" s="87">
        <f>SUMIFS($AU$3:AU809,$AB$3:AB809,"*")</f>
        <v>14347.859999999973</v>
      </c>
      <c r="BT807" s="87">
        <f>SUMIFS($AU$3:AU809,$AC$3:AC809,"*")</f>
        <v>47467.078121878294</v>
      </c>
      <c r="BU807" s="87">
        <f>SUMIFS($AU$3:AU809,$AA$3:AA809,"*",$AB$3:AB809,"*")</f>
        <v>8011.9999999997544</v>
      </c>
      <c r="BV807" s="87">
        <f>SUMIFS($AU$3:AU809,$AA$3:AA809,"*",$AC$3:AC809,"*")</f>
        <v>34160.036363636536</v>
      </c>
      <c r="BW807" s="87">
        <f>SUMIFS($AU$3:AU809,$AB$3:AB809,"*",$AC$3:AC809,"*")</f>
        <v>10736</v>
      </c>
      <c r="BX807" s="87">
        <f>SUMIFS($AV$3:AV809,$Q$3:Q809,"F")</f>
        <v>477.65837744248347</v>
      </c>
      <c r="BY807" s="87">
        <f>SUMIFS($AV$3:AV809,$Q$3:Q809,"S")</f>
        <v>820.61134190572739</v>
      </c>
      <c r="BZ807" s="87">
        <f>SUMIFS($AV$3:AV809,$Q$3:Q809,"O")</f>
        <v>487.55929999966918</v>
      </c>
    </row>
    <row r="808" spans="1:78" ht="15.75" customHeight="1">
      <c r="A808" s="45" t="s">
        <v>2311</v>
      </c>
      <c r="B808" s="59">
        <v>45460</v>
      </c>
      <c r="C808" s="46" t="s">
        <v>2496</v>
      </c>
      <c r="D808" s="46" t="s">
        <v>176</v>
      </c>
      <c r="E808" s="66"/>
      <c r="F808" s="47"/>
      <c r="G808" s="104" t="s">
        <v>1918</v>
      </c>
      <c r="H808" s="49"/>
      <c r="I808" s="49"/>
      <c r="J808" s="49"/>
      <c r="K808" s="50"/>
      <c r="L808" s="49">
        <v>1</v>
      </c>
      <c r="M808" s="49"/>
      <c r="N808" s="49"/>
      <c r="O808" s="50" t="s">
        <v>100</v>
      </c>
      <c r="P808" s="50" t="s">
        <v>126</v>
      </c>
      <c r="Q808" s="50" t="s">
        <v>198</v>
      </c>
      <c r="R808" s="50">
        <v>20</v>
      </c>
      <c r="S808" s="50">
        <v>0</v>
      </c>
      <c r="T808" s="50">
        <v>20</v>
      </c>
      <c r="U808" s="50" t="s">
        <v>22</v>
      </c>
      <c r="V808" s="50"/>
      <c r="W808" s="50"/>
      <c r="X808" s="50"/>
      <c r="Y808" s="51">
        <f>IF(ISBLANK(O808),"",(IF(O808=UPPER("IB"),0.005,0.01)))</f>
        <v>0.01</v>
      </c>
      <c r="Z808" s="52">
        <f>IF(ISBLANK(O808),"",IF(O808="IB",8.63*200,IF(O808="IR",16*100,IF(O808="YT",20*100,IF(O808="YT-XT",24*200,IF(O808="TED",80*100,IF(O808="IR|YT",300*100)))))))</f>
        <v>1600</v>
      </c>
      <c r="AA808" s="52" t="s">
        <v>2497</v>
      </c>
      <c r="AB808" s="52"/>
      <c r="AC808" s="52"/>
      <c r="AD808" s="231">
        <v>96.07</v>
      </c>
      <c r="AE808" s="49"/>
      <c r="AF808" s="84"/>
      <c r="AG808" s="49"/>
      <c r="AH808" s="49"/>
      <c r="AI808" s="49"/>
      <c r="AJ808" s="226"/>
      <c r="AK808" s="49"/>
      <c r="AL808" s="113">
        <f t="shared" si="330"/>
        <v>-32</v>
      </c>
      <c r="AM808" s="113">
        <f t="shared" si="328"/>
        <v>-640</v>
      </c>
      <c r="AN808" s="218"/>
      <c r="AO808" s="49"/>
      <c r="AP808" s="49" t="s">
        <v>165</v>
      </c>
      <c r="AQ808" s="84" t="s">
        <v>142</v>
      </c>
      <c r="AR808" s="49" t="s">
        <v>2498</v>
      </c>
      <c r="AS808" s="55">
        <v>96.07</v>
      </c>
      <c r="AT808" s="55">
        <f t="shared" si="324"/>
        <v>0</v>
      </c>
      <c r="AU808" s="54">
        <f t="shared" si="325"/>
        <v>0</v>
      </c>
      <c r="AV808" s="56">
        <f t="shared" si="329"/>
        <v>0</v>
      </c>
      <c r="AW808" s="57" t="s">
        <v>155</v>
      </c>
      <c r="AX808" s="151" t="s">
        <v>2499</v>
      </c>
      <c r="AY808" s="151" t="s">
        <v>2500</v>
      </c>
      <c r="AZ808" s="153"/>
      <c r="BA808" s="153"/>
      <c r="BB808" s="153"/>
      <c r="BC808" s="153"/>
      <c r="BD808" s="151"/>
      <c r="BE808" s="152"/>
      <c r="BF808" s="151"/>
      <c r="BG808" s="94">
        <f>SUM($AV$4:AV808)</f>
        <v>4933.829019347887</v>
      </c>
      <c r="BH808" s="95">
        <f>SUM($AU$4:AU808)</f>
        <v>58628.423836163958</v>
      </c>
      <c r="BI808" s="80">
        <f>SUMIFS($AU$3:AU810,$Q$3:Q810,"F")</f>
        <v>36347.078121878127</v>
      </c>
      <c r="BJ808" s="80">
        <f>SUMIFS($AU$3:AU810,$Q$3:Q810,"S")</f>
        <v>24722.28571428571</v>
      </c>
      <c r="BK808" s="87">
        <f>SUMIFS($AU$3:AU810,$P$3:P810,"W")</f>
        <v>35024.14383616417</v>
      </c>
      <c r="BL808" s="87">
        <f>SUMIFS($AU$3:AU810,$P$3:P810,"R")</f>
        <v>20692.400000000325</v>
      </c>
      <c r="BM808" s="87">
        <f>SUMIFS($AU$3:AU810,$AQ$3:AQ810,"M")</f>
        <v>12131.179999998967</v>
      </c>
      <c r="BN808" s="87">
        <f>SUMIFS($AU$3:AU810,$AQ$3:AQ810,"H")</f>
        <v>14843.200000001041</v>
      </c>
      <c r="BO808" s="87">
        <f>SUMIFS($AU$3:AU810,$AQ$3:AQ810,"D")</f>
        <v>14422.377472527351</v>
      </c>
      <c r="BP808" s="87">
        <f>SUMIFS($AS$3:AS1309,$AO$3:AO1309,"W")</f>
        <v>0</v>
      </c>
      <c r="BQ808" s="87">
        <f>SUMIFS($AU$3:AU810,$Q$3:Q810,"O")</f>
        <v>-5064.9399999998614</v>
      </c>
      <c r="BR808" s="87">
        <f>SUMIFS($AU$3:AU810,$AA$3:AA810,"*")</f>
        <v>44201.522077921982</v>
      </c>
      <c r="BS808" s="87">
        <f>SUMIFS($AU$3:AU810,$AB$3:AB810,"*")</f>
        <v>14347.859999999973</v>
      </c>
      <c r="BT808" s="87">
        <f>SUMIFS($AU$3:AU810,$AC$3:AC810,"*")</f>
        <v>47467.078121878294</v>
      </c>
      <c r="BU808" s="87">
        <f>SUMIFS($AU$3:AU810,$AA$3:AA810,"*",$AB$3:AB810,"*")</f>
        <v>8011.9999999997544</v>
      </c>
      <c r="BV808" s="87">
        <f>SUMIFS($AU$3:AU810,$AA$3:AA810,"*",$AC$3:AC810,"*")</f>
        <v>34160.036363636536</v>
      </c>
      <c r="BW808" s="87">
        <f>SUMIFS($AU$3:AU810,$AB$3:AB810,"*",$AC$3:AC810,"*")</f>
        <v>10736</v>
      </c>
      <c r="BX808" s="87">
        <f>SUMIFS($AV$3:AV810,$Q$3:Q810,"F")</f>
        <v>477.65837744248347</v>
      </c>
      <c r="BY808" s="87">
        <f>SUMIFS($AV$3:AV810,$Q$3:Q810,"S")</f>
        <v>820.61134190572739</v>
      </c>
      <c r="BZ808" s="87">
        <f>SUMIFS($AV$3:AV810,$Q$3:Q810,"O")</f>
        <v>487.55929999966918</v>
      </c>
    </row>
    <row r="809" spans="1:78" ht="15.75" customHeight="1">
      <c r="A809" s="45" t="s">
        <v>2311</v>
      </c>
      <c r="B809" s="59"/>
      <c r="C809" s="46"/>
      <c r="D809" s="46"/>
      <c r="E809" s="66"/>
      <c r="F809" s="47"/>
      <c r="G809" s="48" t="s">
        <v>2501</v>
      </c>
      <c r="H809" s="49"/>
      <c r="I809" s="49"/>
      <c r="J809" s="49"/>
      <c r="K809" s="50"/>
      <c r="L809" s="49"/>
      <c r="M809" s="49"/>
      <c r="N809" s="49"/>
      <c r="O809" s="50"/>
      <c r="P809" s="50"/>
      <c r="Q809" s="50"/>
      <c r="R809" s="50"/>
      <c r="S809" s="50"/>
      <c r="T809" s="50"/>
      <c r="U809" s="50"/>
      <c r="V809" s="50"/>
      <c r="W809" s="50"/>
      <c r="X809" s="50"/>
      <c r="Y809" s="51"/>
      <c r="Z809" s="52"/>
      <c r="AA809" s="52"/>
      <c r="AB809" s="52"/>
      <c r="AC809" s="52"/>
      <c r="AD809" s="231"/>
      <c r="AE809" s="49"/>
      <c r="AF809" s="84"/>
      <c r="AG809" s="49"/>
      <c r="AH809" s="49"/>
      <c r="AI809" s="49"/>
      <c r="AJ809" s="226"/>
      <c r="AK809" s="49"/>
      <c r="AL809" s="113">
        <f t="shared" si="330"/>
        <v>0</v>
      </c>
      <c r="AM809" s="113">
        <f t="shared" si="328"/>
        <v>0</v>
      </c>
      <c r="AN809" s="218"/>
      <c r="AO809" s="49"/>
      <c r="AP809" s="49"/>
      <c r="AQ809" s="84" t="str">
        <f>UPPER(RIGHT(Journal_Live[[#This Row],[DURATION ]]))</f>
        <v/>
      </c>
      <c r="AR809" s="49"/>
      <c r="AS809" s="55"/>
      <c r="AT809" s="55">
        <f t="shared" si="324"/>
        <v>0</v>
      </c>
      <c r="AU809" s="54">
        <f t="shared" si="325"/>
        <v>0</v>
      </c>
      <c r="AV809" s="56">
        <f t="shared" si="329"/>
        <v>0</v>
      </c>
      <c r="AW809" s="57"/>
      <c r="AX809" s="153"/>
      <c r="AY809" s="153"/>
      <c r="AZ809" s="153"/>
      <c r="BA809" s="153"/>
      <c r="BB809" s="153"/>
      <c r="BC809" s="153"/>
      <c r="BD809" s="151"/>
      <c r="BE809" s="152"/>
      <c r="BF809" s="151"/>
      <c r="BG809" s="94">
        <f>SUM($AV$4:AV809)</f>
        <v>4933.829019347887</v>
      </c>
      <c r="BH809" s="95">
        <f>SUM($AU$4:AU809)</f>
        <v>58628.423836163958</v>
      </c>
      <c r="BI809" s="80">
        <f>SUMIFS($AU$3:AU822,$Q$3:Q822,"F")</f>
        <v>37307.078121878127</v>
      </c>
      <c r="BJ809" s="80">
        <f>SUMIFS($AU$3:AU822,$Q$3:Q822,"S")</f>
        <v>23922.28571428571</v>
      </c>
      <c r="BK809" s="87">
        <f>SUMIFS($AU$3:AU822,$P$3:P822,"W")</f>
        <v>34224.14383616417</v>
      </c>
      <c r="BL809" s="87">
        <f>SUMIFS($AU$3:AU822,$P$3:P822,"R")</f>
        <v>21652.400000000325</v>
      </c>
      <c r="BM809" s="87">
        <f>SUMIFS($AU$3:AU822,$AQ$3:AQ822,"M")</f>
        <v>12669.179999998996</v>
      </c>
      <c r="BN809" s="87">
        <f>SUMIFS($AU$3:AU822,$AQ$3:AQ822,"H")</f>
        <v>13563.200000001041</v>
      </c>
      <c r="BO809" s="87">
        <f>SUMIFS($AU$3:AU822,$AQ$3:AQ822,"D")</f>
        <v>15382.377472527351</v>
      </c>
      <c r="BP809" s="87">
        <f>SUMIFS($AS$3:AS1310,$AO$3:AO1310,"W")</f>
        <v>0</v>
      </c>
      <c r="BQ809" s="87">
        <f>SUMIFS($AU$3:AU822,$Q$3:Q822,"O")</f>
        <v>-5006.9399999998313</v>
      </c>
      <c r="BR809" s="87">
        <f>SUMIFS($AU$3:AU822,$AA$3:AA822,"*")</f>
        <v>44419.522077922011</v>
      </c>
      <c r="BS809" s="87">
        <f>SUMIFS($AU$3:AU822,$AB$3:AB822,"*")</f>
        <v>14347.859999999973</v>
      </c>
      <c r="BT809" s="87">
        <f>SUMIFS($AU$3:AU822,$AC$3:AC822,"*")</f>
        <v>47147.078121878294</v>
      </c>
      <c r="BU809" s="87">
        <f>SUMIFS($AU$3:AU822,$AA$3:AA822,"*",$AB$3:AB822,"*")</f>
        <v>8011.9999999997544</v>
      </c>
      <c r="BV809" s="87">
        <f>SUMIFS($AU$3:AU822,$AA$3:AA822,"*",$AC$3:AC822,"*")</f>
        <v>33840.036363636536</v>
      </c>
      <c r="BW809" s="87">
        <f>SUMIFS($AU$3:AU822,$AB$3:AB822,"*",$AC$3:AC822,"*")</f>
        <v>10736</v>
      </c>
      <c r="BX809" s="87">
        <f>SUMIFS($AV$3:AV822,$Q$3:Q822,"F")</f>
        <v>493.65837744248347</v>
      </c>
      <c r="BY809" s="87">
        <f>SUMIFS($AV$3:AV822,$Q$3:Q822,"S")</f>
        <v>804.61134190572739</v>
      </c>
      <c r="BZ809" s="87">
        <f>SUMIFS($AV$3:AV822,$Q$3:Q822,"O")</f>
        <v>545.55929999969885</v>
      </c>
    </row>
    <row r="810" spans="1:78" ht="15.75" customHeight="1">
      <c r="A810" s="45" t="s">
        <v>2311</v>
      </c>
      <c r="B810" s="59"/>
      <c r="C810" s="46"/>
      <c r="D810" s="46"/>
      <c r="E810" s="66"/>
      <c r="F810" s="47"/>
      <c r="G810" s="48"/>
      <c r="H810" s="49"/>
      <c r="I810" s="49"/>
      <c r="J810" s="49"/>
      <c r="K810" s="50"/>
      <c r="L810" s="49"/>
      <c r="M810" s="49"/>
      <c r="N810" s="49"/>
      <c r="O810" s="50"/>
      <c r="P810" s="50"/>
      <c r="Q810" s="50"/>
      <c r="R810" s="50"/>
      <c r="S810" s="50"/>
      <c r="T810" s="50"/>
      <c r="U810" s="50"/>
      <c r="V810" s="50"/>
      <c r="W810" s="50"/>
      <c r="X810" s="50"/>
      <c r="Y810" s="51"/>
      <c r="Z810" s="52"/>
      <c r="AA810" s="52"/>
      <c r="AB810" s="52"/>
      <c r="AC810" s="52"/>
      <c r="AD810" s="231"/>
      <c r="AE810" s="49"/>
      <c r="AF810" s="84"/>
      <c r="AG810" s="49"/>
      <c r="AH810" s="49"/>
      <c r="AI810" s="49"/>
      <c r="AJ810" s="226"/>
      <c r="AK810" s="49"/>
      <c r="AL810" s="113">
        <f t="shared" si="330"/>
        <v>0</v>
      </c>
      <c r="AM810" s="113">
        <f t="shared" si="328"/>
        <v>0</v>
      </c>
      <c r="AN810" s="218"/>
      <c r="AO810" s="49"/>
      <c r="AP810" s="49"/>
      <c r="AQ810" s="84" t="str">
        <f>UPPER(RIGHT(Journal_Live[[#This Row],[DURATION ]]))</f>
        <v/>
      </c>
      <c r="AR810" s="49"/>
      <c r="AS810" s="55"/>
      <c r="AT810" s="55">
        <f t="shared" si="324"/>
        <v>0</v>
      </c>
      <c r="AU810" s="54">
        <f t="shared" si="325"/>
        <v>0</v>
      </c>
      <c r="AV810" s="56">
        <f t="shared" si="329"/>
        <v>0</v>
      </c>
      <c r="AW810" s="57"/>
      <c r="AX810" s="153" t="s">
        <v>2502</v>
      </c>
      <c r="AY810" s="153" t="s">
        <v>2503</v>
      </c>
      <c r="AZ810" s="153"/>
      <c r="BA810" s="153"/>
      <c r="BB810" s="153"/>
      <c r="BC810" s="153"/>
      <c r="BD810" s="151"/>
      <c r="BE810" s="152"/>
      <c r="BF810" s="151"/>
      <c r="BG810" s="94">
        <f>SUM($AV$4:AV810)</f>
        <v>4933.829019347887</v>
      </c>
      <c r="BH810" s="95">
        <f>SUM($AU$4:AU810)</f>
        <v>58628.423836163958</v>
      </c>
      <c r="BI810" s="80">
        <f>SUMIFS($AU$3:AU836,$Q$3:Q836,"F")</f>
        <v>37211.078121878127</v>
      </c>
      <c r="BJ810" s="80">
        <f>SUMIFS($AU$3:AU836,$Q$3:Q836,"S")</f>
        <v>25058.28571428571</v>
      </c>
      <c r="BK810" s="87">
        <f>SUMIFS($AU$3:AU836,$P$3:P836,"W")</f>
        <v>34608.14383616417</v>
      </c>
      <c r="BL810" s="87">
        <f>SUMIFS($AU$3:AU836,$P$3:P836,"R")</f>
        <v>22308.400000000325</v>
      </c>
      <c r="BM810" s="87">
        <f>SUMIFS($AU$3:AU836,$AQ$3:AQ836,"M")</f>
        <v>12669.179999998996</v>
      </c>
      <c r="BN810" s="87">
        <f>SUMIFS($AU$3:AU836,$AQ$3:AQ836,"H")</f>
        <v>14363.200000001041</v>
      </c>
      <c r="BO810" s="87">
        <f>SUMIFS($AU$3:AU836,$AQ$3:AQ836,"D")</f>
        <v>15062.377472527351</v>
      </c>
      <c r="BP810" s="87">
        <f>SUMIFS($AS$3:AS1311,$AO$3:AO1311,"W")</f>
        <v>0</v>
      </c>
      <c r="BQ810" s="87">
        <f>SUMIFS($AU$3:AU836,$Q$3:Q836,"O")</f>
        <v>-5006.9399999998313</v>
      </c>
      <c r="BR810" s="87">
        <f>SUMIFS($AU$3:AU836,$AA$3:AA836,"*")</f>
        <v>45123.522077922011</v>
      </c>
      <c r="BS810" s="87">
        <f>SUMIFS($AU$3:AU836,$AB$3:AB836,"*")</f>
        <v>14251.859999999973</v>
      </c>
      <c r="BT810" s="87">
        <f>SUMIFS($AU$3:AU836,$AC$3:AC836,"*")</f>
        <v>47387.078121878294</v>
      </c>
      <c r="BU810" s="87">
        <f>SUMIFS($AU$3:AU836,$AA$3:AA836,"*",$AB$3:AB836,"*")</f>
        <v>7915.9999999997544</v>
      </c>
      <c r="BV810" s="87">
        <f>SUMIFS($AU$3:AU836,$AA$3:AA836,"*",$AC$3:AC836,"*")</f>
        <v>33744.036363636536</v>
      </c>
      <c r="BW810" s="87">
        <f>SUMIFS($AU$3:AU836,$AB$3:AB836,"*",$AC$3:AC836,"*")</f>
        <v>10640</v>
      </c>
      <c r="BX810" s="87">
        <f>SUMIFS($AV$3:AV836,$Q$3:Q836,"F")</f>
        <v>488.85837744248346</v>
      </c>
      <c r="BY810" s="87">
        <f>SUMIFS($AV$3:AV836,$Q$3:Q836,"S")</f>
        <v>820.61134190572739</v>
      </c>
      <c r="BZ810" s="87">
        <f>SUMIFS($AV$3:AV836,$Q$3:Q836,"O")</f>
        <v>545.55929999969885</v>
      </c>
    </row>
    <row r="811" spans="1:78" ht="15.75" customHeight="1">
      <c r="A811" s="45" t="s">
        <v>2311</v>
      </c>
      <c r="B811" s="59">
        <v>45460</v>
      </c>
      <c r="C811" s="46" t="s">
        <v>110</v>
      </c>
      <c r="D811" s="46" t="s">
        <v>176</v>
      </c>
      <c r="E811" s="66"/>
      <c r="F811" s="47"/>
      <c r="G811" s="104" t="s">
        <v>1069</v>
      </c>
      <c r="H811" s="49"/>
      <c r="I811" s="49"/>
      <c r="J811" s="49"/>
      <c r="K811" s="50"/>
      <c r="L811" s="49"/>
      <c r="M811" s="49">
        <v>1</v>
      </c>
      <c r="N811" s="49"/>
      <c r="O811" s="50" t="s">
        <v>100</v>
      </c>
      <c r="P811" s="50" t="s">
        <v>126</v>
      </c>
      <c r="Q811" s="50" t="s">
        <v>127</v>
      </c>
      <c r="R811" s="50">
        <v>60</v>
      </c>
      <c r="S811" s="50">
        <v>0</v>
      </c>
      <c r="T811" s="50">
        <v>44</v>
      </c>
      <c r="U811" s="50" t="s">
        <v>22</v>
      </c>
      <c r="V811" s="50"/>
      <c r="W811" s="50"/>
      <c r="X811" s="50"/>
      <c r="Y811" s="51">
        <f>IF(ISBLANK(O811),"",(IF(O811=UPPER("IB"),0.005,0.01)))</f>
        <v>0.01</v>
      </c>
      <c r="Z811" s="52">
        <f>IF(ISBLANK(O811),"",IF(O811="IB",8.63*200,IF(O811="IR",16*100,IF(O811="YT",20*100,IF(O811="YT-XT",24*200,IF(O811="TED",80*100,IF(O811="IR|YT",300*100)))))))</f>
        <v>1600</v>
      </c>
      <c r="AA811" s="52" t="s">
        <v>2504</v>
      </c>
      <c r="AB811" s="52"/>
      <c r="AC811" s="52" t="s">
        <v>2505</v>
      </c>
      <c r="AD811" s="231">
        <v>-0.03</v>
      </c>
      <c r="AE811" s="49"/>
      <c r="AF811" s="84"/>
      <c r="AG811" s="49"/>
      <c r="AH811" s="49"/>
      <c r="AI811" s="49"/>
      <c r="AJ811" s="226" t="s">
        <v>2506</v>
      </c>
      <c r="AK811" s="49"/>
      <c r="AL811" s="113">
        <f>0*Z811</f>
        <v>0</v>
      </c>
      <c r="AM811" s="113">
        <f t="shared" si="328"/>
        <v>0</v>
      </c>
      <c r="AN811" s="218"/>
      <c r="AO811" s="49"/>
      <c r="AP811" s="49"/>
      <c r="AQ811" s="84" t="s">
        <v>155</v>
      </c>
      <c r="AR811" s="49" t="s">
        <v>2507</v>
      </c>
      <c r="AS811" s="55">
        <v>-0.02</v>
      </c>
      <c r="AT811" s="55">
        <f t="shared" si="324"/>
        <v>9.9999999999999985E-3</v>
      </c>
      <c r="AU811" s="54">
        <f t="shared" si="325"/>
        <v>959.99999999999989</v>
      </c>
      <c r="AV811" s="56">
        <f t="shared" ref="AV811:AV821" si="331">IF(ISBLANK(AS811),,(AT811*Z811))</f>
        <v>15.999999999999998</v>
      </c>
      <c r="AW811" s="57" t="s">
        <v>101</v>
      </c>
      <c r="AX811" s="153" t="s">
        <v>2508</v>
      </c>
      <c r="AY811" s="153"/>
      <c r="AZ811" s="153"/>
      <c r="BA811" s="153"/>
      <c r="BB811" s="153"/>
      <c r="BC811" s="153"/>
      <c r="BD811" s="151"/>
      <c r="BE811" s="152"/>
      <c r="BF811" s="151"/>
      <c r="BG811" s="94">
        <f>SUM($AV$4:AV811)</f>
        <v>4949.829019347887</v>
      </c>
      <c r="BH811" s="95">
        <f>SUM($AU$4:AU811)</f>
        <v>59588.423836163958</v>
      </c>
      <c r="BI811" s="80">
        <f>SUMIFS($AU$3:AU813,$Q$3:Q813,"F")</f>
        <v>37307.078121878127</v>
      </c>
      <c r="BJ811" s="80">
        <f>SUMIFS($AU$3:AU813,$Q$3:Q813,"S")</f>
        <v>24722.28571428571</v>
      </c>
      <c r="BK811" s="87">
        <f>SUMIFS($AU$3:AU813,$P$3:P813,"W")</f>
        <v>35024.14383616417</v>
      </c>
      <c r="BL811" s="87">
        <f>SUMIFS($AU$3:AU813,$P$3:P813,"R")</f>
        <v>21652.400000000325</v>
      </c>
      <c r="BM811" s="87">
        <f>SUMIFS($AU$3:AU813,$AQ$3:AQ813,"M")</f>
        <v>12131.179999998967</v>
      </c>
      <c r="BN811" s="87">
        <f>SUMIFS($AU$3:AU813,$AQ$3:AQ813,"H")</f>
        <v>14843.200000001041</v>
      </c>
      <c r="BO811" s="87">
        <f>SUMIFS($AU$3:AU813,$AQ$3:AQ813,"D")</f>
        <v>15382.377472527351</v>
      </c>
      <c r="BP811" s="87">
        <f>SUMIFS($AS$3:AS1306,$AO$3:AO1306,"W")</f>
        <v>0</v>
      </c>
      <c r="BQ811" s="87">
        <f>SUMIFS($AU$3:AU813,$Q$3:Q813,"O")</f>
        <v>-5064.9399999998614</v>
      </c>
      <c r="BR811" s="87">
        <f>SUMIFS($AU$3:AU813,$AA$3:AA813,"*")</f>
        <v>45161.522077921982</v>
      </c>
      <c r="BS811" s="87">
        <f>SUMIFS($AU$3:AU813,$AB$3:AB813,"*")</f>
        <v>14347.859999999973</v>
      </c>
      <c r="BT811" s="87">
        <f>SUMIFS($AU$3:AU813,$AC$3:AC813,"*")</f>
        <v>48427.078121878294</v>
      </c>
      <c r="BU811" s="87">
        <f>SUMIFS($AU$3:AU813,$AA$3:AA813,"*",$AB$3:AB813,"*")</f>
        <v>8011.9999999997544</v>
      </c>
      <c r="BV811" s="87">
        <f>SUMIFS($AU$3:AU813,$AA$3:AA813,"*",$AC$3:AC813,"*")</f>
        <v>35120.036363636536</v>
      </c>
      <c r="BW811" s="87">
        <f>SUMIFS($AU$3:AU813,$AB$3:AB813,"*",$AC$3:AC813,"*")</f>
        <v>10736</v>
      </c>
      <c r="BX811" s="87">
        <f>SUMIFS($AV$3:AV813,$Q$3:Q813,"F")</f>
        <v>493.65837744248347</v>
      </c>
      <c r="BY811" s="87">
        <f>SUMIFS($AV$3:AV813,$Q$3:Q813,"S")</f>
        <v>820.61134190572739</v>
      </c>
      <c r="BZ811" s="87">
        <f>SUMIFS($AV$3:AV813,$Q$3:Q813,"O")</f>
        <v>487.55929999966918</v>
      </c>
    </row>
    <row r="812" spans="1:78" ht="15.75" customHeight="1">
      <c r="A812" s="45" t="s">
        <v>2311</v>
      </c>
      <c r="B812" s="59">
        <v>45460</v>
      </c>
      <c r="C812" s="46" t="s">
        <v>1942</v>
      </c>
      <c r="D812" s="46" t="s">
        <v>176</v>
      </c>
      <c r="E812" s="66"/>
      <c r="F812" s="47"/>
      <c r="G812" s="104" t="s">
        <v>2509</v>
      </c>
      <c r="H812" s="49"/>
      <c r="I812" s="49"/>
      <c r="J812" s="49"/>
      <c r="K812" s="50"/>
      <c r="L812" s="49"/>
      <c r="M812" s="49">
        <v>2</v>
      </c>
      <c r="N812" s="49"/>
      <c r="O812" s="50" t="s">
        <v>100</v>
      </c>
      <c r="P812" s="50" t="s">
        <v>126</v>
      </c>
      <c r="Q812" s="50" t="s">
        <v>102</v>
      </c>
      <c r="R812" s="50">
        <v>46</v>
      </c>
      <c r="S812" s="50">
        <v>0</v>
      </c>
      <c r="T812" s="50">
        <v>46</v>
      </c>
      <c r="U812" s="50" t="s">
        <v>102</v>
      </c>
      <c r="V812" s="50"/>
      <c r="W812" s="50"/>
      <c r="X812" s="50"/>
      <c r="Y812" s="51">
        <f>IF(ISBLANK(O812),"",(IF(O812=UPPER("IB"),0.005,0.01)))</f>
        <v>0.01</v>
      </c>
      <c r="Z812" s="52">
        <f>IF(ISBLANK(O812),"",IF(O812="IB",8.63*200,IF(O812="IR",16*100,IF(O812="YT",20*100,IF(O812="YT-XT",24*200,IF(O812="TED",80*100,IF(O812="IR|YT",300*100)))))))</f>
        <v>1600</v>
      </c>
      <c r="AA812" s="52"/>
      <c r="AB812" s="52"/>
      <c r="AC812" s="52" t="s">
        <v>2510</v>
      </c>
      <c r="AD812" s="231">
        <v>-0.13</v>
      </c>
      <c r="AE812" s="49"/>
      <c r="AF812" s="84"/>
      <c r="AG812" s="49"/>
      <c r="AH812" s="49"/>
      <c r="AI812" s="49"/>
      <c r="AJ812" s="226"/>
      <c r="AK812" s="49"/>
      <c r="AL812" s="113">
        <f t="shared" ref="AL812:AL821" si="332">-0.02*Z812</f>
        <v>-32</v>
      </c>
      <c r="AM812" s="113">
        <f t="shared" si="328"/>
        <v>-1472</v>
      </c>
      <c r="AN812" s="218"/>
      <c r="AO812" s="49"/>
      <c r="AP812" s="49" t="s">
        <v>2511</v>
      </c>
      <c r="AQ812" s="84" t="s">
        <v>142</v>
      </c>
      <c r="AR812" s="49"/>
      <c r="AS812" s="55">
        <v>-0.13</v>
      </c>
      <c r="AT812" s="55">
        <f t="shared" si="324"/>
        <v>0</v>
      </c>
      <c r="AU812" s="54">
        <f t="shared" si="325"/>
        <v>0</v>
      </c>
      <c r="AV812" s="56">
        <f t="shared" si="331"/>
        <v>0</v>
      </c>
      <c r="AW812" s="57" t="s">
        <v>155</v>
      </c>
      <c r="AX812" s="153"/>
      <c r="AY812" s="153"/>
      <c r="AZ812" s="153"/>
      <c r="BA812" s="153"/>
      <c r="BB812" s="153"/>
      <c r="BC812" s="153"/>
      <c r="BD812" s="151"/>
      <c r="BE812" s="152"/>
      <c r="BF812" s="151"/>
      <c r="BG812" s="94">
        <f>SUM($AV$4:AV812)</f>
        <v>4949.829019347887</v>
      </c>
      <c r="BH812" s="95">
        <f>SUM($AU$4:AU812)</f>
        <v>59588.423836163958</v>
      </c>
      <c r="BI812" s="80">
        <f>SUMIFS($AU$3:AU814,$Q$3:Q814,"F")</f>
        <v>37307.078121878127</v>
      </c>
      <c r="BJ812" s="80">
        <f>SUMIFS($AU$3:AU814,$Q$3:Q814,"S")</f>
        <v>24722.28571428571</v>
      </c>
      <c r="BK812" s="87">
        <f>SUMIFS($AU$3:AU814,$P$3:P814,"W")</f>
        <v>35024.14383616417</v>
      </c>
      <c r="BL812" s="87">
        <f>SUMIFS($AU$3:AU814,$P$3:P814,"R")</f>
        <v>21652.400000000325</v>
      </c>
      <c r="BM812" s="87">
        <f>SUMIFS($AU$3:AU814,$AQ$3:AQ814,"M")</f>
        <v>12131.179999998967</v>
      </c>
      <c r="BN812" s="87">
        <f>SUMIFS($AU$3:AU814,$AQ$3:AQ814,"H")</f>
        <v>14843.200000001041</v>
      </c>
      <c r="BO812" s="87">
        <f>SUMIFS($AU$3:AU814,$AQ$3:AQ814,"D")</f>
        <v>15382.377472527351</v>
      </c>
      <c r="BP812" s="87">
        <f>SUMIFS($AS$3:AS1307,$AO$3:AO1307,"W")</f>
        <v>0</v>
      </c>
      <c r="BQ812" s="87">
        <f>SUMIFS($AU$3:AU814,$Q$3:Q814,"O")</f>
        <v>-5064.9399999998614</v>
      </c>
      <c r="BR812" s="87">
        <f>SUMIFS($AU$3:AU814,$AA$3:AA814,"*")</f>
        <v>45161.522077921982</v>
      </c>
      <c r="BS812" s="87">
        <f>SUMIFS($AU$3:AU814,$AB$3:AB814,"*")</f>
        <v>14347.859999999973</v>
      </c>
      <c r="BT812" s="87">
        <f>SUMIFS($AU$3:AU814,$AC$3:AC814,"*")</f>
        <v>48427.078121878294</v>
      </c>
      <c r="BU812" s="87">
        <f>SUMIFS($AU$3:AU814,$AA$3:AA814,"*",$AB$3:AB814,"*")</f>
        <v>8011.9999999997544</v>
      </c>
      <c r="BV812" s="87">
        <f>SUMIFS($AU$3:AU814,$AA$3:AA814,"*",$AC$3:AC814,"*")</f>
        <v>35120.036363636536</v>
      </c>
      <c r="BW812" s="87">
        <f>SUMIFS($AU$3:AU814,$AB$3:AB814,"*",$AC$3:AC814,"*")</f>
        <v>10736</v>
      </c>
      <c r="BX812" s="87">
        <f>SUMIFS($AV$3:AV814,$Q$3:Q814,"F")</f>
        <v>493.65837744248347</v>
      </c>
      <c r="BY812" s="87">
        <f>SUMIFS($AV$3:AV814,$Q$3:Q814,"S")</f>
        <v>820.61134190572739</v>
      </c>
      <c r="BZ812" s="87">
        <f>SUMIFS($AV$3:AV814,$Q$3:Q814,"O")</f>
        <v>487.55929999966918</v>
      </c>
    </row>
    <row r="813" spans="1:78" ht="15.75" customHeight="1">
      <c r="A813" s="45" t="s">
        <v>2311</v>
      </c>
      <c r="B813" s="59">
        <v>45461</v>
      </c>
      <c r="C813" s="46" t="s">
        <v>2012</v>
      </c>
      <c r="D813" s="46" t="s">
        <v>98</v>
      </c>
      <c r="E813" s="66"/>
      <c r="F813" s="47"/>
      <c r="G813" s="104" t="s">
        <v>2512</v>
      </c>
      <c r="H813" s="49"/>
      <c r="I813" s="49"/>
      <c r="J813" s="49"/>
      <c r="K813" s="50"/>
      <c r="L813" s="49"/>
      <c r="M813" s="49">
        <v>2</v>
      </c>
      <c r="N813" s="49"/>
      <c r="O813" s="50" t="s">
        <v>559</v>
      </c>
      <c r="P813" s="50"/>
      <c r="Q813" s="50" t="s">
        <v>198</v>
      </c>
      <c r="R813" s="50">
        <v>50</v>
      </c>
      <c r="S813" s="50">
        <v>0</v>
      </c>
      <c r="T813" s="50">
        <v>50</v>
      </c>
      <c r="U813" s="50" t="s">
        <v>102</v>
      </c>
      <c r="V813" s="50"/>
      <c r="W813" s="50"/>
      <c r="X813" s="50"/>
      <c r="Y813" s="51">
        <f>IF(ISBLANK(O813),"",(IF(O813=UPPER("IB"),0.005,0.01)))</f>
        <v>5.0000000000000001E-3</v>
      </c>
      <c r="Z813" s="52">
        <f>IF(ISBLANK(O813),"",IF(O813="IB",8.63*200,IF(O813="IR",16*100,IF(O813="YT",20*100,IF(O813="YT-XT",24*200,IF(O813="TED",80*100,IF(O813="IR|YT",300*100)))))))</f>
        <v>1726.0000000000002</v>
      </c>
      <c r="AA813" s="52"/>
      <c r="AB813" s="52" t="s">
        <v>2513</v>
      </c>
      <c r="AC813" s="52"/>
      <c r="AD813" s="231">
        <v>95.685000000000002</v>
      </c>
      <c r="AE813" s="49"/>
      <c r="AF813" s="84"/>
      <c r="AG813" s="49"/>
      <c r="AH813" s="49"/>
      <c r="AI813" s="49"/>
      <c r="AJ813" s="226"/>
      <c r="AK813" s="49"/>
      <c r="AL813" s="113">
        <f t="shared" si="332"/>
        <v>-34.520000000000003</v>
      </c>
      <c r="AM813" s="113">
        <f t="shared" si="328"/>
        <v>-1726.0000000000002</v>
      </c>
      <c r="AN813" s="218"/>
      <c r="AO813" s="49"/>
      <c r="AP813" s="49"/>
      <c r="AQ813" s="84" t="str">
        <f>UPPER(RIGHT(Journal_Live[[#This Row],[DURATION ]]))</f>
        <v/>
      </c>
      <c r="AR813" s="49"/>
      <c r="AS813" s="55">
        <v>95.685000000000002</v>
      </c>
      <c r="AT813" s="55">
        <f t="shared" si="324"/>
        <v>0</v>
      </c>
      <c r="AU813" s="54">
        <f t="shared" si="325"/>
        <v>0</v>
      </c>
      <c r="AV813" s="56">
        <f t="shared" si="331"/>
        <v>0</v>
      </c>
      <c r="AW813" s="57" t="s">
        <v>155</v>
      </c>
      <c r="AX813" s="153" t="s">
        <v>2514</v>
      </c>
      <c r="AY813" s="153" t="s">
        <v>2515</v>
      </c>
      <c r="AZ813" s="153" t="s">
        <v>2516</v>
      </c>
      <c r="BA813" s="153" t="s">
        <v>2517</v>
      </c>
      <c r="BB813" s="153"/>
      <c r="BC813" s="153"/>
      <c r="BD813" s="151"/>
      <c r="BE813" s="152"/>
      <c r="BF813" s="151"/>
      <c r="BG813" s="94">
        <f>SUM($AV$4:AV813)</f>
        <v>4949.829019347887</v>
      </c>
      <c r="BH813" s="95">
        <f>SUM($AU$4:AU813)</f>
        <v>59588.423836163958</v>
      </c>
      <c r="BI813" s="80">
        <f>SUMIFS($AU$3:AU815,$Q$3:Q815,"F")</f>
        <v>37307.078121878127</v>
      </c>
      <c r="BJ813" s="80">
        <f>SUMIFS($AU$3:AU815,$Q$3:Q815,"S")</f>
        <v>24722.28571428571</v>
      </c>
      <c r="BK813" s="87">
        <f>SUMIFS($AU$3:AU815,$P$3:P815,"W")</f>
        <v>35024.14383616417</v>
      </c>
      <c r="BL813" s="87">
        <f>SUMIFS($AU$3:AU815,$P$3:P815,"R")</f>
        <v>21652.400000000325</v>
      </c>
      <c r="BM813" s="87">
        <f>SUMIFS($AU$3:AU815,$AQ$3:AQ815,"M")</f>
        <v>12131.179999998967</v>
      </c>
      <c r="BN813" s="87">
        <f>SUMIFS($AU$3:AU815,$AQ$3:AQ815,"H")</f>
        <v>14843.200000001041</v>
      </c>
      <c r="BO813" s="87">
        <f>SUMIFS($AU$3:AU815,$AQ$3:AQ815,"D")</f>
        <v>15382.377472527351</v>
      </c>
      <c r="BP813" s="87">
        <f>SUMIFS($AS$3:AS1308,$AO$3:AO1308,"W")</f>
        <v>0</v>
      </c>
      <c r="BQ813" s="87">
        <f>SUMIFS($AU$3:AU815,$Q$3:Q815,"O")</f>
        <v>-5064.9399999998614</v>
      </c>
      <c r="BR813" s="87">
        <f>SUMIFS($AU$3:AU815,$AA$3:AA815,"*")</f>
        <v>45161.522077921982</v>
      </c>
      <c r="BS813" s="87">
        <f>SUMIFS($AU$3:AU815,$AB$3:AB815,"*")</f>
        <v>14347.859999999973</v>
      </c>
      <c r="BT813" s="87">
        <f>SUMIFS($AU$3:AU815,$AC$3:AC815,"*")</f>
        <v>48427.078121878294</v>
      </c>
      <c r="BU813" s="87">
        <f>SUMIFS($AU$3:AU815,$AA$3:AA815,"*",$AB$3:AB815,"*")</f>
        <v>8011.9999999997544</v>
      </c>
      <c r="BV813" s="87">
        <f>SUMIFS($AU$3:AU815,$AA$3:AA815,"*",$AC$3:AC815,"*")</f>
        <v>35120.036363636536</v>
      </c>
      <c r="BW813" s="87">
        <f>SUMIFS($AU$3:AU815,$AB$3:AB815,"*",$AC$3:AC815,"*")</f>
        <v>10736</v>
      </c>
      <c r="BX813" s="87">
        <f>SUMIFS($AV$3:AV815,$Q$3:Q815,"F")</f>
        <v>493.65837744248347</v>
      </c>
      <c r="BY813" s="87">
        <f>SUMIFS($AV$3:AV815,$Q$3:Q815,"S")</f>
        <v>820.61134190572739</v>
      </c>
      <c r="BZ813" s="87">
        <f>SUMIFS($AV$3:AV815,$Q$3:Q815,"O")</f>
        <v>487.55929999966918</v>
      </c>
    </row>
    <row r="814" spans="1:78" ht="15.75" customHeight="1">
      <c r="A814" s="45" t="s">
        <v>2311</v>
      </c>
      <c r="B814" s="59"/>
      <c r="C814" s="46"/>
      <c r="D814" s="46"/>
      <c r="E814" s="66"/>
      <c r="F814" s="47"/>
      <c r="G814" s="48"/>
      <c r="H814" s="49"/>
      <c r="I814" s="49"/>
      <c r="J814" s="49"/>
      <c r="K814" s="50"/>
      <c r="L814" s="49"/>
      <c r="M814" s="49"/>
      <c r="N814" s="49"/>
      <c r="O814" s="50"/>
      <c r="P814" s="50"/>
      <c r="Q814" s="50"/>
      <c r="R814" s="50"/>
      <c r="S814" s="50"/>
      <c r="T814" s="50"/>
      <c r="U814" s="50"/>
      <c r="V814" s="50"/>
      <c r="W814" s="50"/>
      <c r="X814" s="50"/>
      <c r="Y814" s="51" t="str">
        <f>IF(ISBLANK(O814),"",(IF(O814=UPPER("IB"),0.005,0.01)))</f>
        <v/>
      </c>
      <c r="Z814" s="52" t="str">
        <f>IF(ISBLANK(O814),"",IF(O814="IB",8.63*200,IF(O814="IR",16*100,IF(O814="YT",20*100,IF(O814="YT-XT",24*200,IF(O814="TED",80*100,IF(O814="IR|YT",300*100)))))))</f>
        <v/>
      </c>
      <c r="AA814" s="52"/>
      <c r="AB814" s="52"/>
      <c r="AC814" s="52"/>
      <c r="AD814" s="231"/>
      <c r="AE814" s="49"/>
      <c r="AF814" s="84"/>
      <c r="AG814" s="49"/>
      <c r="AH814" s="49"/>
      <c r="AI814" s="49"/>
      <c r="AJ814" s="226"/>
      <c r="AK814" s="49"/>
      <c r="AL814" s="113"/>
      <c r="AM814" s="113"/>
      <c r="AN814" s="218"/>
      <c r="AO814" s="49"/>
      <c r="AP814" s="49"/>
      <c r="AQ814" s="84"/>
      <c r="AR814" s="49"/>
      <c r="AS814" s="55"/>
      <c r="AT814" s="55"/>
      <c r="AU814" s="54"/>
      <c r="AV814" s="56"/>
      <c r="AW814" s="57"/>
      <c r="AX814" s="153"/>
      <c r="AZ814" s="153"/>
      <c r="BA814" s="153"/>
      <c r="BB814" s="153"/>
      <c r="BC814" s="153"/>
      <c r="BD814" s="151"/>
      <c r="BE814" s="152"/>
      <c r="BF814" s="151"/>
      <c r="BG814" s="94">
        <f>SUM($AV$4:AV814)</f>
        <v>4949.829019347887</v>
      </c>
      <c r="BH814" s="95">
        <f>SUM($AU$4:AU814)</f>
        <v>59588.423836163958</v>
      </c>
      <c r="BI814" s="80">
        <f>SUMIFS($AU$3:AU821,$Q$3:Q821,"F")</f>
        <v>37307.078121878127</v>
      </c>
      <c r="BJ814" s="80">
        <f>SUMIFS($AU$3:AU821,$Q$3:Q821,"S")</f>
        <v>23922.28571428571</v>
      </c>
      <c r="BK814" s="87">
        <f>SUMIFS($AU$3:AU821,$P$3:P821,"W")</f>
        <v>34224.14383616417</v>
      </c>
      <c r="BL814" s="87">
        <f>SUMIFS($AU$3:AU821,$P$3:P821,"R")</f>
        <v>21652.400000000325</v>
      </c>
      <c r="BM814" s="87">
        <f>SUMIFS($AU$3:AU821,$AQ$3:AQ821,"M")</f>
        <v>12669.179999998996</v>
      </c>
      <c r="BN814" s="87">
        <f>SUMIFS($AU$3:AU821,$AQ$3:AQ821,"H")</f>
        <v>13563.200000001041</v>
      </c>
      <c r="BO814" s="87">
        <f>SUMIFS($AU$3:AU821,$AQ$3:AQ821,"D")</f>
        <v>15382.377472527351</v>
      </c>
      <c r="BP814" s="87">
        <f>SUMIFS($AS$3:AS1309,$AO$3:AO1309,"W")</f>
        <v>0</v>
      </c>
      <c r="BQ814" s="87">
        <f>SUMIFS($AU$3:AU821,$Q$3:Q821,"O")</f>
        <v>-5006.9399999998313</v>
      </c>
      <c r="BR814" s="87">
        <f>SUMIFS($AU$3:AU821,$AA$3:AA821,"*")</f>
        <v>44419.522077922011</v>
      </c>
      <c r="BS814" s="87">
        <f>SUMIFS($AU$3:AU821,$AB$3:AB821,"*")</f>
        <v>14347.859999999973</v>
      </c>
      <c r="BT814" s="87">
        <f>SUMIFS($AU$3:AU821,$AC$3:AC821,"*")</f>
        <v>47147.078121878294</v>
      </c>
      <c r="BU814" s="87">
        <f>SUMIFS($AU$3:AU821,$AA$3:AA821,"*",$AB$3:AB821,"*")</f>
        <v>8011.9999999997544</v>
      </c>
      <c r="BV814" s="87">
        <f>SUMIFS($AU$3:AU821,$AA$3:AA821,"*",$AC$3:AC821,"*")</f>
        <v>33840.036363636536</v>
      </c>
      <c r="BW814" s="87">
        <f>SUMIFS($AU$3:AU821,$AB$3:AB821,"*",$AC$3:AC821,"*")</f>
        <v>10736</v>
      </c>
      <c r="BX814" s="87">
        <f>SUMIFS($AV$3:AV821,$Q$3:Q821,"F")</f>
        <v>493.65837744248347</v>
      </c>
      <c r="BY814" s="87">
        <f>SUMIFS($AV$3:AV821,$Q$3:Q821,"S")</f>
        <v>804.61134190572739</v>
      </c>
      <c r="BZ814" s="87">
        <f>SUMIFS($AV$3:AV821,$Q$3:Q821,"O")</f>
        <v>545.55929999969885</v>
      </c>
    </row>
    <row r="815" spans="1:78" ht="15.75" customHeight="1">
      <c r="A815" s="45" t="s">
        <v>2311</v>
      </c>
      <c r="B815" s="59">
        <v>45461</v>
      </c>
      <c r="C815" s="46" t="s">
        <v>450</v>
      </c>
      <c r="D815" s="46" t="s">
        <v>98</v>
      </c>
      <c r="E815" s="66" t="s">
        <v>1895</v>
      </c>
      <c r="F815" s="47"/>
      <c r="G815" s="48" t="s">
        <v>2518</v>
      </c>
      <c r="H815" s="49"/>
      <c r="I815" s="49"/>
      <c r="J815" s="49"/>
      <c r="K815" s="50"/>
      <c r="L815" s="49"/>
      <c r="M815" s="49"/>
      <c r="N815" s="49"/>
      <c r="O815" s="50"/>
      <c r="P815" s="50"/>
      <c r="Q815" s="50"/>
      <c r="R815" s="50"/>
      <c r="S815" s="50"/>
      <c r="T815" s="50"/>
      <c r="U815" s="50"/>
      <c r="V815" s="50"/>
      <c r="W815" s="50"/>
      <c r="X815" s="50"/>
      <c r="Y815" s="51"/>
      <c r="Z815" s="52"/>
      <c r="AA815" s="52"/>
      <c r="AB815" s="52"/>
      <c r="AC815" s="52"/>
      <c r="AD815" s="231"/>
      <c r="AE815" s="49"/>
      <c r="AF815" s="84"/>
      <c r="AG815" s="49"/>
      <c r="AH815" s="49"/>
      <c r="AI815" s="49" t="s">
        <v>2519</v>
      </c>
      <c r="AJ815" s="226"/>
      <c r="AK815" s="49"/>
      <c r="AL815" s="113">
        <f>-0.03*Z815</f>
        <v>0</v>
      </c>
      <c r="AM815" s="113">
        <f t="shared" ref="AM815:AM846" si="333">AL815*(R815-S815)</f>
        <v>0</v>
      </c>
      <c r="AN815" s="218" t="s">
        <v>2520</v>
      </c>
      <c r="AO815" s="49" t="s">
        <v>2521</v>
      </c>
      <c r="AP815" s="49"/>
      <c r="AQ815" s="84" t="str">
        <f>UPPER(RIGHT(Journal_Live[[#This Row],[DURATION ]]))</f>
        <v/>
      </c>
      <c r="AR815" s="49"/>
      <c r="AS815" s="55">
        <v>0.04</v>
      </c>
      <c r="AT815" s="55">
        <f t="shared" ref="AT815:AT852" si="334">IF(ISBLANK(AS815),,IF(U815="S",AD815-AS815,AS815-AD815))</f>
        <v>0.04</v>
      </c>
      <c r="AU815" s="54">
        <f t="shared" ref="AU815:AU852" si="335">AV815*R815</f>
        <v>0</v>
      </c>
      <c r="AV815" s="56">
        <f t="shared" si="331"/>
        <v>0</v>
      </c>
      <c r="AW815" s="57"/>
      <c r="AX815" s="153" t="s">
        <v>2522</v>
      </c>
      <c r="AY815" s="153" t="s">
        <v>2523</v>
      </c>
      <c r="AZ815" s="153" t="s">
        <v>2524</v>
      </c>
      <c r="BA815" s="151" t="s">
        <v>2525</v>
      </c>
      <c r="BB815" s="153" t="s">
        <v>2526</v>
      </c>
      <c r="BC815" s="153" t="s">
        <v>2527</v>
      </c>
      <c r="BD815" s="151" t="s">
        <v>2528</v>
      </c>
      <c r="BE815" s="152" t="s">
        <v>2529</v>
      </c>
      <c r="BF815" s="151" t="s">
        <v>2530</v>
      </c>
      <c r="BG815" s="94">
        <f>SUM($AV$4:AV815)</f>
        <v>4949.829019347887</v>
      </c>
      <c r="BH815" s="95">
        <f>SUM($AU$4:AU815)</f>
        <v>59588.423836163958</v>
      </c>
      <c r="BI815" s="80">
        <f>SUMIFS($AU$3:AU822,$Q$3:Q822,"F")</f>
        <v>37307.078121878127</v>
      </c>
      <c r="BJ815" s="80">
        <f>SUMIFS($AU$3:AU822,$Q$3:Q822,"S")</f>
        <v>23922.28571428571</v>
      </c>
      <c r="BK815" s="87">
        <f>SUMIFS($AU$3:AU822,$P$3:P822,"W")</f>
        <v>34224.14383616417</v>
      </c>
      <c r="BL815" s="87">
        <f>SUMIFS($AU$3:AU822,$P$3:P822,"R")</f>
        <v>21652.400000000325</v>
      </c>
      <c r="BM815" s="87">
        <f>SUMIFS($AU$3:AU822,$AQ$3:AQ822,"M")</f>
        <v>12669.179999998996</v>
      </c>
      <c r="BN815" s="87">
        <f>SUMIFS($AU$3:AU822,$AQ$3:AQ822,"H")</f>
        <v>13563.200000001041</v>
      </c>
      <c r="BO815" s="87">
        <f>SUMIFS($AU$3:AU822,$AQ$3:AQ822,"D")</f>
        <v>15382.377472527351</v>
      </c>
      <c r="BP815" s="87">
        <f>SUMIFS($AS$3:AS1310,$AO$3:AO1310,"W")</f>
        <v>0</v>
      </c>
      <c r="BQ815" s="87">
        <f>SUMIFS($AU$3:AU822,$Q$3:Q822,"O")</f>
        <v>-5006.9399999998313</v>
      </c>
      <c r="BR815" s="87">
        <f>SUMIFS($AU$3:AU822,$AA$3:AA822,"*")</f>
        <v>44419.522077922011</v>
      </c>
      <c r="BS815" s="87">
        <f>SUMIFS($AU$3:AU822,$AB$3:AB822,"*")</f>
        <v>14347.859999999973</v>
      </c>
      <c r="BT815" s="87">
        <f>SUMIFS($AU$3:AU822,$AC$3:AC822,"*")</f>
        <v>47147.078121878294</v>
      </c>
      <c r="BU815" s="87">
        <f>SUMIFS($AU$3:AU822,$AA$3:AA822,"*",$AB$3:AB822,"*")</f>
        <v>8011.9999999997544</v>
      </c>
      <c r="BV815" s="87">
        <f>SUMIFS($AU$3:AU822,$AA$3:AA822,"*",$AC$3:AC822,"*")</f>
        <v>33840.036363636536</v>
      </c>
      <c r="BW815" s="87">
        <f>SUMIFS($AU$3:AU822,$AB$3:AB822,"*",$AC$3:AC822,"*")</f>
        <v>10736</v>
      </c>
      <c r="BX815" s="87">
        <f>SUMIFS($AV$3:AV822,$Q$3:Q822,"F")</f>
        <v>493.65837744248347</v>
      </c>
      <c r="BY815" s="87">
        <f>SUMIFS($AV$3:AV822,$Q$3:Q822,"S")</f>
        <v>804.61134190572739</v>
      </c>
      <c r="BZ815" s="87">
        <f>SUMIFS($AV$3:AV822,$Q$3:Q822,"O")</f>
        <v>545.55929999969885</v>
      </c>
    </row>
    <row r="816" spans="1:78" ht="15.75" customHeight="1">
      <c r="A816" s="45" t="s">
        <v>2311</v>
      </c>
      <c r="B816" s="59">
        <v>45461</v>
      </c>
      <c r="C816" s="46" t="s">
        <v>147</v>
      </c>
      <c r="D816" s="46" t="s">
        <v>98</v>
      </c>
      <c r="E816" s="66"/>
      <c r="F816" s="47"/>
      <c r="G816" s="104" t="s">
        <v>227</v>
      </c>
      <c r="H816" s="49"/>
      <c r="I816" s="49"/>
      <c r="J816" s="49"/>
      <c r="K816" s="50"/>
      <c r="L816" s="49">
        <v>1</v>
      </c>
      <c r="M816" s="49"/>
      <c r="N816" s="49"/>
      <c r="O816" s="50" t="s">
        <v>100</v>
      </c>
      <c r="P816" s="50" t="s">
        <v>101</v>
      </c>
      <c r="Q816" s="50" t="s">
        <v>102</v>
      </c>
      <c r="R816" s="50">
        <v>30</v>
      </c>
      <c r="S816" s="50">
        <v>0</v>
      </c>
      <c r="T816" s="50">
        <v>30</v>
      </c>
      <c r="U816" s="50" t="s">
        <v>102</v>
      </c>
      <c r="V816" s="50"/>
      <c r="W816" s="50"/>
      <c r="X816" s="50"/>
      <c r="Y816" s="51">
        <f>IF(ISBLANK(O816),"",(IF(O816=UPPER("IB"),0.005,0.01)))</f>
        <v>0.01</v>
      </c>
      <c r="Z816" s="52">
        <f>IF(ISBLANK(O816),"",IF(O816="IB",8.63*200,IF(O816="IR",16*100,IF(O816="YT",20*100,IF(O816="YT-XT",24*200,IF(O816="TED",80*100,IF(O816="IR|YT",300*100)))))))</f>
        <v>1600</v>
      </c>
      <c r="AA816" s="52" t="s">
        <v>515</v>
      </c>
      <c r="AB816" s="52"/>
      <c r="AC816" s="52"/>
      <c r="AD816" s="231">
        <v>-7.0000000000000007E-2</v>
      </c>
      <c r="AE816" s="49"/>
      <c r="AF816" s="84"/>
      <c r="AG816" s="49"/>
      <c r="AH816" s="49"/>
      <c r="AI816" s="49"/>
      <c r="AJ816" s="226"/>
      <c r="AK816" s="49"/>
      <c r="AL816" s="113">
        <f t="shared" ref="AL816:AL820" si="336">-0.02*Z816</f>
        <v>-32</v>
      </c>
      <c r="AM816" s="113">
        <f t="shared" si="333"/>
        <v>-960</v>
      </c>
      <c r="AN816" s="218"/>
      <c r="AO816" s="49"/>
      <c r="AP816" s="49" t="s">
        <v>2531</v>
      </c>
      <c r="AQ816" s="84" t="s">
        <v>350</v>
      </c>
      <c r="AR816" s="49" t="s">
        <v>2532</v>
      </c>
      <c r="AS816" s="55">
        <v>-0.08</v>
      </c>
      <c r="AT816" s="55">
        <f t="shared" si="334"/>
        <v>9.999999999999995E-3</v>
      </c>
      <c r="AU816" s="54">
        <f t="shared" si="335"/>
        <v>479.99999999999977</v>
      </c>
      <c r="AV816" s="56">
        <f t="shared" ref="AV816:AV820" si="337">IF(ISBLANK(AS816),,(AT816*Z816))</f>
        <v>15.999999999999993</v>
      </c>
      <c r="AW816" s="57" t="s">
        <v>101</v>
      </c>
      <c r="AX816" s="153"/>
      <c r="AY816" s="153"/>
      <c r="AZ816" s="153"/>
      <c r="BA816" s="153"/>
      <c r="BB816" s="153"/>
      <c r="BC816" s="153"/>
      <c r="BD816" s="151"/>
      <c r="BE816" s="152"/>
      <c r="BF816" s="151"/>
      <c r="BG816" s="94">
        <f>SUM($AV$4:AV816)</f>
        <v>4965.829019347887</v>
      </c>
      <c r="BH816" s="95">
        <f>SUM($AU$4:AU816)</f>
        <v>60068.423836163958</v>
      </c>
      <c r="BI816" s="80">
        <f>SUMIFS($AU$3:AU818,$Q$3:Q818,"F")</f>
        <v>37307.078121878127</v>
      </c>
      <c r="BJ816" s="80">
        <f>SUMIFS($AU$3:AU818,$Q$3:Q818,"S")</f>
        <v>23922.28571428571</v>
      </c>
      <c r="BK816" s="87">
        <f>SUMIFS($AU$3:AU818,$P$3:P818,"W")</f>
        <v>34224.14383616417</v>
      </c>
      <c r="BL816" s="87">
        <f>SUMIFS($AU$3:AU818,$P$3:P818,"R")</f>
        <v>21652.400000000325</v>
      </c>
      <c r="BM816" s="87">
        <f>SUMIFS($AU$3:AU818,$AQ$3:AQ818,"M")</f>
        <v>12611.179999998967</v>
      </c>
      <c r="BN816" s="87">
        <f>SUMIFS($AU$3:AU818,$AQ$3:AQ818,"H")</f>
        <v>13563.200000001041</v>
      </c>
      <c r="BO816" s="87">
        <f>SUMIFS($AU$3:AU818,$AQ$3:AQ818,"D")</f>
        <v>15382.377472527351</v>
      </c>
      <c r="BP816" s="87">
        <f>SUMIFS($AS$3:AS1306,$AO$3:AO1306,"W")</f>
        <v>0</v>
      </c>
      <c r="BQ816" s="87">
        <f>SUMIFS($AU$3:AU818,$Q$3:Q818,"O")</f>
        <v>-5064.9399999998614</v>
      </c>
      <c r="BR816" s="87">
        <f>SUMIFS($AU$3:AU818,$AA$3:AA818,"*")</f>
        <v>44361.522077921982</v>
      </c>
      <c r="BS816" s="87">
        <f>SUMIFS($AU$3:AU818,$AB$3:AB818,"*")</f>
        <v>14347.859999999973</v>
      </c>
      <c r="BT816" s="87">
        <f>SUMIFS($AU$3:AU818,$AC$3:AC818,"*")</f>
        <v>47147.078121878294</v>
      </c>
      <c r="BU816" s="87">
        <f>SUMIFS($AU$3:AU818,$AA$3:AA818,"*",$AB$3:AB818,"*")</f>
        <v>8011.9999999997544</v>
      </c>
      <c r="BV816" s="87">
        <f>SUMIFS($AU$3:AU818,$AA$3:AA818,"*",$AC$3:AC818,"*")</f>
        <v>33840.036363636536</v>
      </c>
      <c r="BW816" s="87">
        <f>SUMIFS($AU$3:AU818,$AB$3:AB818,"*",$AC$3:AC818,"*")</f>
        <v>10736</v>
      </c>
      <c r="BX816" s="87">
        <f>SUMIFS($AV$3:AV818,$Q$3:Q818,"F")</f>
        <v>493.65837744248347</v>
      </c>
      <c r="BY816" s="87">
        <f>SUMIFS($AV$3:AV818,$Q$3:Q818,"S")</f>
        <v>804.61134190572739</v>
      </c>
      <c r="BZ816" s="87">
        <f>SUMIFS($AV$3:AV818,$Q$3:Q818,"O")</f>
        <v>487.55929999966918</v>
      </c>
    </row>
    <row r="817" spans="1:78" ht="15.75" customHeight="1">
      <c r="A817" s="45" t="s">
        <v>2311</v>
      </c>
      <c r="B817" s="59">
        <v>45461</v>
      </c>
      <c r="C817" s="46" t="s">
        <v>147</v>
      </c>
      <c r="D817" s="46" t="s">
        <v>98</v>
      </c>
      <c r="E817" s="66"/>
      <c r="F817" s="47"/>
      <c r="G817" s="48" t="s">
        <v>276</v>
      </c>
      <c r="H817" s="49"/>
      <c r="I817" s="49"/>
      <c r="J817" s="49"/>
      <c r="K817" s="50"/>
      <c r="L817" s="49"/>
      <c r="M817" s="49"/>
      <c r="N817" s="49"/>
      <c r="O817" s="50"/>
      <c r="P817" s="50"/>
      <c r="Q817" s="50"/>
      <c r="R817" s="50"/>
      <c r="S817" s="50"/>
      <c r="T817" s="50"/>
      <c r="U817" s="50"/>
      <c r="V817" s="50"/>
      <c r="W817" s="50"/>
      <c r="X817" s="50"/>
      <c r="Y817" s="51"/>
      <c r="Z817" s="52"/>
      <c r="AA817" s="52"/>
      <c r="AB817" s="52"/>
      <c r="AC817" s="52"/>
      <c r="AD817" s="231"/>
      <c r="AE817" s="49"/>
      <c r="AF817" s="84"/>
      <c r="AG817" s="49"/>
      <c r="AH817" s="49"/>
      <c r="AI817" s="49"/>
      <c r="AJ817" s="226"/>
      <c r="AK817" s="49"/>
      <c r="AL817" s="113">
        <f t="shared" si="336"/>
        <v>0</v>
      </c>
      <c r="AM817" s="113">
        <f t="shared" si="333"/>
        <v>0</v>
      </c>
      <c r="AN817" s="218"/>
      <c r="AO817" s="49"/>
      <c r="AP817" s="49"/>
      <c r="AQ817" s="84" t="str">
        <f>UPPER(RIGHT(Journal_Live[[#This Row],[DURATION ]]))</f>
        <v/>
      </c>
      <c r="AR817" s="49"/>
      <c r="AS817" s="55"/>
      <c r="AT817" s="55">
        <f t="shared" si="334"/>
        <v>0</v>
      </c>
      <c r="AU817" s="54">
        <f t="shared" si="335"/>
        <v>0</v>
      </c>
      <c r="AV817" s="56">
        <f t="shared" si="337"/>
        <v>0</v>
      </c>
      <c r="AW817" s="57"/>
      <c r="AX817" s="151" t="s">
        <v>2533</v>
      </c>
      <c r="AY817" s="153"/>
      <c r="AZ817" s="153"/>
      <c r="BA817" s="153"/>
      <c r="BB817" s="153"/>
      <c r="BC817" s="153"/>
      <c r="BD817" s="151"/>
      <c r="BE817" s="152"/>
      <c r="BF817" s="151"/>
      <c r="BG817" s="94">
        <f>SUM($AV$4:AV817)</f>
        <v>4965.829019347887</v>
      </c>
      <c r="BH817" s="95">
        <f>SUM($AU$4:AU817)</f>
        <v>60068.423836163958</v>
      </c>
      <c r="BI817" s="80">
        <f>SUMIFS($AU$3:AU819,$Q$3:Q819,"F")</f>
        <v>37307.078121878127</v>
      </c>
      <c r="BJ817" s="80">
        <f>SUMIFS($AU$3:AU819,$Q$3:Q819,"S")</f>
        <v>23922.28571428571</v>
      </c>
      <c r="BK817" s="87">
        <f>SUMIFS($AU$3:AU819,$P$3:P819,"W")</f>
        <v>34224.14383616417</v>
      </c>
      <c r="BL817" s="87">
        <f>SUMIFS($AU$3:AU819,$P$3:P819,"R")</f>
        <v>21652.400000000325</v>
      </c>
      <c r="BM817" s="87">
        <f>SUMIFS($AU$3:AU819,$AQ$3:AQ819,"M")</f>
        <v>12669.179999998996</v>
      </c>
      <c r="BN817" s="87">
        <f>SUMIFS($AU$3:AU819,$AQ$3:AQ819,"H")</f>
        <v>13563.200000001041</v>
      </c>
      <c r="BO817" s="87">
        <f>SUMIFS($AU$3:AU819,$AQ$3:AQ819,"D")</f>
        <v>15382.377472527351</v>
      </c>
      <c r="BP817" s="87">
        <f>SUMIFS($AS$3:AS1307,$AO$3:AO1307,"W")</f>
        <v>0</v>
      </c>
      <c r="BQ817" s="87">
        <f>SUMIFS($AU$3:AU819,$Q$3:Q819,"O")</f>
        <v>-5006.9399999998313</v>
      </c>
      <c r="BR817" s="87">
        <f>SUMIFS($AU$3:AU819,$AA$3:AA819,"*")</f>
        <v>44419.522077922011</v>
      </c>
      <c r="BS817" s="87">
        <f>SUMIFS($AU$3:AU819,$AB$3:AB819,"*")</f>
        <v>14347.859999999973</v>
      </c>
      <c r="BT817" s="87">
        <f>SUMIFS($AU$3:AU819,$AC$3:AC819,"*")</f>
        <v>47147.078121878294</v>
      </c>
      <c r="BU817" s="87">
        <f>SUMIFS($AU$3:AU819,$AA$3:AA819,"*",$AB$3:AB819,"*")</f>
        <v>8011.9999999997544</v>
      </c>
      <c r="BV817" s="87">
        <f>SUMIFS($AU$3:AU819,$AA$3:AA819,"*",$AC$3:AC819,"*")</f>
        <v>33840.036363636536</v>
      </c>
      <c r="BW817" s="87">
        <f>SUMIFS($AU$3:AU819,$AB$3:AB819,"*",$AC$3:AC819,"*")</f>
        <v>10736</v>
      </c>
      <c r="BX817" s="87">
        <f>SUMIFS($AV$3:AV819,$Q$3:Q819,"F")</f>
        <v>493.65837744248347</v>
      </c>
      <c r="BY817" s="87">
        <f>SUMIFS($AV$3:AV819,$Q$3:Q819,"S")</f>
        <v>804.61134190572739</v>
      </c>
      <c r="BZ817" s="87">
        <f>SUMIFS($AV$3:AV819,$Q$3:Q819,"O")</f>
        <v>545.55929999969885</v>
      </c>
    </row>
    <row r="818" spans="1:78" ht="15.75" customHeight="1">
      <c r="A818" s="45" t="s">
        <v>2311</v>
      </c>
      <c r="B818" s="59">
        <v>45461</v>
      </c>
      <c r="C818" s="46" t="s">
        <v>2428</v>
      </c>
      <c r="D818" s="46" t="s">
        <v>98</v>
      </c>
      <c r="E818" s="66" t="s">
        <v>2534</v>
      </c>
      <c r="F818" s="47"/>
      <c r="G818" s="104" t="s">
        <v>227</v>
      </c>
      <c r="H818" s="49"/>
      <c r="I818" s="49"/>
      <c r="J818" s="49"/>
      <c r="K818" s="50"/>
      <c r="L818" s="49">
        <v>1</v>
      </c>
      <c r="M818" s="49"/>
      <c r="N818" s="49"/>
      <c r="O818" s="50" t="s">
        <v>100</v>
      </c>
      <c r="P818" s="50" t="s">
        <v>101</v>
      </c>
      <c r="Q818" s="50" t="s">
        <v>102</v>
      </c>
      <c r="R818" s="50">
        <v>40</v>
      </c>
      <c r="S818" s="50">
        <v>0</v>
      </c>
      <c r="T818" s="50">
        <v>60</v>
      </c>
      <c r="U818" s="50" t="s">
        <v>102</v>
      </c>
      <c r="V818" s="50"/>
      <c r="W818" s="50"/>
      <c r="X818" s="50"/>
      <c r="Y818" s="51">
        <f>IF(ISBLANK(O818),"",(IF(O818=UPPER("IB"),0.005,0.01)))</f>
        <v>0.01</v>
      </c>
      <c r="Z818" s="52">
        <f>IF(ISBLANK(O818),"",IF(O818="IB",8.63*200,IF(O818="IR",16*100,IF(O818="YT",20*100,IF(O818="YT-XT",24*200,IF(O818="TED",80*100,IF(O818="IR|YT",300*100)))))))</f>
        <v>1600</v>
      </c>
      <c r="AA818" s="52" t="s">
        <v>2535</v>
      </c>
      <c r="AB818" s="52"/>
      <c r="AC818" s="52" t="s">
        <v>2536</v>
      </c>
      <c r="AD818" s="231">
        <v>-7.0000000000000007E-2</v>
      </c>
      <c r="AE818" s="49"/>
      <c r="AF818" s="84"/>
      <c r="AG818" s="49"/>
      <c r="AH818" s="49"/>
      <c r="AI818" s="49"/>
      <c r="AJ818" s="226"/>
      <c r="AK818" s="49"/>
      <c r="AL818" s="113">
        <f t="shared" si="336"/>
        <v>-32</v>
      </c>
      <c r="AM818" s="113">
        <f t="shared" si="333"/>
        <v>-1280</v>
      </c>
      <c r="AN818" s="218"/>
      <c r="AO818" s="49"/>
      <c r="AP818" s="49"/>
      <c r="AQ818" s="84" t="s">
        <v>142</v>
      </c>
      <c r="AR818" s="49" t="s">
        <v>2537</v>
      </c>
      <c r="AS818" s="55">
        <v>-0.05</v>
      </c>
      <c r="AT818" s="55">
        <f t="shared" si="334"/>
        <v>-2.0000000000000004E-2</v>
      </c>
      <c r="AU818" s="54">
        <f t="shared" si="335"/>
        <v>-1280.0000000000002</v>
      </c>
      <c r="AV818" s="56">
        <f t="shared" si="337"/>
        <v>-32.000000000000007</v>
      </c>
      <c r="AW818" s="57" t="s">
        <v>121</v>
      </c>
      <c r="AX818" s="153" t="s">
        <v>2538</v>
      </c>
      <c r="AY818" s="153" t="s">
        <v>2539</v>
      </c>
      <c r="AZ818" s="153"/>
      <c r="BA818" s="153"/>
      <c r="BB818" s="153"/>
      <c r="BC818" s="153"/>
      <c r="BD818" s="151"/>
      <c r="BE818" s="152"/>
      <c r="BF818" s="151"/>
      <c r="BG818" s="94">
        <f>SUM($AV$4:AV818)</f>
        <v>4933.829019347887</v>
      </c>
      <c r="BH818" s="95">
        <f>SUM($AU$4:AU818)</f>
        <v>58788.423836163958</v>
      </c>
      <c r="BI818" s="80">
        <f>SUMIFS($AU$3:AU820,$Q$3:Q820,"F")</f>
        <v>37307.078121878127</v>
      </c>
      <c r="BJ818" s="80">
        <f>SUMIFS($AU$3:AU820,$Q$3:Q820,"S")</f>
        <v>23922.28571428571</v>
      </c>
      <c r="BK818" s="87">
        <f>SUMIFS($AU$3:AU820,$P$3:P820,"W")</f>
        <v>34224.14383616417</v>
      </c>
      <c r="BL818" s="87">
        <f>SUMIFS($AU$3:AU820,$P$3:P820,"R")</f>
        <v>21652.400000000325</v>
      </c>
      <c r="BM818" s="87">
        <f>SUMIFS($AU$3:AU820,$AQ$3:AQ820,"M")</f>
        <v>12669.179999998996</v>
      </c>
      <c r="BN818" s="87">
        <f>SUMIFS($AU$3:AU820,$AQ$3:AQ820,"H")</f>
        <v>13563.200000001041</v>
      </c>
      <c r="BO818" s="87">
        <f>SUMIFS($AU$3:AU820,$AQ$3:AQ820,"D")</f>
        <v>15382.377472527351</v>
      </c>
      <c r="BP818" s="87">
        <f>SUMIFS($AS$3:AS1308,$AO$3:AO1308,"W")</f>
        <v>0</v>
      </c>
      <c r="BQ818" s="87">
        <f>SUMIFS($AU$3:AU820,$Q$3:Q820,"O")</f>
        <v>-5006.9399999998313</v>
      </c>
      <c r="BR818" s="87">
        <f>SUMIFS($AU$3:AU820,$AA$3:AA820,"*")</f>
        <v>44419.522077922011</v>
      </c>
      <c r="BS818" s="87">
        <f>SUMIFS($AU$3:AU820,$AB$3:AB820,"*")</f>
        <v>14347.859999999973</v>
      </c>
      <c r="BT818" s="87">
        <f>SUMIFS($AU$3:AU820,$AC$3:AC820,"*")</f>
        <v>47147.078121878294</v>
      </c>
      <c r="BU818" s="87">
        <f>SUMIFS($AU$3:AU820,$AA$3:AA820,"*",$AB$3:AB820,"*")</f>
        <v>8011.9999999997544</v>
      </c>
      <c r="BV818" s="87">
        <f>SUMIFS($AU$3:AU820,$AA$3:AA820,"*",$AC$3:AC820,"*")</f>
        <v>33840.036363636536</v>
      </c>
      <c r="BW818" s="87">
        <f>SUMIFS($AU$3:AU820,$AB$3:AB820,"*",$AC$3:AC820,"*")</f>
        <v>10736</v>
      </c>
      <c r="BX818" s="87">
        <f>SUMIFS($AV$3:AV820,$Q$3:Q820,"F")</f>
        <v>493.65837744248347</v>
      </c>
      <c r="BY818" s="87">
        <f>SUMIFS($AV$3:AV820,$Q$3:Q820,"S")</f>
        <v>804.61134190572739</v>
      </c>
      <c r="BZ818" s="87">
        <f>SUMIFS($AV$3:AV820,$Q$3:Q820,"O")</f>
        <v>545.55929999969885</v>
      </c>
    </row>
    <row r="819" spans="1:78" ht="15.75" customHeight="1">
      <c r="A819" s="45" t="s">
        <v>2311</v>
      </c>
      <c r="B819" s="59">
        <v>45461</v>
      </c>
      <c r="C819" s="46" t="s">
        <v>397</v>
      </c>
      <c r="D819" s="46" t="s">
        <v>98</v>
      </c>
      <c r="E819" s="66" t="s">
        <v>2540</v>
      </c>
      <c r="F819" s="47"/>
      <c r="G819" s="104" t="s">
        <v>2541</v>
      </c>
      <c r="H819" s="49"/>
      <c r="I819" s="49"/>
      <c r="J819" s="49"/>
      <c r="K819" s="50"/>
      <c r="L819" s="49">
        <v>2</v>
      </c>
      <c r="M819" s="49"/>
      <c r="N819" s="49"/>
      <c r="O819" s="50" t="s">
        <v>196</v>
      </c>
      <c r="P819" s="50" t="s">
        <v>197</v>
      </c>
      <c r="Q819" s="50" t="s">
        <v>198</v>
      </c>
      <c r="R819" s="50">
        <v>1</v>
      </c>
      <c r="S819" s="50">
        <v>0</v>
      </c>
      <c r="T819" s="50">
        <v>1</v>
      </c>
      <c r="U819" s="50" t="s">
        <v>102</v>
      </c>
      <c r="V819" s="50"/>
      <c r="W819" s="50"/>
      <c r="X819" s="50"/>
      <c r="Y819" s="51">
        <f>IF(ISBLANK(O819),"",(IF(O819=UPPER("IB"),0.005,0.01)))</f>
        <v>0.01</v>
      </c>
      <c r="Z819" s="52">
        <f>IF(ISBLANK(O819),"",IF(O819="IB",8.63*200,IF(O819="IR",16*100,IF(O819="YT",20*100,IF(O819="YT-XT",24*200,IF(O819="TED",80*100,IF(O819="XT",29*200)))))))</f>
        <v>5800</v>
      </c>
      <c r="AA819" s="52" t="s">
        <v>908</v>
      </c>
      <c r="AB819" s="52"/>
      <c r="AC819" s="52"/>
      <c r="AD819" s="231">
        <v>95.84</v>
      </c>
      <c r="AE819" s="49"/>
      <c r="AF819" s="84"/>
      <c r="AG819" s="49"/>
      <c r="AH819" s="49"/>
      <c r="AI819" s="49"/>
      <c r="AJ819" s="226"/>
      <c r="AK819" s="49"/>
      <c r="AL819" s="113">
        <f t="shared" si="336"/>
        <v>-116</v>
      </c>
      <c r="AM819" s="113">
        <f t="shared" si="333"/>
        <v>-116</v>
      </c>
      <c r="AN819" s="218"/>
      <c r="AO819" s="49"/>
      <c r="AP819" s="49" t="s">
        <v>233</v>
      </c>
      <c r="AQ819" s="84" t="str">
        <f>UPPER(RIGHT(Journal_Live[[#This Row],[DURATION ]]))</f>
        <v>M</v>
      </c>
      <c r="AR819" s="49"/>
      <c r="AS819" s="55">
        <v>95.83</v>
      </c>
      <c r="AT819" s="55">
        <f t="shared" si="334"/>
        <v>1.0000000000005116E-2</v>
      </c>
      <c r="AU819" s="54">
        <f t="shared" si="335"/>
        <v>58.000000000029672</v>
      </c>
      <c r="AV819" s="56">
        <f t="shared" si="337"/>
        <v>58.000000000029672</v>
      </c>
      <c r="AW819" s="57" t="s">
        <v>101</v>
      </c>
      <c r="AX819" s="153"/>
      <c r="AY819" s="153"/>
      <c r="AZ819" s="153"/>
      <c r="BA819" s="153"/>
      <c r="BB819" s="153"/>
      <c r="BC819" s="153"/>
      <c r="BD819" s="151"/>
      <c r="BE819" s="152"/>
      <c r="BF819" s="151"/>
      <c r="BG819" s="94">
        <f>SUM($AV$4:AV819)</f>
        <v>4991.829019347917</v>
      </c>
      <c r="BH819" s="95">
        <f>SUM($AU$4:AU819)</f>
        <v>58846.423836163987</v>
      </c>
      <c r="BI819" s="80">
        <f>SUMIFS($AU$3:AU821,$Q$3:Q821,"F")</f>
        <v>37307.078121878127</v>
      </c>
      <c r="BJ819" s="80">
        <f>SUMIFS($AU$3:AU821,$Q$3:Q821,"S")</f>
        <v>23922.28571428571</v>
      </c>
      <c r="BK819" s="87">
        <f>SUMIFS($AU$3:AU821,$P$3:P821,"W")</f>
        <v>34224.14383616417</v>
      </c>
      <c r="BL819" s="87">
        <f>SUMIFS($AU$3:AU821,$P$3:P821,"R")</f>
        <v>21652.400000000325</v>
      </c>
      <c r="BM819" s="87">
        <f>SUMIFS($AU$3:AU821,$AQ$3:AQ821,"M")</f>
        <v>12669.179999998996</v>
      </c>
      <c r="BN819" s="87">
        <f>SUMIFS($AU$3:AU821,$AQ$3:AQ821,"H")</f>
        <v>13563.200000001041</v>
      </c>
      <c r="BO819" s="87">
        <f>SUMIFS($AU$3:AU821,$AQ$3:AQ821,"D")</f>
        <v>15382.377472527351</v>
      </c>
      <c r="BP819" s="87">
        <f>SUMIFS($AS$3:AS1309,$AO$3:AO1309,"W")</f>
        <v>0</v>
      </c>
      <c r="BQ819" s="87">
        <f>SUMIFS($AU$3:AU821,$Q$3:Q821,"O")</f>
        <v>-5006.9399999998313</v>
      </c>
      <c r="BR819" s="87">
        <f>SUMIFS($AU$3:AU821,$AA$3:AA821,"*")</f>
        <v>44419.522077922011</v>
      </c>
      <c r="BS819" s="87">
        <f>SUMIFS($AU$3:AU821,$AB$3:AB821,"*")</f>
        <v>14347.859999999973</v>
      </c>
      <c r="BT819" s="87">
        <f>SUMIFS($AU$3:AU821,$AC$3:AC821,"*")</f>
        <v>47147.078121878294</v>
      </c>
      <c r="BU819" s="87">
        <f>SUMIFS($AU$3:AU821,$AA$3:AA821,"*",$AB$3:AB821,"*")</f>
        <v>8011.9999999997544</v>
      </c>
      <c r="BV819" s="87">
        <f>SUMIFS($AU$3:AU821,$AA$3:AA821,"*",$AC$3:AC821,"*")</f>
        <v>33840.036363636536</v>
      </c>
      <c r="BW819" s="87">
        <f>SUMIFS($AU$3:AU821,$AB$3:AB821,"*",$AC$3:AC821,"*")</f>
        <v>10736</v>
      </c>
      <c r="BX819" s="87">
        <f>SUMIFS($AV$3:AV821,$Q$3:Q821,"F")</f>
        <v>493.65837744248347</v>
      </c>
      <c r="BY819" s="87">
        <f>SUMIFS($AV$3:AV821,$Q$3:Q821,"S")</f>
        <v>804.61134190572739</v>
      </c>
      <c r="BZ819" s="87">
        <f>SUMIFS($AV$3:AV821,$Q$3:Q821,"O")</f>
        <v>545.55929999969885</v>
      </c>
    </row>
    <row r="820" spans="1:78" ht="15.75" customHeight="1">
      <c r="A820" s="45" t="s">
        <v>2311</v>
      </c>
      <c r="B820" s="59"/>
      <c r="C820" s="46"/>
      <c r="D820" s="46"/>
      <c r="E820" s="66"/>
      <c r="F820" s="47"/>
      <c r="G820" s="48"/>
      <c r="H820" s="49"/>
      <c r="I820" s="49"/>
      <c r="J820" s="49"/>
      <c r="K820" s="50"/>
      <c r="L820" s="49"/>
      <c r="M820" s="49"/>
      <c r="N820" s="49"/>
      <c r="O820" s="50"/>
      <c r="P820" s="50"/>
      <c r="Q820" s="50"/>
      <c r="R820" s="50"/>
      <c r="S820" s="50"/>
      <c r="T820" s="50"/>
      <c r="U820" s="50"/>
      <c r="V820" s="50"/>
      <c r="W820" s="50"/>
      <c r="X820" s="50"/>
      <c r="Y820" s="50"/>
      <c r="Z820" s="50"/>
      <c r="AA820" s="52"/>
      <c r="AB820" s="52"/>
      <c r="AC820" s="52"/>
      <c r="AD820" s="231"/>
      <c r="AE820" s="49"/>
      <c r="AF820" s="84"/>
      <c r="AG820" s="49"/>
      <c r="AH820" s="49"/>
      <c r="AI820" s="49"/>
      <c r="AJ820" s="226"/>
      <c r="AK820" s="49"/>
      <c r="AL820" s="113">
        <f t="shared" si="336"/>
        <v>0</v>
      </c>
      <c r="AM820" s="113">
        <f t="shared" si="333"/>
        <v>0</v>
      </c>
      <c r="AN820" s="218"/>
      <c r="AO820" s="49"/>
      <c r="AP820" s="49"/>
      <c r="AQ820" s="84" t="str">
        <f>UPPER(RIGHT(Journal_Live[[#This Row],[DURATION ]]))</f>
        <v/>
      </c>
      <c r="AR820" s="49"/>
      <c r="AS820" s="55"/>
      <c r="AT820" s="55">
        <f t="shared" si="334"/>
        <v>0</v>
      </c>
      <c r="AU820" s="54">
        <f t="shared" si="335"/>
        <v>0</v>
      </c>
      <c r="AV820" s="56">
        <f t="shared" si="337"/>
        <v>0</v>
      </c>
      <c r="AW820" s="57"/>
      <c r="AX820" s="153" t="s">
        <v>2542</v>
      </c>
      <c r="AY820" s="153" t="s">
        <v>2543</v>
      </c>
      <c r="AZ820" s="153" t="s">
        <v>2544</v>
      </c>
      <c r="BA820" s="153" t="s">
        <v>2545</v>
      </c>
      <c r="BB820" s="153" t="s">
        <v>2546</v>
      </c>
      <c r="BC820" s="153"/>
      <c r="BD820" s="151"/>
      <c r="BE820" s="152"/>
      <c r="BF820" s="151"/>
      <c r="BG820" s="94">
        <f>SUM($AV$4:AV820)</f>
        <v>4991.829019347917</v>
      </c>
      <c r="BH820" s="95">
        <f>SUM($AU$4:AU820)</f>
        <v>58846.423836163987</v>
      </c>
      <c r="BI820" s="80">
        <f>SUMIFS($AU$3:AU822,$Q$3:Q822,"F")</f>
        <v>37307.078121878127</v>
      </c>
      <c r="BJ820" s="80">
        <f>SUMIFS($AU$3:AU822,$Q$3:Q822,"S")</f>
        <v>23922.28571428571</v>
      </c>
      <c r="BK820" s="87">
        <f>SUMIFS($AU$3:AU822,$P$3:P822,"W")</f>
        <v>34224.14383616417</v>
      </c>
      <c r="BL820" s="87">
        <f>SUMIFS($AU$3:AU822,$P$3:P822,"R")</f>
        <v>21652.400000000325</v>
      </c>
      <c r="BM820" s="87">
        <f>SUMIFS($AU$3:AU822,$AQ$3:AQ822,"M")</f>
        <v>12669.179999998996</v>
      </c>
      <c r="BN820" s="87">
        <f>SUMIFS($AU$3:AU822,$AQ$3:AQ822,"H")</f>
        <v>13563.200000001041</v>
      </c>
      <c r="BO820" s="87">
        <f>SUMIFS($AU$3:AU822,$AQ$3:AQ822,"D")</f>
        <v>15382.377472527351</v>
      </c>
      <c r="BP820" s="87">
        <f>SUMIFS($AS$3:AS1310,$AO$3:AO1310,"W")</f>
        <v>0</v>
      </c>
      <c r="BQ820" s="87">
        <f>SUMIFS($AU$3:AU822,$Q$3:Q822,"O")</f>
        <v>-5006.9399999998313</v>
      </c>
      <c r="BR820" s="87">
        <f>SUMIFS($AU$3:AU822,$AA$3:AA822,"*")</f>
        <v>44419.522077922011</v>
      </c>
      <c r="BS820" s="87">
        <f>SUMIFS($AU$3:AU822,$AB$3:AB822,"*")</f>
        <v>14347.859999999973</v>
      </c>
      <c r="BT820" s="87">
        <f>SUMIFS($AU$3:AU822,$AC$3:AC822,"*")</f>
        <v>47147.078121878294</v>
      </c>
      <c r="BU820" s="87">
        <f>SUMIFS($AU$3:AU822,$AA$3:AA822,"*",$AB$3:AB822,"*")</f>
        <v>8011.9999999997544</v>
      </c>
      <c r="BV820" s="87">
        <f>SUMIFS($AU$3:AU822,$AA$3:AA822,"*",$AC$3:AC822,"*")</f>
        <v>33840.036363636536</v>
      </c>
      <c r="BW820" s="87">
        <f>SUMIFS($AU$3:AU822,$AB$3:AB822,"*",$AC$3:AC822,"*")</f>
        <v>10736</v>
      </c>
      <c r="BX820" s="87">
        <f>SUMIFS($AV$3:AV822,$Q$3:Q822,"F")</f>
        <v>493.65837744248347</v>
      </c>
      <c r="BY820" s="87">
        <f>SUMIFS($AV$3:AV822,$Q$3:Q822,"S")</f>
        <v>804.61134190572739</v>
      </c>
      <c r="BZ820" s="87">
        <f>SUMIFS($AV$3:AV822,$Q$3:Q822,"O")</f>
        <v>545.55929999969885</v>
      </c>
    </row>
    <row r="821" spans="1:78" ht="15.75" customHeight="1">
      <c r="A821" s="45" t="s">
        <v>2311</v>
      </c>
      <c r="B821" s="59"/>
      <c r="C821" s="46"/>
      <c r="D821" s="46"/>
      <c r="E821" s="66"/>
      <c r="F821" s="47"/>
      <c r="G821" s="48"/>
      <c r="H821" s="49"/>
      <c r="I821" s="49"/>
      <c r="J821" s="49"/>
      <c r="K821" s="50"/>
      <c r="L821" s="49"/>
      <c r="M821" s="49"/>
      <c r="N821" s="49"/>
      <c r="O821" s="50"/>
      <c r="P821" s="50"/>
      <c r="Q821" s="50"/>
      <c r="R821" s="50"/>
      <c r="S821" s="50"/>
      <c r="T821" s="50"/>
      <c r="U821" s="50"/>
      <c r="V821" s="50"/>
      <c r="W821" s="50"/>
      <c r="X821" s="50"/>
      <c r="Y821" s="50"/>
      <c r="Z821" s="50"/>
      <c r="AA821" s="52"/>
      <c r="AB821" s="52"/>
      <c r="AC821" s="52"/>
      <c r="AD821" s="231"/>
      <c r="AE821" s="49"/>
      <c r="AF821" s="84"/>
      <c r="AG821" s="49"/>
      <c r="AH821" s="49"/>
      <c r="AI821" s="49"/>
      <c r="AJ821" s="226"/>
      <c r="AK821" s="49"/>
      <c r="AL821" s="113">
        <f t="shared" si="332"/>
        <v>0</v>
      </c>
      <c r="AM821" s="113">
        <f t="shared" si="333"/>
        <v>0</v>
      </c>
      <c r="AN821" s="218"/>
      <c r="AO821" s="49"/>
      <c r="AP821" s="49"/>
      <c r="AQ821" s="84" t="str">
        <f>UPPER(RIGHT(Journal_Live[[#This Row],[DURATION ]]))</f>
        <v/>
      </c>
      <c r="AR821" s="49"/>
      <c r="AS821" s="55"/>
      <c r="AT821" s="55">
        <f t="shared" si="334"/>
        <v>0</v>
      </c>
      <c r="AU821" s="54">
        <f t="shared" si="335"/>
        <v>0</v>
      </c>
      <c r="AV821" s="56">
        <f t="shared" si="331"/>
        <v>0</v>
      </c>
      <c r="AW821" s="57"/>
      <c r="AX821" s="153" t="s">
        <v>2547</v>
      </c>
      <c r="AY821" s="153" t="s">
        <v>2548</v>
      </c>
      <c r="AZ821" s="153" t="s">
        <v>2549</v>
      </c>
      <c r="BA821" s="153" t="s">
        <v>2550</v>
      </c>
      <c r="BB821" s="153"/>
      <c r="BC821" s="153"/>
      <c r="BD821" s="151"/>
      <c r="BE821" s="152"/>
      <c r="BF821" s="151"/>
      <c r="BG821" s="94">
        <f>SUM($AV$4:AV821)</f>
        <v>4991.829019347917</v>
      </c>
      <c r="BH821" s="95">
        <f>SUM($AU$4:AU821)</f>
        <v>58846.423836163987</v>
      </c>
      <c r="BI821" s="80">
        <f>SUMIFS($AU$3:AU836,$Q$3:Q836,"F")</f>
        <v>37211.078121878127</v>
      </c>
      <c r="BJ821" s="80">
        <f>SUMIFS($AU$3:AU836,$Q$3:Q836,"S")</f>
        <v>25058.28571428571</v>
      </c>
      <c r="BK821" s="87">
        <f>SUMIFS($AU$3:AU836,$P$3:P836,"W")</f>
        <v>34608.14383616417</v>
      </c>
      <c r="BL821" s="87">
        <f>SUMIFS($AU$3:AU836,$P$3:P836,"R")</f>
        <v>22308.400000000325</v>
      </c>
      <c r="BM821" s="87">
        <f>SUMIFS($AU$3:AU836,$AQ$3:AQ836,"M")</f>
        <v>12669.179999998996</v>
      </c>
      <c r="BN821" s="87">
        <f>SUMIFS($AU$3:AU836,$AQ$3:AQ836,"H")</f>
        <v>14363.200000001041</v>
      </c>
      <c r="BO821" s="87">
        <f>SUMIFS($AU$3:AU836,$AQ$3:AQ836,"D")</f>
        <v>15062.377472527351</v>
      </c>
      <c r="BP821" s="87">
        <f>SUMIFS($AS$3:AS1311,$AO$3:AO1311,"W")</f>
        <v>0</v>
      </c>
      <c r="BQ821" s="87">
        <f>SUMIFS($AU$3:AU836,$Q$3:Q836,"O")</f>
        <v>-5006.9399999998313</v>
      </c>
      <c r="BR821" s="87">
        <f>SUMIFS($AU$3:AU836,$AA$3:AA836,"*")</f>
        <v>45123.522077922011</v>
      </c>
      <c r="BS821" s="87">
        <f>SUMIFS($AU$3:AU836,$AB$3:AB836,"*")</f>
        <v>14251.859999999973</v>
      </c>
      <c r="BT821" s="87">
        <f>SUMIFS($AU$3:AU836,$AC$3:AC836,"*")</f>
        <v>47387.078121878294</v>
      </c>
      <c r="BU821" s="87">
        <f>SUMIFS($AU$3:AU836,$AA$3:AA836,"*",$AB$3:AB836,"*")</f>
        <v>7915.9999999997544</v>
      </c>
      <c r="BV821" s="87">
        <f>SUMIFS($AU$3:AU836,$AA$3:AA836,"*",$AC$3:AC836,"*")</f>
        <v>33744.036363636536</v>
      </c>
      <c r="BW821" s="87">
        <f>SUMIFS($AU$3:AU836,$AB$3:AB836,"*",$AC$3:AC836,"*")</f>
        <v>10640</v>
      </c>
      <c r="BX821" s="87">
        <f>SUMIFS($AV$3:AV836,$Q$3:Q836,"F")</f>
        <v>488.85837744248346</v>
      </c>
      <c r="BY821" s="87">
        <f>SUMIFS($AV$3:AV836,$Q$3:Q836,"S")</f>
        <v>820.61134190572739</v>
      </c>
      <c r="BZ821" s="87">
        <f>SUMIFS($AV$3:AV836,$Q$3:Q836,"O")</f>
        <v>545.55929999969885</v>
      </c>
    </row>
    <row r="822" spans="1:78" ht="15.75" customHeight="1">
      <c r="A822" s="45" t="s">
        <v>2311</v>
      </c>
      <c r="B822" s="59">
        <v>45461</v>
      </c>
      <c r="C822" s="46" t="s">
        <v>2017</v>
      </c>
      <c r="D822" s="46" t="s">
        <v>98</v>
      </c>
      <c r="E822" s="66"/>
      <c r="F822" s="47"/>
      <c r="G822" s="170" t="s">
        <v>1716</v>
      </c>
      <c r="H822" s="49"/>
      <c r="I822" s="49"/>
      <c r="J822" s="49"/>
      <c r="K822" s="50"/>
      <c r="L822" s="49">
        <v>1</v>
      </c>
      <c r="M822" s="49"/>
      <c r="N822" s="49"/>
      <c r="O822" s="50" t="s">
        <v>100</v>
      </c>
      <c r="P822" s="50" t="s">
        <v>101</v>
      </c>
      <c r="Q822" s="50" t="s">
        <v>102</v>
      </c>
      <c r="R822" s="50">
        <v>60</v>
      </c>
      <c r="S822" s="50">
        <v>2</v>
      </c>
      <c r="T822" s="50">
        <v>55</v>
      </c>
      <c r="U822" s="50" t="s">
        <v>22</v>
      </c>
      <c r="V822" s="50"/>
      <c r="W822" s="50"/>
      <c r="X822" s="50"/>
      <c r="Y822" s="51">
        <f>IF(ISBLANK(O822),"",(IF(O822=UPPER("IB"),0.005,0.01)))</f>
        <v>0.01</v>
      </c>
      <c r="Z822" s="52">
        <f>IF(ISBLANK(O822),"",IF(O822="IB",8.63*200,IF(O822="IR",16*100,IF(O822="YT",20*100,IF(O822="YT-XT",24*200,IF(O822="TED",80*100,IF(O822="IR|YT",300*100)))))))</f>
        <v>1600</v>
      </c>
      <c r="AA822" s="52"/>
      <c r="AB822" s="52"/>
      <c r="AC822" s="52" t="s">
        <v>2551</v>
      </c>
      <c r="AD822" s="231">
        <v>-0.1</v>
      </c>
      <c r="AE822" s="49"/>
      <c r="AF822" s="84"/>
      <c r="AG822" s="49"/>
      <c r="AH822" s="49"/>
      <c r="AI822" s="49"/>
      <c r="AJ822" s="226"/>
      <c r="AK822" s="49"/>
      <c r="AL822" s="113">
        <f t="shared" si="330"/>
        <v>-32</v>
      </c>
      <c r="AM822" s="113">
        <f t="shared" si="333"/>
        <v>-1856</v>
      </c>
      <c r="AN822" s="218"/>
      <c r="AO822" s="49"/>
      <c r="AP822" s="49" t="s">
        <v>183</v>
      </c>
      <c r="AQ822" s="84" t="s">
        <v>155</v>
      </c>
      <c r="AR822" s="49" t="s">
        <v>2552</v>
      </c>
      <c r="AS822" s="55">
        <v>-0.1</v>
      </c>
      <c r="AT822" s="55">
        <f t="shared" si="334"/>
        <v>0</v>
      </c>
      <c r="AU822" s="54">
        <f t="shared" si="335"/>
        <v>0</v>
      </c>
      <c r="AV822" s="56">
        <f t="shared" si="329"/>
        <v>0</v>
      </c>
      <c r="AW822" s="57" t="s">
        <v>155</v>
      </c>
      <c r="AX822" s="151" t="s">
        <v>1924</v>
      </c>
      <c r="AY822" s="153" t="s">
        <v>2553</v>
      </c>
      <c r="AZ822" s="186" t="s">
        <v>2554</v>
      </c>
      <c r="BA822" s="153"/>
      <c r="BB822" s="153"/>
      <c r="BC822" s="153"/>
      <c r="BD822" s="151"/>
      <c r="BE822" s="152"/>
      <c r="BF822" s="151"/>
      <c r="BG822" s="94">
        <f>SUM($AV$4:AV822)</f>
        <v>4991.829019347917</v>
      </c>
      <c r="BH822" s="95">
        <f>SUM($AU$4:AU822)</f>
        <v>58846.423836163987</v>
      </c>
      <c r="BI822" s="80">
        <f>SUMIFS($AU$3:AU892,$Q$3:Q892,"F")</f>
        <v>29235.078121878127</v>
      </c>
      <c r="BJ822" s="80">
        <f>SUMIFS($AU$3:AU892,$Q$3:Q892,"S")</f>
        <v>17938.285714285706</v>
      </c>
      <c r="BK822" s="87">
        <f>SUMIFS($AU$3:AU892,$P$3:P892,"W")</f>
        <v>17144.143836163403</v>
      </c>
      <c r="BL822" s="87">
        <f>SUMIFS($AU$3:AU892,$P$3:P892,"R")</f>
        <v>22616.400000000325</v>
      </c>
      <c r="BM822" s="87">
        <f>SUMIFS($AU$3:AU892,$AQ$3:AQ892,"M")</f>
        <v>8875.1799999983887</v>
      </c>
      <c r="BN822" s="87">
        <f>SUMIFS($AU$3:AU892,$AQ$3:AQ892,"H")</f>
        <v>11643.200000000877</v>
      </c>
      <c r="BO822" s="87">
        <f>SUMIFS($AU$3:AU892,$AQ$3:AQ892,"D")</f>
        <v>13122.377472527351</v>
      </c>
      <c r="BP822" s="87">
        <f>SUMIFS($AS$3:AS1312,$AO$3:AO1312,"W")</f>
        <v>0</v>
      </c>
      <c r="BQ822" s="87">
        <f>SUMIFS($AU$3:AU892,$Q$3:Q892,"O")</f>
        <v>-9340.9400000006026</v>
      </c>
      <c r="BR822" s="87">
        <f>SUMIFS($AU$3:AU892,$AA$3:AA892,"*")</f>
        <v>37881.5220779214</v>
      </c>
      <c r="BS822" s="87">
        <f>SUMIFS($AU$3:AU892,$AB$3:AB892,"*")</f>
        <v>7475.8599999999715</v>
      </c>
      <c r="BT822" s="87">
        <f>SUMIFS($AU$3:AU892,$AC$3:AC892,"*")</f>
        <v>33251.078121878119</v>
      </c>
      <c r="BU822" s="87">
        <f>SUMIFS($AU$3:AU892,$AA$3:AA892,"*",$AB$3:AB892,"*")</f>
        <v>7915.9999999997544</v>
      </c>
      <c r="BV822" s="87">
        <f>SUMIFS($AU$3:AU892,$AA$3:AA892,"*",$AC$3:AC892,"*")</f>
        <v>29696.036363636529</v>
      </c>
      <c r="BW822" s="87">
        <f>SUMIFS($AU$3:AU892,$AB$3:AB892,"*",$AC$3:AC892,"*")</f>
        <v>3863.9999999999991</v>
      </c>
      <c r="BX822" s="87">
        <f>SUMIFS($AV$3:AV892,$Q$3:Q892,"F")</f>
        <v>383.04019562430165</v>
      </c>
      <c r="BY822" s="87">
        <f>SUMIFS($AV$3:AV892,$Q$3:Q892,"S")</f>
        <v>676.61134190572739</v>
      </c>
      <c r="BZ822" s="87">
        <f>SUMIFS($AV$3:AV892,$Q$3:Q892,"O")</f>
        <v>378.55929999967736</v>
      </c>
    </row>
    <row r="823" spans="1:78" ht="15.75" customHeight="1">
      <c r="A823" s="45" t="s">
        <v>2311</v>
      </c>
      <c r="B823" s="59">
        <v>45461</v>
      </c>
      <c r="C823" s="46" t="s">
        <v>2555</v>
      </c>
      <c r="D823" s="46" t="s">
        <v>98</v>
      </c>
      <c r="E823" s="66"/>
      <c r="F823" s="47"/>
      <c r="G823" s="48" t="s">
        <v>1501</v>
      </c>
      <c r="H823" s="49"/>
      <c r="I823" s="49"/>
      <c r="J823" s="49"/>
      <c r="K823" s="50"/>
      <c r="L823" s="49"/>
      <c r="M823" s="49"/>
      <c r="N823" s="49"/>
      <c r="O823" s="50"/>
      <c r="P823" s="50"/>
      <c r="Q823" s="50"/>
      <c r="R823" s="50"/>
      <c r="S823" s="50"/>
      <c r="T823" s="50"/>
      <c r="U823" s="50"/>
      <c r="V823" s="50"/>
      <c r="W823" s="50"/>
      <c r="X823" s="50"/>
      <c r="Y823" s="51"/>
      <c r="Z823" s="52"/>
      <c r="AA823" s="52"/>
      <c r="AB823" s="52"/>
      <c r="AC823" s="52"/>
      <c r="AD823" s="231"/>
      <c r="AE823" s="49"/>
      <c r="AF823" s="84"/>
      <c r="AG823" s="49"/>
      <c r="AH823" s="49"/>
      <c r="AI823" s="49"/>
      <c r="AJ823" s="226"/>
      <c r="AK823" s="49"/>
      <c r="AL823" s="113">
        <f t="shared" si="330"/>
        <v>0</v>
      </c>
      <c r="AM823" s="113">
        <f t="shared" si="333"/>
        <v>0</v>
      </c>
      <c r="AN823" s="218"/>
      <c r="AO823" s="49"/>
      <c r="AP823" s="49"/>
      <c r="AQ823" s="84" t="str">
        <f>UPPER(RIGHT(Journal_Live[[#This Row],[DURATION ]]))</f>
        <v/>
      </c>
      <c r="AR823" s="49"/>
      <c r="AS823" s="55"/>
      <c r="AT823" s="55">
        <f t="shared" si="334"/>
        <v>0</v>
      </c>
      <c r="AU823" s="54">
        <f t="shared" si="335"/>
        <v>0</v>
      </c>
      <c r="AV823" s="56">
        <f t="shared" si="329"/>
        <v>0</v>
      </c>
      <c r="AW823" s="57"/>
      <c r="AX823" s="153" t="s">
        <v>2556</v>
      </c>
      <c r="AY823" s="153" t="s">
        <v>2557</v>
      </c>
      <c r="AZ823" s="151" t="s">
        <v>2558</v>
      </c>
      <c r="BA823" s="153"/>
      <c r="BB823" s="153"/>
      <c r="BC823" s="153"/>
      <c r="BD823" s="151"/>
      <c r="BE823" s="152"/>
      <c r="BF823" s="151"/>
      <c r="BG823" s="94">
        <f>SUM($AV$4:AV823)</f>
        <v>4991.829019347917</v>
      </c>
      <c r="BH823" s="95">
        <f>SUM($AU$4:AU823)</f>
        <v>58846.423836163987</v>
      </c>
      <c r="BI823" s="80">
        <f>SUMIFS($AU$3:AU825,$Q$3:Q825,"F")</f>
        <v>37307.078121878127</v>
      </c>
      <c r="BJ823" s="80">
        <f>SUMIFS($AU$3:AU825,$Q$3:Q825,"S")</f>
        <v>23922.28571428571</v>
      </c>
      <c r="BK823" s="87">
        <f>SUMIFS($AU$3:AU825,$P$3:P825,"W")</f>
        <v>34224.14383616417</v>
      </c>
      <c r="BL823" s="87">
        <f>SUMIFS($AU$3:AU825,$P$3:P825,"R")</f>
        <v>21652.400000000325</v>
      </c>
      <c r="BM823" s="87">
        <f>SUMIFS($AU$3:AU825,$AQ$3:AQ825,"M")</f>
        <v>12669.179999998996</v>
      </c>
      <c r="BN823" s="87">
        <f>SUMIFS($AU$3:AU825,$AQ$3:AQ825,"H")</f>
        <v>13563.200000001041</v>
      </c>
      <c r="BO823" s="87">
        <f>SUMIFS($AU$3:AU825,$AQ$3:AQ825,"D")</f>
        <v>15382.377472527351</v>
      </c>
      <c r="BP823" s="87">
        <f>SUMIFS($AS$3:AS1309,$AO$3:AO1309,"W")</f>
        <v>0</v>
      </c>
      <c r="BQ823" s="87">
        <f>SUMIFS($AU$3:AU825,$Q$3:Q825,"O")</f>
        <v>-5006.9399999998313</v>
      </c>
      <c r="BR823" s="87">
        <f>SUMIFS($AU$3:AU825,$AA$3:AA825,"*")</f>
        <v>44419.522077922011</v>
      </c>
      <c r="BS823" s="87">
        <f>SUMIFS($AU$3:AU825,$AB$3:AB825,"*")</f>
        <v>14347.859999999973</v>
      </c>
      <c r="BT823" s="87">
        <f>SUMIFS($AU$3:AU825,$AC$3:AC825,"*")</f>
        <v>47147.078121878294</v>
      </c>
      <c r="BU823" s="87">
        <f>SUMIFS($AU$3:AU825,$AA$3:AA825,"*",$AB$3:AB825,"*")</f>
        <v>8011.9999999997544</v>
      </c>
      <c r="BV823" s="87">
        <f>SUMIFS($AU$3:AU825,$AA$3:AA825,"*",$AC$3:AC825,"*")</f>
        <v>33840.036363636536</v>
      </c>
      <c r="BW823" s="87">
        <f>SUMIFS($AU$3:AU825,$AB$3:AB825,"*",$AC$3:AC825,"*")</f>
        <v>10736</v>
      </c>
      <c r="BX823" s="87">
        <f>SUMIFS($AV$3:AV825,$Q$3:Q825,"F")</f>
        <v>493.65837744248347</v>
      </c>
      <c r="BY823" s="87">
        <f>SUMIFS($AV$3:AV825,$Q$3:Q825,"S")</f>
        <v>804.61134190572739</v>
      </c>
      <c r="BZ823" s="87">
        <f>SUMIFS($AV$3:AV825,$Q$3:Q825,"O")</f>
        <v>545.55929999969885</v>
      </c>
    </row>
    <row r="824" spans="1:78" ht="15.75" customHeight="1">
      <c r="A824" s="45" t="s">
        <v>2311</v>
      </c>
      <c r="B824" s="59">
        <v>45461</v>
      </c>
      <c r="C824" s="46" t="s">
        <v>1143</v>
      </c>
      <c r="D824" s="46" t="s">
        <v>98</v>
      </c>
      <c r="E824" s="66" t="s">
        <v>2559</v>
      </c>
      <c r="F824" s="47" t="s">
        <v>2560</v>
      </c>
      <c r="G824" s="48"/>
      <c r="H824" s="49"/>
      <c r="I824" s="49"/>
      <c r="J824" s="49">
        <v>1</v>
      </c>
      <c r="K824" s="50" t="s">
        <v>155</v>
      </c>
      <c r="L824" s="49"/>
      <c r="M824" s="49"/>
      <c r="N824" s="49"/>
      <c r="O824" s="50"/>
      <c r="P824" s="50"/>
      <c r="Q824" s="50"/>
      <c r="R824" s="50"/>
      <c r="S824" s="50"/>
      <c r="T824" s="50"/>
      <c r="U824" s="50"/>
      <c r="V824" s="50"/>
      <c r="W824" s="50"/>
      <c r="X824" s="50"/>
      <c r="Y824" s="50"/>
      <c r="Z824" s="50"/>
      <c r="AA824" s="52"/>
      <c r="AB824" s="52"/>
      <c r="AC824" s="52"/>
      <c r="AD824" s="231"/>
      <c r="AE824" s="49"/>
      <c r="AF824" s="84"/>
      <c r="AG824" s="49"/>
      <c r="AH824" s="49"/>
      <c r="AI824" s="49"/>
      <c r="AJ824" s="226"/>
      <c r="AK824" s="49"/>
      <c r="AL824" s="113">
        <f t="shared" si="330"/>
        <v>0</v>
      </c>
      <c r="AM824" s="113">
        <f t="shared" si="333"/>
        <v>0</v>
      </c>
      <c r="AN824" s="218"/>
      <c r="AO824" s="49"/>
      <c r="AP824" s="49"/>
      <c r="AQ824" s="84" t="str">
        <f>UPPER(RIGHT(Journal_Live[[#This Row],[DURATION ]]))</f>
        <v/>
      </c>
      <c r="AR824" s="49"/>
      <c r="AS824" s="55"/>
      <c r="AT824" s="55">
        <f t="shared" si="334"/>
        <v>0</v>
      </c>
      <c r="AU824" s="54">
        <f t="shared" si="335"/>
        <v>0</v>
      </c>
      <c r="AV824" s="56">
        <f t="shared" si="329"/>
        <v>0</v>
      </c>
      <c r="AW824" s="57"/>
      <c r="AX824" s="153"/>
      <c r="AY824" s="153"/>
      <c r="AZ824" s="153"/>
      <c r="BA824" s="153"/>
      <c r="BB824" s="153"/>
      <c r="BC824" s="153"/>
      <c r="BD824" s="151"/>
      <c r="BE824" s="152"/>
      <c r="BF824" s="151"/>
      <c r="BG824" s="94">
        <f>SUM($AV$4:AV824)</f>
        <v>4991.829019347917</v>
      </c>
      <c r="BH824" s="95">
        <f>SUM($AU$4:AU824)</f>
        <v>58846.423836163987</v>
      </c>
      <c r="BI824" s="80">
        <f>SUMIFS($AU$3:AU831,$Q$3:Q831,"F")</f>
        <v>37307.078121878127</v>
      </c>
      <c r="BJ824" s="80">
        <f>SUMIFS($AU$3:AU831,$Q$3:Q831,"S")</f>
        <v>24402.28571428571</v>
      </c>
      <c r="BK824" s="87">
        <f>SUMIFS($AU$3:AU831,$P$3:P831,"W")</f>
        <v>34704.14383616417</v>
      </c>
      <c r="BL824" s="87">
        <f>SUMIFS($AU$3:AU831,$P$3:P831,"R")</f>
        <v>21652.400000000325</v>
      </c>
      <c r="BM824" s="87">
        <f>SUMIFS($AU$3:AU831,$AQ$3:AQ831,"M")</f>
        <v>12669.179999998996</v>
      </c>
      <c r="BN824" s="87">
        <f>SUMIFS($AU$3:AU831,$AQ$3:AQ831,"H")</f>
        <v>14363.200000001041</v>
      </c>
      <c r="BO824" s="87">
        <f>SUMIFS($AU$3:AU831,$AQ$3:AQ831,"D")</f>
        <v>15062.377472527351</v>
      </c>
      <c r="BP824" s="87">
        <f>SUMIFS($AS$3:AS1310,$AO$3:AO1310,"W")</f>
        <v>0</v>
      </c>
      <c r="BQ824" s="87">
        <f>SUMIFS($AU$3:AU831,$Q$3:Q831,"O")</f>
        <v>-5006.9399999998313</v>
      </c>
      <c r="BR824" s="87">
        <f>SUMIFS($AU$3:AU831,$AA$3:AA831,"*")</f>
        <v>45219.522077922011</v>
      </c>
      <c r="BS824" s="87">
        <f>SUMIFS($AU$3:AU831,$AB$3:AB831,"*")</f>
        <v>14347.859999999973</v>
      </c>
      <c r="BT824" s="87">
        <f>SUMIFS($AU$3:AU831,$AC$3:AC831,"*")</f>
        <v>46827.078121878294</v>
      </c>
      <c r="BU824" s="87">
        <f>SUMIFS($AU$3:AU831,$AA$3:AA831,"*",$AB$3:AB831,"*")</f>
        <v>8011.9999999997544</v>
      </c>
      <c r="BV824" s="87">
        <f>SUMIFS($AU$3:AU831,$AA$3:AA831,"*",$AC$3:AC831,"*")</f>
        <v>33840.036363636536</v>
      </c>
      <c r="BW824" s="87">
        <f>SUMIFS($AU$3:AU831,$AB$3:AB831,"*",$AC$3:AC831,"*")</f>
        <v>10736</v>
      </c>
      <c r="BX824" s="87">
        <f>SUMIFS($AV$3:AV831,$Q$3:Q831,"F")</f>
        <v>493.65837744248347</v>
      </c>
      <c r="BY824" s="87">
        <f>SUMIFS($AV$3:AV831,$Q$3:Q831,"S")</f>
        <v>804.61134190572739</v>
      </c>
      <c r="BZ824" s="87">
        <f>SUMIFS($AV$3:AV831,$Q$3:Q831,"O")</f>
        <v>545.55929999969885</v>
      </c>
    </row>
    <row r="825" spans="1:78" ht="15.75" customHeight="1">
      <c r="A825" s="45" t="s">
        <v>2311</v>
      </c>
      <c r="B825" s="59"/>
      <c r="C825" s="46"/>
      <c r="D825" s="46"/>
      <c r="E825" s="66" t="s">
        <v>2561</v>
      </c>
      <c r="F825" s="47"/>
      <c r="G825" s="48"/>
      <c r="H825" s="49"/>
      <c r="I825" s="49"/>
      <c r="J825" s="49">
        <v>1</v>
      </c>
      <c r="K825" s="50" t="s">
        <v>155</v>
      </c>
      <c r="L825" s="49"/>
      <c r="M825" s="49"/>
      <c r="N825" s="49"/>
      <c r="O825" s="50"/>
      <c r="P825" s="50"/>
      <c r="Q825" s="50"/>
      <c r="R825" s="50"/>
      <c r="S825" s="50"/>
      <c r="T825" s="50"/>
      <c r="U825" s="50"/>
      <c r="V825" s="50"/>
      <c r="W825" s="50"/>
      <c r="X825" s="50"/>
      <c r="Y825" s="50"/>
      <c r="Z825" s="50"/>
      <c r="AA825" s="52"/>
      <c r="AB825" s="52"/>
      <c r="AC825" s="52"/>
      <c r="AD825" s="231"/>
      <c r="AE825" s="49"/>
      <c r="AF825" s="84"/>
      <c r="AG825" s="49"/>
      <c r="AH825" s="49"/>
      <c r="AI825" s="49"/>
      <c r="AJ825" s="226"/>
      <c r="AK825" s="49"/>
      <c r="AL825" s="113">
        <f t="shared" si="330"/>
        <v>0</v>
      </c>
      <c r="AM825" s="113">
        <f t="shared" si="333"/>
        <v>0</v>
      </c>
      <c r="AN825" s="218"/>
      <c r="AO825" s="49"/>
      <c r="AP825" s="49"/>
      <c r="AQ825" s="84" t="str">
        <f>UPPER(RIGHT(Journal_Live[[#This Row],[DURATION ]]))</f>
        <v/>
      </c>
      <c r="AR825" s="49"/>
      <c r="AS825" s="55"/>
      <c r="AT825" s="55">
        <f t="shared" si="334"/>
        <v>0</v>
      </c>
      <c r="AU825" s="54">
        <f t="shared" si="335"/>
        <v>0</v>
      </c>
      <c r="AV825" s="56">
        <f t="shared" si="329"/>
        <v>0</v>
      </c>
      <c r="AW825" s="57"/>
      <c r="AX825" s="153"/>
      <c r="AY825" s="153"/>
      <c r="AZ825" s="153"/>
      <c r="BA825" s="153"/>
      <c r="BB825" s="153"/>
      <c r="BC825" s="153"/>
      <c r="BD825" s="151"/>
      <c r="BE825" s="152"/>
      <c r="BF825" s="151"/>
      <c r="BG825" s="94">
        <f>SUM($AV$4:AV825)</f>
        <v>4991.829019347917</v>
      </c>
      <c r="BH825" s="95">
        <f>SUM($AU$4:AU825)</f>
        <v>58846.423836163987</v>
      </c>
      <c r="BI825" s="80">
        <f>SUMIFS($AU$3:AU836,$Q$3:Q836,"F")</f>
        <v>37211.078121878127</v>
      </c>
      <c r="BJ825" s="80">
        <f>SUMIFS($AU$3:AU836,$Q$3:Q836,"S")</f>
        <v>25058.28571428571</v>
      </c>
      <c r="BK825" s="87">
        <f>SUMIFS($AU$3:AU836,$P$3:P836,"W")</f>
        <v>34608.14383616417</v>
      </c>
      <c r="BL825" s="87">
        <f>SUMIFS($AU$3:AU836,$P$3:P836,"R")</f>
        <v>22308.400000000325</v>
      </c>
      <c r="BM825" s="87">
        <f>SUMIFS($AU$3:AU836,$AQ$3:AQ836,"M")</f>
        <v>12669.179999998996</v>
      </c>
      <c r="BN825" s="87">
        <f>SUMIFS($AU$3:AU836,$AQ$3:AQ836,"H")</f>
        <v>14363.200000001041</v>
      </c>
      <c r="BO825" s="87">
        <f>SUMIFS($AU$3:AU836,$AQ$3:AQ836,"D")</f>
        <v>15062.377472527351</v>
      </c>
      <c r="BP825" s="87">
        <f>SUMIFS($AS$3:AS1311,$AO$3:AO1311,"W")</f>
        <v>0</v>
      </c>
      <c r="BQ825" s="87">
        <f>SUMIFS($AU$3:AU836,$Q$3:Q836,"O")</f>
        <v>-5006.9399999998313</v>
      </c>
      <c r="BR825" s="87">
        <f>SUMIFS($AU$3:AU836,$AA$3:AA836,"*")</f>
        <v>45123.522077922011</v>
      </c>
      <c r="BS825" s="87">
        <f>SUMIFS($AU$3:AU836,$AB$3:AB836,"*")</f>
        <v>14251.859999999973</v>
      </c>
      <c r="BT825" s="87">
        <f>SUMIFS($AU$3:AU836,$AC$3:AC836,"*")</f>
        <v>47387.078121878294</v>
      </c>
      <c r="BU825" s="87">
        <f>SUMIFS($AU$3:AU836,$AA$3:AA836,"*",$AB$3:AB836,"*")</f>
        <v>7915.9999999997544</v>
      </c>
      <c r="BV825" s="87">
        <f>SUMIFS($AU$3:AU836,$AA$3:AA836,"*",$AC$3:AC836,"*")</f>
        <v>33744.036363636536</v>
      </c>
      <c r="BW825" s="87">
        <f>SUMIFS($AU$3:AU836,$AB$3:AB836,"*",$AC$3:AC836,"*")</f>
        <v>10640</v>
      </c>
      <c r="BX825" s="87">
        <f>SUMIFS($AV$3:AV836,$Q$3:Q836,"F")</f>
        <v>488.85837744248346</v>
      </c>
      <c r="BY825" s="87">
        <f>SUMIFS($AV$3:AV836,$Q$3:Q836,"S")</f>
        <v>820.61134190572739</v>
      </c>
      <c r="BZ825" s="87">
        <f>SUMIFS($AV$3:AV836,$Q$3:Q836,"O")</f>
        <v>545.55929999969885</v>
      </c>
    </row>
    <row r="826" spans="1:78" ht="15.75" customHeight="1">
      <c r="A826" s="45" t="s">
        <v>2311</v>
      </c>
      <c r="B826" s="59">
        <v>45461</v>
      </c>
      <c r="C826" s="46" t="s">
        <v>147</v>
      </c>
      <c r="D826" s="46" t="s">
        <v>98</v>
      </c>
      <c r="E826" s="66"/>
      <c r="F826" s="47"/>
      <c r="G826" s="104" t="s">
        <v>227</v>
      </c>
      <c r="H826" s="49"/>
      <c r="I826" s="49"/>
      <c r="J826" s="49"/>
      <c r="K826" s="50"/>
      <c r="L826" s="49">
        <v>1</v>
      </c>
      <c r="M826" s="49"/>
      <c r="N826" s="49"/>
      <c r="O826" s="50" t="s">
        <v>100</v>
      </c>
      <c r="P826" s="50" t="s">
        <v>101</v>
      </c>
      <c r="Q826" s="50" t="s">
        <v>102</v>
      </c>
      <c r="R826" s="50">
        <v>20</v>
      </c>
      <c r="S826" s="50">
        <v>0</v>
      </c>
      <c r="T826" s="50">
        <v>20</v>
      </c>
      <c r="U826" s="50" t="s">
        <v>22</v>
      </c>
      <c r="V826" s="50"/>
      <c r="W826" s="50"/>
      <c r="X826" s="50"/>
      <c r="Y826" s="51">
        <f>IF(ISBLANK(O826),"",(IF(O826=UPPER("IB"),0.005,0.01)))</f>
        <v>0.01</v>
      </c>
      <c r="Z826" s="52">
        <f>IF(ISBLANK(O826),"",IF(O826="IB",8.63*200,IF(O826="IR",16*100,IF(O826="YT",20*100,IF(O826="YT-XT",24*200,IF(O826="TED",80*100,IF(O826="IR|YT",300*100)))))))</f>
        <v>1600</v>
      </c>
      <c r="AA826" s="52"/>
      <c r="AB826" s="52"/>
      <c r="AC826" s="52" t="s">
        <v>2562</v>
      </c>
      <c r="AD826" s="231">
        <v>-0.05</v>
      </c>
      <c r="AE826" s="49"/>
      <c r="AF826" s="84"/>
      <c r="AG826" s="49"/>
      <c r="AH826" s="49"/>
      <c r="AI826" s="49"/>
      <c r="AJ826" s="226"/>
      <c r="AK826" s="49"/>
      <c r="AL826" s="113">
        <f>-0.02*Z826</f>
        <v>-32</v>
      </c>
      <c r="AM826" s="113">
        <f t="shared" si="333"/>
        <v>-640</v>
      </c>
      <c r="AN826" s="218"/>
      <c r="AO826" s="49"/>
      <c r="AP826" s="49" t="s">
        <v>279</v>
      </c>
      <c r="AQ826" s="84" t="s">
        <v>155</v>
      </c>
      <c r="AR826" s="49" t="s">
        <v>2563</v>
      </c>
      <c r="AS826" s="55">
        <v>-0.06</v>
      </c>
      <c r="AT826" s="55">
        <f t="shared" si="334"/>
        <v>-9.999999999999995E-3</v>
      </c>
      <c r="AU826" s="54">
        <f t="shared" si="335"/>
        <v>-319.99999999999989</v>
      </c>
      <c r="AV826" s="56">
        <f t="shared" ref="AV826:AV830" si="338">IF(ISBLANK(AS826),,(AT826*Z826))</f>
        <v>-15.999999999999993</v>
      </c>
      <c r="AW826" s="57" t="s">
        <v>121</v>
      </c>
      <c r="AX826" s="151" t="s">
        <v>2564</v>
      </c>
      <c r="AY826" s="153" t="s">
        <v>2565</v>
      </c>
      <c r="AZ826" s="153"/>
      <c r="BA826" s="153"/>
      <c r="BB826" s="153"/>
      <c r="BC826" s="153"/>
      <c r="BD826" s="151"/>
      <c r="BE826" s="152"/>
      <c r="BF826" s="151"/>
      <c r="BG826" s="94">
        <f>SUM($AV$4:AV826)</f>
        <v>4975.829019347917</v>
      </c>
      <c r="BH826" s="95">
        <f>SUM($AU$4:AU826)</f>
        <v>58526.423836163987</v>
      </c>
      <c r="BI826" s="80">
        <f>SUMIFS($AU$3:AU828,$Q$3:Q828,"F")</f>
        <v>37307.078121878127</v>
      </c>
      <c r="BJ826" s="80">
        <f>SUMIFS($AU$3:AU828,$Q$3:Q828,"S")</f>
        <v>24402.28571428571</v>
      </c>
      <c r="BK826" s="87">
        <f>SUMIFS($AU$3:AU828,$P$3:P828,"W")</f>
        <v>34704.14383616417</v>
      </c>
      <c r="BL826" s="87">
        <f>SUMIFS($AU$3:AU828,$P$3:P828,"R")</f>
        <v>21652.400000000325</v>
      </c>
      <c r="BM826" s="87">
        <f>SUMIFS($AU$3:AU828,$AQ$3:AQ828,"M")</f>
        <v>12669.179999998996</v>
      </c>
      <c r="BN826" s="87">
        <f>SUMIFS($AU$3:AU828,$AQ$3:AQ828,"H")</f>
        <v>14363.200000001041</v>
      </c>
      <c r="BO826" s="87">
        <f>SUMIFS($AU$3:AU828,$AQ$3:AQ828,"D")</f>
        <v>15062.377472527351</v>
      </c>
      <c r="BP826" s="87">
        <f>SUMIFS($AS$3:AS1307,$AO$3:AO1307,"W")</f>
        <v>0</v>
      </c>
      <c r="BQ826" s="87">
        <f>SUMIFS($AU$3:AU828,$Q$3:Q828,"O")</f>
        <v>-5006.9399999998313</v>
      </c>
      <c r="BR826" s="87">
        <f>SUMIFS($AU$3:AU828,$AA$3:AA828,"*")</f>
        <v>45219.522077922011</v>
      </c>
      <c r="BS826" s="87">
        <f>SUMIFS($AU$3:AU828,$AB$3:AB828,"*")</f>
        <v>14347.859999999973</v>
      </c>
      <c r="BT826" s="87">
        <f>SUMIFS($AU$3:AU828,$AC$3:AC828,"*")</f>
        <v>46827.078121878294</v>
      </c>
      <c r="BU826" s="87">
        <f>SUMIFS($AU$3:AU828,$AA$3:AA828,"*",$AB$3:AB828,"*")</f>
        <v>8011.9999999997544</v>
      </c>
      <c r="BV826" s="87">
        <f>SUMIFS($AU$3:AU828,$AA$3:AA828,"*",$AC$3:AC828,"*")</f>
        <v>33840.036363636536</v>
      </c>
      <c r="BW826" s="87">
        <f>SUMIFS($AU$3:AU828,$AB$3:AB828,"*",$AC$3:AC828,"*")</f>
        <v>10736</v>
      </c>
      <c r="BX826" s="87">
        <f>SUMIFS($AV$3:AV828,$Q$3:Q828,"F")</f>
        <v>493.65837744248347</v>
      </c>
      <c r="BY826" s="87">
        <f>SUMIFS($AV$3:AV828,$Q$3:Q828,"S")</f>
        <v>804.61134190572739</v>
      </c>
      <c r="BZ826" s="87">
        <f>SUMIFS($AV$3:AV828,$Q$3:Q828,"O")</f>
        <v>545.55929999969885</v>
      </c>
    </row>
    <row r="827" spans="1:78" ht="15.75" customHeight="1">
      <c r="A827" s="45" t="s">
        <v>2311</v>
      </c>
      <c r="B827" s="59">
        <v>45461</v>
      </c>
      <c r="C827" s="46" t="s">
        <v>147</v>
      </c>
      <c r="D827" s="46" t="s">
        <v>98</v>
      </c>
      <c r="E827" s="66"/>
      <c r="F827" s="47"/>
      <c r="G827" s="104" t="s">
        <v>227</v>
      </c>
      <c r="H827" s="49"/>
      <c r="I827" s="49"/>
      <c r="J827" s="49"/>
      <c r="K827" s="50"/>
      <c r="L827" s="49">
        <v>1</v>
      </c>
      <c r="M827" s="49"/>
      <c r="N827" s="49"/>
      <c r="O827" s="50" t="s">
        <v>100</v>
      </c>
      <c r="P827" s="50" t="s">
        <v>101</v>
      </c>
      <c r="Q827" s="50" t="s">
        <v>102</v>
      </c>
      <c r="R827" s="50">
        <v>30</v>
      </c>
      <c r="S827" s="50">
        <v>0</v>
      </c>
      <c r="T827" s="50">
        <v>20</v>
      </c>
      <c r="U827" s="50" t="s">
        <v>22</v>
      </c>
      <c r="V827" s="50"/>
      <c r="W827" s="50"/>
      <c r="X827" s="50"/>
      <c r="Y827" s="51">
        <f>IF(ISBLANK(O827),"",(IF(O827=UPPER("IB"),0.005,0.01)))</f>
        <v>0.01</v>
      </c>
      <c r="Z827" s="52">
        <f>IF(ISBLANK(O827),"",IF(O827="IB",8.63*200,IF(O827="IR",16*100,IF(O827="YT",20*100,IF(O827="YT-XT",24*200,IF(O827="TED",80*100,IF(O827="IR|YT",300*100)))))))</f>
        <v>1600</v>
      </c>
      <c r="AA827" s="52"/>
      <c r="AB827" s="52"/>
      <c r="AC827" s="52" t="s">
        <v>2562</v>
      </c>
      <c r="AD827" s="231">
        <v>-0.06</v>
      </c>
      <c r="AE827" s="49"/>
      <c r="AF827" s="84"/>
      <c r="AG827" s="49"/>
      <c r="AH827" s="49"/>
      <c r="AI827" s="49"/>
      <c r="AJ827" s="226"/>
      <c r="AK827" s="49"/>
      <c r="AL827" s="113">
        <f>0*Z827</f>
        <v>0</v>
      </c>
      <c r="AM827" s="113">
        <f t="shared" si="333"/>
        <v>0</v>
      </c>
      <c r="AN827" s="218"/>
      <c r="AO827" s="49"/>
      <c r="AP827" s="49"/>
      <c r="AQ827" s="84" t="str">
        <f>UPPER(RIGHT(Journal_Live[[#This Row],[DURATION ]]))</f>
        <v/>
      </c>
      <c r="AR827" s="49"/>
      <c r="AS827" s="55">
        <v>-0.06</v>
      </c>
      <c r="AT827" s="55">
        <f t="shared" si="334"/>
        <v>0</v>
      </c>
      <c r="AU827" s="54">
        <f t="shared" si="335"/>
        <v>0</v>
      </c>
      <c r="AV827" s="56">
        <f t="shared" si="338"/>
        <v>0</v>
      </c>
      <c r="AW827" s="57" t="s">
        <v>155</v>
      </c>
      <c r="AX827" s="151" t="s">
        <v>2566</v>
      </c>
      <c r="AY827" s="153"/>
      <c r="AZ827" s="153"/>
      <c r="BA827" s="153"/>
      <c r="BB827" s="153"/>
      <c r="BC827" s="153"/>
      <c r="BD827" s="151"/>
      <c r="BE827" s="152"/>
      <c r="BF827" s="151"/>
      <c r="BG827" s="94">
        <f>SUM($AV$4:AV827)</f>
        <v>4975.829019347917</v>
      </c>
      <c r="BH827" s="95">
        <f>SUM($AU$4:AU827)</f>
        <v>58526.423836163987</v>
      </c>
      <c r="BI827" s="80">
        <f>SUMIFS($AU$3:AU829,$Q$3:Q829,"F")</f>
        <v>37307.078121878127</v>
      </c>
      <c r="BJ827" s="80">
        <f>SUMIFS($AU$3:AU829,$Q$3:Q829,"S")</f>
        <v>24402.28571428571</v>
      </c>
      <c r="BK827" s="87">
        <f>SUMIFS($AU$3:AU829,$P$3:P829,"W")</f>
        <v>34704.14383616417</v>
      </c>
      <c r="BL827" s="87">
        <f>SUMIFS($AU$3:AU829,$P$3:P829,"R")</f>
        <v>21652.400000000325</v>
      </c>
      <c r="BM827" s="87">
        <f>SUMIFS($AU$3:AU829,$AQ$3:AQ829,"M")</f>
        <v>12669.179999998996</v>
      </c>
      <c r="BN827" s="87">
        <f>SUMIFS($AU$3:AU829,$AQ$3:AQ829,"H")</f>
        <v>14363.200000001041</v>
      </c>
      <c r="BO827" s="87">
        <f>SUMIFS($AU$3:AU829,$AQ$3:AQ829,"D")</f>
        <v>15062.377472527351</v>
      </c>
      <c r="BP827" s="87">
        <f>SUMIFS($AS$3:AS1308,$AO$3:AO1308,"W")</f>
        <v>0</v>
      </c>
      <c r="BQ827" s="87">
        <f>SUMIFS($AU$3:AU829,$Q$3:Q829,"O")</f>
        <v>-5006.9399999998313</v>
      </c>
      <c r="BR827" s="87">
        <f>SUMIFS($AU$3:AU829,$AA$3:AA829,"*")</f>
        <v>45219.522077922011</v>
      </c>
      <c r="BS827" s="87">
        <f>SUMIFS($AU$3:AU829,$AB$3:AB829,"*")</f>
        <v>14347.859999999973</v>
      </c>
      <c r="BT827" s="87">
        <f>SUMIFS($AU$3:AU829,$AC$3:AC829,"*")</f>
        <v>46827.078121878294</v>
      </c>
      <c r="BU827" s="87">
        <f>SUMIFS($AU$3:AU829,$AA$3:AA829,"*",$AB$3:AB829,"*")</f>
        <v>8011.9999999997544</v>
      </c>
      <c r="BV827" s="87">
        <f>SUMIFS($AU$3:AU829,$AA$3:AA829,"*",$AC$3:AC829,"*")</f>
        <v>33840.036363636536</v>
      </c>
      <c r="BW827" s="87">
        <f>SUMIFS($AU$3:AU829,$AB$3:AB829,"*",$AC$3:AC829,"*")</f>
        <v>10736</v>
      </c>
      <c r="BX827" s="87">
        <f>SUMIFS($AV$3:AV829,$Q$3:Q829,"F")</f>
        <v>493.65837744248347</v>
      </c>
      <c r="BY827" s="87">
        <f>SUMIFS($AV$3:AV829,$Q$3:Q829,"S")</f>
        <v>804.61134190572739</v>
      </c>
      <c r="BZ827" s="87">
        <f>SUMIFS($AV$3:AV829,$Q$3:Q829,"O")</f>
        <v>545.55929999969885</v>
      </c>
    </row>
    <row r="828" spans="1:78" ht="15.75" customHeight="1">
      <c r="A828" s="45" t="s">
        <v>2311</v>
      </c>
      <c r="B828" s="59">
        <v>45461</v>
      </c>
      <c r="C828" s="46" t="s">
        <v>2567</v>
      </c>
      <c r="D828" s="46" t="s">
        <v>98</v>
      </c>
      <c r="E828" s="66"/>
      <c r="F828" s="47"/>
      <c r="G828" s="104" t="s">
        <v>2568</v>
      </c>
      <c r="H828" s="49"/>
      <c r="I828" s="49"/>
      <c r="J828" s="49"/>
      <c r="K828" s="50"/>
      <c r="L828" s="49">
        <v>1</v>
      </c>
      <c r="M828" s="49"/>
      <c r="N828" s="49"/>
      <c r="O828" s="50" t="s">
        <v>100</v>
      </c>
      <c r="P828" s="50" t="s">
        <v>101</v>
      </c>
      <c r="Q828" s="50" t="s">
        <v>102</v>
      </c>
      <c r="R828" s="50">
        <v>50</v>
      </c>
      <c r="S828" s="50">
        <v>0</v>
      </c>
      <c r="T828" s="50">
        <v>50</v>
      </c>
      <c r="U828" s="50" t="s">
        <v>22</v>
      </c>
      <c r="V828" s="50"/>
      <c r="W828" s="50"/>
      <c r="X828" s="50"/>
      <c r="Y828" s="51">
        <f>IF(ISBLANK(O828),"",(IF(O828=UPPER("IB"),0.005,0.01)))</f>
        <v>0.01</v>
      </c>
      <c r="Z828" s="52">
        <f>IF(ISBLANK(O828),"",IF(O828="IB",8.63*200,IF(O828="IR",16*100,IF(O828="YT",20*100,IF(O828="YT-XT",24*200,IF(O828="TED",80*100,IF(O828="IR|YT",300*100)))))))</f>
        <v>1600</v>
      </c>
      <c r="AA828" s="52" t="s">
        <v>2569</v>
      </c>
      <c r="AB828" s="52"/>
      <c r="AC828" s="52"/>
      <c r="AD828" s="231">
        <v>-0.36</v>
      </c>
      <c r="AE828" s="49"/>
      <c r="AF828" s="84"/>
      <c r="AG828" s="49"/>
      <c r="AH828" s="49"/>
      <c r="AI828" s="49"/>
      <c r="AJ828" s="226"/>
      <c r="AK828" s="49"/>
      <c r="AL828" s="113">
        <f t="shared" ref="AL828:AL829" si="339">-0.02*Z828</f>
        <v>-32</v>
      </c>
      <c r="AM828" s="113">
        <f t="shared" si="333"/>
        <v>-1600</v>
      </c>
      <c r="AN828" s="218"/>
      <c r="AO828" s="49"/>
      <c r="AP828" s="49" t="s">
        <v>2570</v>
      </c>
      <c r="AQ828" s="84" t="s">
        <v>142</v>
      </c>
      <c r="AR828" s="49" t="s">
        <v>2571</v>
      </c>
      <c r="AS828" s="55">
        <v>-0.35</v>
      </c>
      <c r="AT828" s="55">
        <f t="shared" si="334"/>
        <v>1.0000000000000009E-2</v>
      </c>
      <c r="AU828" s="54">
        <f t="shared" si="335"/>
        <v>800.00000000000068</v>
      </c>
      <c r="AV828" s="56">
        <f t="shared" si="338"/>
        <v>16.000000000000014</v>
      </c>
      <c r="AW828" s="57" t="s">
        <v>101</v>
      </c>
      <c r="AX828" s="151" t="s">
        <v>2572</v>
      </c>
      <c r="AY828" s="151" t="s">
        <v>2573</v>
      </c>
      <c r="AZ828" s="153"/>
      <c r="BA828" s="153"/>
      <c r="BB828" s="153"/>
      <c r="BC828" s="153"/>
      <c r="BD828" s="151"/>
      <c r="BE828" s="152"/>
      <c r="BF828" s="151"/>
      <c r="BG828" s="94">
        <f>SUM($AV$4:AV828)</f>
        <v>4991.829019347917</v>
      </c>
      <c r="BH828" s="95">
        <f>SUM($AU$4:AU828)</f>
        <v>59326.423836163987</v>
      </c>
      <c r="BI828" s="80">
        <f>SUMIFS($AU$3:AU830,$Q$3:Q830,"F")</f>
        <v>37307.078121878127</v>
      </c>
      <c r="BJ828" s="80">
        <f>SUMIFS($AU$3:AU830,$Q$3:Q830,"S")</f>
        <v>24402.28571428571</v>
      </c>
      <c r="BK828" s="87">
        <f>SUMIFS($AU$3:AU830,$P$3:P830,"W")</f>
        <v>34704.14383616417</v>
      </c>
      <c r="BL828" s="87">
        <f>SUMIFS($AU$3:AU830,$P$3:P830,"R")</f>
        <v>21652.400000000325</v>
      </c>
      <c r="BM828" s="87">
        <f>SUMIFS($AU$3:AU830,$AQ$3:AQ830,"M")</f>
        <v>12669.179999998996</v>
      </c>
      <c r="BN828" s="87">
        <f>SUMIFS($AU$3:AU830,$AQ$3:AQ830,"H")</f>
        <v>14363.200000001041</v>
      </c>
      <c r="BO828" s="87">
        <f>SUMIFS($AU$3:AU830,$AQ$3:AQ830,"D")</f>
        <v>15062.377472527351</v>
      </c>
      <c r="BP828" s="87">
        <f>SUMIFS($AS$3:AS1309,$AO$3:AO1309,"W")</f>
        <v>0</v>
      </c>
      <c r="BQ828" s="87">
        <f>SUMIFS($AU$3:AU830,$Q$3:Q830,"O")</f>
        <v>-5006.9399999998313</v>
      </c>
      <c r="BR828" s="87">
        <f>SUMIFS($AU$3:AU830,$AA$3:AA830,"*")</f>
        <v>45219.522077922011</v>
      </c>
      <c r="BS828" s="87">
        <f>SUMIFS($AU$3:AU830,$AB$3:AB830,"*")</f>
        <v>14347.859999999973</v>
      </c>
      <c r="BT828" s="87">
        <f>SUMIFS($AU$3:AU830,$AC$3:AC830,"*")</f>
        <v>46827.078121878294</v>
      </c>
      <c r="BU828" s="87">
        <f>SUMIFS($AU$3:AU830,$AA$3:AA830,"*",$AB$3:AB830,"*")</f>
        <v>8011.9999999997544</v>
      </c>
      <c r="BV828" s="87">
        <f>SUMIFS($AU$3:AU830,$AA$3:AA830,"*",$AC$3:AC830,"*")</f>
        <v>33840.036363636536</v>
      </c>
      <c r="BW828" s="87">
        <f>SUMIFS($AU$3:AU830,$AB$3:AB830,"*",$AC$3:AC830,"*")</f>
        <v>10736</v>
      </c>
      <c r="BX828" s="87">
        <f>SUMIFS($AV$3:AV830,$Q$3:Q830,"F")</f>
        <v>493.65837744248347</v>
      </c>
      <c r="BY828" s="87">
        <f>SUMIFS($AV$3:AV830,$Q$3:Q830,"S")</f>
        <v>804.61134190572739</v>
      </c>
      <c r="BZ828" s="87">
        <f>SUMIFS($AV$3:AV830,$Q$3:Q830,"O")</f>
        <v>545.55929999969885</v>
      </c>
    </row>
    <row r="829" spans="1:78" ht="15.75" customHeight="1">
      <c r="A829" s="45" t="s">
        <v>2311</v>
      </c>
      <c r="B829" s="59">
        <v>45461</v>
      </c>
      <c r="C829" s="46" t="s">
        <v>139</v>
      </c>
      <c r="D829" s="46" t="s">
        <v>98</v>
      </c>
      <c r="E829" s="66"/>
      <c r="F829" s="47"/>
      <c r="G829" s="170" t="s">
        <v>2574</v>
      </c>
      <c r="H829" s="49"/>
      <c r="I829" s="49"/>
      <c r="J829" s="49"/>
      <c r="K829" s="50"/>
      <c r="L829" s="49">
        <v>1</v>
      </c>
      <c r="M829" s="49"/>
      <c r="N829" s="49"/>
      <c r="O829" s="50" t="s">
        <v>100</v>
      </c>
      <c r="P829" s="50" t="s">
        <v>101</v>
      </c>
      <c r="Q829" s="50" t="s">
        <v>102</v>
      </c>
      <c r="R829" s="50">
        <v>23</v>
      </c>
      <c r="S829" s="50">
        <v>0</v>
      </c>
      <c r="T829" s="50">
        <v>23</v>
      </c>
      <c r="U829" s="50" t="s">
        <v>22</v>
      </c>
      <c r="V829" s="50"/>
      <c r="W829" s="50"/>
      <c r="X829" s="50"/>
      <c r="Y829" s="51">
        <f>IF(ISBLANK(O829),"",(IF(O829=UPPER("IB"),0.005,0.01)))</f>
        <v>0.01</v>
      </c>
      <c r="Z829" s="52">
        <f>IF(ISBLANK(O829),"",IF(O829="IB",8.63*200,IF(O829="IR",16*100,IF(O829="YT",20*100,IF(O829="YT-XT",24*200,IF(O829="TED",80*100,IF(O829="IR|YT",300*100)))))))</f>
        <v>1600</v>
      </c>
      <c r="AA829" s="52"/>
      <c r="AB829" s="52"/>
      <c r="AC829" s="52" t="s">
        <v>2575</v>
      </c>
      <c r="AD829" s="231">
        <v>-0.27</v>
      </c>
      <c r="AE829" s="49"/>
      <c r="AF829" s="84"/>
      <c r="AG829" s="49"/>
      <c r="AH829" s="49"/>
      <c r="AI829" s="49"/>
      <c r="AJ829" s="226" t="s">
        <v>2576</v>
      </c>
      <c r="AK829" s="49"/>
      <c r="AL829" s="113">
        <f t="shared" si="339"/>
        <v>-32</v>
      </c>
      <c r="AM829" s="113">
        <f t="shared" si="333"/>
        <v>-736</v>
      </c>
      <c r="AN829" s="218"/>
      <c r="AO829" s="49"/>
      <c r="AP829" s="49" t="s">
        <v>247</v>
      </c>
      <c r="AQ829" s="84" t="s">
        <v>155</v>
      </c>
      <c r="AR829" s="49" t="s">
        <v>2577</v>
      </c>
      <c r="AS829" s="55">
        <v>-0.27</v>
      </c>
      <c r="AT829" s="55">
        <f t="shared" si="334"/>
        <v>0</v>
      </c>
      <c r="AU829" s="54">
        <f t="shared" si="335"/>
        <v>0</v>
      </c>
      <c r="AV829" s="56">
        <f t="shared" si="338"/>
        <v>0</v>
      </c>
      <c r="AW829" s="57" t="s">
        <v>155</v>
      </c>
      <c r="AX829" s="153" t="s">
        <v>2578</v>
      </c>
      <c r="AY829" s="186" t="s">
        <v>1924</v>
      </c>
      <c r="AZ829" s="186" t="s">
        <v>2579</v>
      </c>
      <c r="BA829" s="153"/>
      <c r="BB829" s="153"/>
      <c r="BC829" s="153"/>
      <c r="BD829" s="151"/>
      <c r="BE829" s="152"/>
      <c r="BF829" s="151"/>
      <c r="BG829" s="94">
        <f>SUM($AV$4:AV829)</f>
        <v>4991.829019347917</v>
      </c>
      <c r="BH829" s="95">
        <f>SUM($AU$4:AU829)</f>
        <v>59326.423836163987</v>
      </c>
      <c r="BI829" s="80">
        <f>SUMIFS($AU$3:AU831,$Q$3:Q831,"F")</f>
        <v>37307.078121878127</v>
      </c>
      <c r="BJ829" s="80">
        <f>SUMIFS($AU$3:AU831,$Q$3:Q831,"S")</f>
        <v>24402.28571428571</v>
      </c>
      <c r="BK829" s="87">
        <f>SUMIFS($AU$3:AU831,$P$3:P831,"W")</f>
        <v>34704.14383616417</v>
      </c>
      <c r="BL829" s="87">
        <f>SUMIFS($AU$3:AU831,$P$3:P831,"R")</f>
        <v>21652.400000000325</v>
      </c>
      <c r="BM829" s="87">
        <f>SUMIFS($AU$3:AU831,$AQ$3:AQ831,"M")</f>
        <v>12669.179999998996</v>
      </c>
      <c r="BN829" s="87">
        <f>SUMIFS($AU$3:AU831,$AQ$3:AQ831,"H")</f>
        <v>14363.200000001041</v>
      </c>
      <c r="BO829" s="87">
        <f>SUMIFS($AU$3:AU831,$AQ$3:AQ831,"D")</f>
        <v>15062.377472527351</v>
      </c>
      <c r="BP829" s="87">
        <f>SUMIFS($AS$3:AS1310,$AO$3:AO1310,"W")</f>
        <v>0</v>
      </c>
      <c r="BQ829" s="87">
        <f>SUMIFS($AU$3:AU831,$Q$3:Q831,"O")</f>
        <v>-5006.9399999998313</v>
      </c>
      <c r="BR829" s="87">
        <f>SUMIFS($AU$3:AU831,$AA$3:AA831,"*")</f>
        <v>45219.522077922011</v>
      </c>
      <c r="BS829" s="87">
        <f>SUMIFS($AU$3:AU831,$AB$3:AB831,"*")</f>
        <v>14347.859999999973</v>
      </c>
      <c r="BT829" s="87">
        <f>SUMIFS($AU$3:AU831,$AC$3:AC831,"*")</f>
        <v>46827.078121878294</v>
      </c>
      <c r="BU829" s="87">
        <f>SUMIFS($AU$3:AU831,$AA$3:AA831,"*",$AB$3:AB831,"*")</f>
        <v>8011.9999999997544</v>
      </c>
      <c r="BV829" s="87">
        <f>SUMIFS($AU$3:AU831,$AA$3:AA831,"*",$AC$3:AC831,"*")</f>
        <v>33840.036363636536</v>
      </c>
      <c r="BW829" s="87">
        <f>SUMIFS($AU$3:AU831,$AB$3:AB831,"*",$AC$3:AC831,"*")</f>
        <v>10736</v>
      </c>
      <c r="BX829" s="87">
        <f>SUMIFS($AV$3:AV831,$Q$3:Q831,"F")</f>
        <v>493.65837744248347</v>
      </c>
      <c r="BY829" s="87">
        <f>SUMIFS($AV$3:AV831,$Q$3:Q831,"S")</f>
        <v>804.61134190572739</v>
      </c>
      <c r="BZ829" s="87">
        <f>SUMIFS($AV$3:AV831,$Q$3:Q831,"O")</f>
        <v>545.55929999969885</v>
      </c>
    </row>
    <row r="830" spans="1:78" ht="15.75" customHeight="1">
      <c r="A830" s="45" t="s">
        <v>2311</v>
      </c>
      <c r="B830" s="59">
        <v>45461</v>
      </c>
      <c r="C830" s="46" t="s">
        <v>2580</v>
      </c>
      <c r="D830" s="46" t="s">
        <v>98</v>
      </c>
      <c r="E830" s="66"/>
      <c r="F830" s="47"/>
      <c r="G830" s="155" t="s">
        <v>2486</v>
      </c>
      <c r="H830" s="49"/>
      <c r="I830" s="49"/>
      <c r="J830" s="49"/>
      <c r="K830" s="50"/>
      <c r="L830" s="49">
        <v>1</v>
      </c>
      <c r="M830" s="49"/>
      <c r="N830" s="49"/>
      <c r="O830" s="50" t="s">
        <v>100</v>
      </c>
      <c r="P830" s="50" t="s">
        <v>126</v>
      </c>
      <c r="Q830" s="50" t="s">
        <v>102</v>
      </c>
      <c r="R830" s="50">
        <v>112</v>
      </c>
      <c r="S830" s="50">
        <v>0</v>
      </c>
      <c r="T830" s="50">
        <v>112</v>
      </c>
      <c r="U830" s="50" t="s">
        <v>22</v>
      </c>
      <c r="V830" s="50"/>
      <c r="W830" s="50"/>
      <c r="X830" s="50"/>
      <c r="Y830" s="51">
        <f>IF(ISBLANK(O830),"",(IF(O830=UPPER("IB"),0.005,0.01)))</f>
        <v>0.01</v>
      </c>
      <c r="Z830" s="52">
        <f>IF(ISBLANK(O830),"",IF(O830="IB",8.63*200,IF(O830="IR",16*100,IF(O830="YT",20*100,IF(O830="YT-XT",24*200,IF(O830="TED",80*100,IF(O830="IR|YT",300*100)))))))</f>
        <v>1600</v>
      </c>
      <c r="AA830" s="52" t="s">
        <v>282</v>
      </c>
      <c r="AB830" s="52"/>
      <c r="AC830" s="52" t="s">
        <v>2581</v>
      </c>
      <c r="AD830" s="231">
        <v>-0.09</v>
      </c>
      <c r="AE830" s="49"/>
      <c r="AF830" s="84"/>
      <c r="AG830" s="49"/>
      <c r="AH830" s="49"/>
      <c r="AI830" s="49"/>
      <c r="AJ830" s="226"/>
      <c r="AK830" s="49"/>
      <c r="AL830" s="113">
        <f>-0.01*Z830</f>
        <v>-16</v>
      </c>
      <c r="AM830" s="113">
        <f t="shared" si="333"/>
        <v>-1792</v>
      </c>
      <c r="AN830" s="218"/>
      <c r="AO830" s="49"/>
      <c r="AP830" s="49" t="s">
        <v>1162</v>
      </c>
      <c r="AQ830" s="84" t="s">
        <v>155</v>
      </c>
      <c r="AR830" s="74">
        <v>45464</v>
      </c>
      <c r="AS830" s="55">
        <v>-0.09</v>
      </c>
      <c r="AT830" s="55">
        <f t="shared" si="334"/>
        <v>0</v>
      </c>
      <c r="AU830" s="54">
        <f t="shared" si="335"/>
        <v>0</v>
      </c>
      <c r="AV830" s="56">
        <f t="shared" si="338"/>
        <v>0</v>
      </c>
      <c r="AW830" s="57" t="s">
        <v>155</v>
      </c>
      <c r="AX830" s="151" t="s">
        <v>2582</v>
      </c>
      <c r="AY830" s="153"/>
      <c r="AZ830" s="153"/>
      <c r="BA830" s="153"/>
      <c r="BB830" s="153"/>
      <c r="BC830" s="153"/>
      <c r="BD830" s="151"/>
      <c r="BE830" s="152"/>
      <c r="BF830" s="151"/>
      <c r="BG830" s="94">
        <f>SUM($AV$4:AV830)</f>
        <v>4991.829019347917</v>
      </c>
      <c r="BH830" s="95">
        <f>SUM($AU$4:AU830)</f>
        <v>59326.423836163987</v>
      </c>
      <c r="BI830" s="80">
        <f>SUMIFS($AU$3:AU836,$Q$3:Q836,"F")</f>
        <v>37211.078121878127</v>
      </c>
      <c r="BJ830" s="80">
        <f>SUMIFS($AU$3:AU836,$Q$3:Q836,"S")</f>
        <v>25058.28571428571</v>
      </c>
      <c r="BK830" s="87">
        <f>SUMIFS($AU$3:AU836,$P$3:P836,"W")</f>
        <v>34608.14383616417</v>
      </c>
      <c r="BL830" s="87">
        <f>SUMIFS($AU$3:AU836,$P$3:P836,"R")</f>
        <v>22308.400000000325</v>
      </c>
      <c r="BM830" s="87">
        <f>SUMIFS($AU$3:AU836,$AQ$3:AQ836,"M")</f>
        <v>12669.179999998996</v>
      </c>
      <c r="BN830" s="87">
        <f>SUMIFS($AU$3:AU836,$AQ$3:AQ836,"H")</f>
        <v>14363.200000001041</v>
      </c>
      <c r="BO830" s="87">
        <f>SUMIFS($AU$3:AU836,$AQ$3:AQ836,"D")</f>
        <v>15062.377472527351</v>
      </c>
      <c r="BP830" s="87">
        <f>SUMIFS($AS$3:AS1311,$AO$3:AO1311,"W")</f>
        <v>0</v>
      </c>
      <c r="BQ830" s="87">
        <f>SUMIFS($AU$3:AU836,$Q$3:Q836,"O")</f>
        <v>-5006.9399999998313</v>
      </c>
      <c r="BR830" s="87">
        <f>SUMIFS($AU$3:AU836,$AA$3:AA836,"*")</f>
        <v>45123.522077922011</v>
      </c>
      <c r="BS830" s="87">
        <f>SUMIFS($AU$3:AU836,$AB$3:AB836,"*")</f>
        <v>14251.859999999973</v>
      </c>
      <c r="BT830" s="87">
        <f>SUMIFS($AU$3:AU836,$AC$3:AC836,"*")</f>
        <v>47387.078121878294</v>
      </c>
      <c r="BU830" s="87">
        <f>SUMIFS($AU$3:AU836,$AA$3:AA836,"*",$AB$3:AB836,"*")</f>
        <v>7915.9999999997544</v>
      </c>
      <c r="BV830" s="87">
        <f>SUMIFS($AU$3:AU836,$AA$3:AA836,"*",$AC$3:AC836,"*")</f>
        <v>33744.036363636536</v>
      </c>
      <c r="BW830" s="87">
        <f>SUMIFS($AU$3:AU836,$AB$3:AB836,"*",$AC$3:AC836,"*")</f>
        <v>10640</v>
      </c>
      <c r="BX830" s="87">
        <f>SUMIFS($AV$3:AV836,$Q$3:Q836,"F")</f>
        <v>488.85837744248346</v>
      </c>
      <c r="BY830" s="87">
        <f>SUMIFS($AV$3:AV836,$Q$3:Q836,"S")</f>
        <v>820.61134190572739</v>
      </c>
      <c r="BZ830" s="87">
        <f>SUMIFS($AV$3:AV836,$Q$3:Q836,"O")</f>
        <v>545.55929999969885</v>
      </c>
    </row>
    <row r="831" spans="1:78" ht="15.75" customHeight="1">
      <c r="A831" s="45" t="s">
        <v>2311</v>
      </c>
      <c r="B831" s="59">
        <v>45462</v>
      </c>
      <c r="C831" s="46" t="s">
        <v>179</v>
      </c>
      <c r="D831" s="46" t="s">
        <v>186</v>
      </c>
      <c r="E831" s="66"/>
      <c r="F831" s="47"/>
      <c r="G831" s="48" t="s">
        <v>181</v>
      </c>
      <c r="H831" s="49"/>
      <c r="I831" s="49"/>
      <c r="J831" s="49"/>
      <c r="K831" s="50"/>
      <c r="L831" s="49"/>
      <c r="M831" s="49"/>
      <c r="N831" s="49"/>
      <c r="O831" s="50"/>
      <c r="P831" s="50"/>
      <c r="Q831" s="50"/>
      <c r="R831" s="50"/>
      <c r="S831" s="50"/>
      <c r="T831" s="50"/>
      <c r="U831" s="50"/>
      <c r="V831" s="50"/>
      <c r="W831" s="50"/>
      <c r="X831" s="50"/>
      <c r="Y831" s="51"/>
      <c r="Z831" s="52"/>
      <c r="AA831" s="52"/>
      <c r="AB831" s="52"/>
      <c r="AC831" s="52"/>
      <c r="AD831" s="231"/>
      <c r="AE831" s="49"/>
      <c r="AF831" s="84"/>
      <c r="AG831" s="49"/>
      <c r="AH831" s="49"/>
      <c r="AI831" s="49"/>
      <c r="AJ831" s="226"/>
      <c r="AK831" s="49"/>
      <c r="AL831" s="113">
        <f t="shared" si="330"/>
        <v>0</v>
      </c>
      <c r="AM831" s="113">
        <f t="shared" si="333"/>
        <v>0</v>
      </c>
      <c r="AN831" s="218"/>
      <c r="AO831" s="49"/>
      <c r="AP831" s="49"/>
      <c r="AQ831" s="84" t="str">
        <f>UPPER(RIGHT(Journal_Live[[#This Row],[DURATION ]]))</f>
        <v/>
      </c>
      <c r="AR831" s="49"/>
      <c r="AS831" s="55"/>
      <c r="AT831" s="55">
        <f t="shared" si="334"/>
        <v>0</v>
      </c>
      <c r="AU831" s="54">
        <f t="shared" si="335"/>
        <v>0</v>
      </c>
      <c r="AV831" s="56">
        <f t="shared" si="329"/>
        <v>0</v>
      </c>
      <c r="AW831" s="57"/>
      <c r="AX831" s="153" t="s">
        <v>2583</v>
      </c>
      <c r="AY831" s="153" t="s">
        <v>2584</v>
      </c>
      <c r="AZ831" s="151" t="s">
        <v>2585</v>
      </c>
      <c r="BA831" s="151" t="s">
        <v>2586</v>
      </c>
      <c r="BB831" s="153" t="s">
        <v>2587</v>
      </c>
      <c r="BC831" s="153"/>
      <c r="BD831" s="151"/>
      <c r="BE831" s="152"/>
      <c r="BF831" s="151"/>
      <c r="BG831" s="94">
        <f>SUM($AV$4:AV831)</f>
        <v>4991.829019347917</v>
      </c>
      <c r="BH831" s="95">
        <f>SUM($AU$4:AU831)</f>
        <v>59326.423836163987</v>
      </c>
      <c r="BI831" s="80">
        <f>SUMIFS($AU$3:AU892,$Q$3:Q892,"F")</f>
        <v>29235.078121878127</v>
      </c>
      <c r="BJ831" s="80">
        <f>SUMIFS($AU$3:AU892,$Q$3:Q892,"S")</f>
        <v>17938.285714285706</v>
      </c>
      <c r="BK831" s="87">
        <f>SUMIFS($AU$3:AU892,$P$3:P892,"W")</f>
        <v>17144.143836163403</v>
      </c>
      <c r="BL831" s="87">
        <f>SUMIFS($AU$3:AU892,$P$3:P892,"R")</f>
        <v>22616.400000000325</v>
      </c>
      <c r="BM831" s="87">
        <f>SUMIFS($AU$3:AU892,$AQ$3:AQ892,"M")</f>
        <v>8875.1799999983887</v>
      </c>
      <c r="BN831" s="87">
        <f>SUMIFS($AU$3:AU892,$AQ$3:AQ892,"H")</f>
        <v>11643.200000000877</v>
      </c>
      <c r="BO831" s="87">
        <f>SUMIFS($AU$3:AU892,$AQ$3:AQ892,"D")</f>
        <v>13122.377472527351</v>
      </c>
      <c r="BP831" s="87">
        <f>SUMIFS($AS$3:AS1312,$AO$3:AO1312,"W")</f>
        <v>0</v>
      </c>
      <c r="BQ831" s="87">
        <f>SUMIFS($AU$3:AU892,$Q$3:Q892,"O")</f>
        <v>-9340.9400000006026</v>
      </c>
      <c r="BR831" s="87">
        <f>SUMIFS($AU$3:AU892,$AA$3:AA892,"*")</f>
        <v>37881.5220779214</v>
      </c>
      <c r="BS831" s="87">
        <f>SUMIFS($AU$3:AU892,$AB$3:AB892,"*")</f>
        <v>7475.8599999999715</v>
      </c>
      <c r="BT831" s="87">
        <f>SUMIFS($AU$3:AU892,$AC$3:AC892,"*")</f>
        <v>33251.078121878119</v>
      </c>
      <c r="BU831" s="87">
        <f>SUMIFS($AU$3:AU892,$AA$3:AA892,"*",$AB$3:AB892,"*")</f>
        <v>7915.9999999997544</v>
      </c>
      <c r="BV831" s="87">
        <f>SUMIFS($AU$3:AU892,$AA$3:AA892,"*",$AC$3:AC892,"*")</f>
        <v>29696.036363636529</v>
      </c>
      <c r="BW831" s="87">
        <f>SUMIFS($AU$3:AU892,$AB$3:AB892,"*",$AC$3:AC892,"*")</f>
        <v>3863.9999999999991</v>
      </c>
      <c r="BX831" s="87">
        <f>SUMIFS($AV$3:AV892,$Q$3:Q892,"F")</f>
        <v>383.04019562430165</v>
      </c>
      <c r="BY831" s="87">
        <f>SUMIFS($AV$3:AV892,$Q$3:Q892,"S")</f>
        <v>676.61134190572739</v>
      </c>
      <c r="BZ831" s="87">
        <f>SUMIFS($AV$3:AV892,$Q$3:Q892,"O")</f>
        <v>378.55929999967736</v>
      </c>
    </row>
    <row r="832" spans="1:78" ht="15.75" customHeight="1">
      <c r="A832" s="45" t="s">
        <v>2311</v>
      </c>
      <c r="B832" s="59">
        <v>45462</v>
      </c>
      <c r="C832" s="46" t="s">
        <v>179</v>
      </c>
      <c r="D832" s="46" t="s">
        <v>186</v>
      </c>
      <c r="E832" s="66"/>
      <c r="F832" s="47"/>
      <c r="G832" s="48" t="s">
        <v>2588</v>
      </c>
      <c r="H832" s="49"/>
      <c r="I832" s="49"/>
      <c r="J832" s="49"/>
      <c r="K832" s="50"/>
      <c r="L832" s="49"/>
      <c r="M832" s="49"/>
      <c r="N832" s="49"/>
      <c r="O832" s="50"/>
      <c r="P832" s="50"/>
      <c r="Q832" s="50"/>
      <c r="R832" s="50"/>
      <c r="S832" s="50"/>
      <c r="T832" s="50"/>
      <c r="U832" s="50"/>
      <c r="V832" s="50"/>
      <c r="W832" s="50"/>
      <c r="X832" s="50"/>
      <c r="Y832" s="51"/>
      <c r="Z832" s="52"/>
      <c r="AA832" s="52"/>
      <c r="AB832" s="52"/>
      <c r="AC832" s="52"/>
      <c r="AD832" s="231"/>
      <c r="AE832" s="49"/>
      <c r="AF832" s="84"/>
      <c r="AG832" s="49"/>
      <c r="AH832" s="49"/>
      <c r="AI832" s="49"/>
      <c r="AJ832" s="226"/>
      <c r="AK832" s="49"/>
      <c r="AL832" s="113">
        <f t="shared" si="330"/>
        <v>0</v>
      </c>
      <c r="AM832" s="113">
        <f t="shared" si="333"/>
        <v>0</v>
      </c>
      <c r="AN832" s="218"/>
      <c r="AO832" s="49"/>
      <c r="AP832" s="49"/>
      <c r="AQ832" s="84" t="str">
        <f>UPPER(RIGHT(Journal_Live[[#This Row],[DURATION ]]))</f>
        <v/>
      </c>
      <c r="AR832" s="49"/>
      <c r="AS832" s="55"/>
      <c r="AT832" s="55">
        <f t="shared" si="334"/>
        <v>0</v>
      </c>
      <c r="AU832" s="54">
        <f t="shared" si="335"/>
        <v>0</v>
      </c>
      <c r="AV832" s="56">
        <f t="shared" si="329"/>
        <v>0</v>
      </c>
      <c r="AW832" s="57"/>
      <c r="AX832" s="153"/>
      <c r="AY832" s="153"/>
      <c r="AZ832" s="153"/>
      <c r="BA832" s="153"/>
      <c r="BB832" s="153"/>
      <c r="BC832" s="153"/>
      <c r="BD832" s="151"/>
      <c r="BE832" s="152"/>
      <c r="BF832" s="151"/>
      <c r="BG832" s="94">
        <f>SUM($AV$4:AV832)</f>
        <v>4991.829019347917</v>
      </c>
      <c r="BH832" s="95">
        <f>SUM($AU$4:AU832)</f>
        <v>59326.423836163987</v>
      </c>
      <c r="BI832" s="80">
        <f>SUMIFS($AU$3:AU834,$Q$3:Q834,"F")</f>
        <v>37211.078121878127</v>
      </c>
      <c r="BJ832" s="80">
        <f>SUMIFS($AU$3:AU834,$Q$3:Q834,"S")</f>
        <v>25058.28571428571</v>
      </c>
      <c r="BK832" s="87">
        <f>SUMIFS($AU$3:AU834,$P$3:P834,"W")</f>
        <v>34608.14383616417</v>
      </c>
      <c r="BL832" s="87">
        <f>SUMIFS($AU$3:AU834,$P$3:P834,"R")</f>
        <v>22308.400000000325</v>
      </c>
      <c r="BM832" s="87">
        <f>SUMIFS($AU$3:AU834,$AQ$3:AQ834,"M")</f>
        <v>12669.179999998996</v>
      </c>
      <c r="BN832" s="87">
        <f>SUMIFS($AU$3:AU834,$AQ$3:AQ834,"H")</f>
        <v>14363.200000001041</v>
      </c>
      <c r="BO832" s="87">
        <f>SUMIFS($AU$3:AU834,$AQ$3:AQ834,"D")</f>
        <v>15062.377472527351</v>
      </c>
      <c r="BP832" s="87">
        <f>SUMIFS($AS$3:AS1309,$AO$3:AO1309,"W")</f>
        <v>0</v>
      </c>
      <c r="BQ832" s="87">
        <f>SUMIFS($AU$3:AU834,$Q$3:Q834,"O")</f>
        <v>-5006.9399999998313</v>
      </c>
      <c r="BR832" s="87">
        <f>SUMIFS($AU$3:AU834,$AA$3:AA834,"*")</f>
        <v>45123.522077922011</v>
      </c>
      <c r="BS832" s="87">
        <f>SUMIFS($AU$3:AU834,$AB$3:AB834,"*")</f>
        <v>14251.859999999973</v>
      </c>
      <c r="BT832" s="87">
        <f>SUMIFS($AU$3:AU834,$AC$3:AC834,"*")</f>
        <v>47387.078121878294</v>
      </c>
      <c r="BU832" s="87">
        <f>SUMIFS($AU$3:AU834,$AA$3:AA834,"*",$AB$3:AB834,"*")</f>
        <v>7915.9999999997544</v>
      </c>
      <c r="BV832" s="87">
        <f>SUMIFS($AU$3:AU834,$AA$3:AA834,"*",$AC$3:AC834,"*")</f>
        <v>33744.036363636536</v>
      </c>
      <c r="BW832" s="87">
        <f>SUMIFS($AU$3:AU834,$AB$3:AB834,"*",$AC$3:AC834,"*")</f>
        <v>10640</v>
      </c>
      <c r="BX832" s="87">
        <f>SUMIFS($AV$3:AV834,$Q$3:Q834,"F")</f>
        <v>488.85837744248346</v>
      </c>
      <c r="BY832" s="87">
        <f>SUMIFS($AV$3:AV834,$Q$3:Q834,"S")</f>
        <v>820.61134190572739</v>
      </c>
      <c r="BZ832" s="87">
        <f>SUMIFS($AV$3:AV834,$Q$3:Q834,"O")</f>
        <v>545.55929999969885</v>
      </c>
    </row>
    <row r="833" spans="1:78" ht="15.75" customHeight="1">
      <c r="A833" s="45" t="s">
        <v>2311</v>
      </c>
      <c r="B833" s="59">
        <v>45462</v>
      </c>
      <c r="C833" s="46" t="s">
        <v>705</v>
      </c>
      <c r="D833" s="46" t="s">
        <v>186</v>
      </c>
      <c r="E833" s="66"/>
      <c r="F833" s="47"/>
      <c r="G833" s="110" t="s">
        <v>1516</v>
      </c>
      <c r="H833" s="49"/>
      <c r="I833" s="49"/>
      <c r="J833" s="49"/>
      <c r="K833" s="50"/>
      <c r="L833" s="49"/>
      <c r="M833" s="49">
        <v>2</v>
      </c>
      <c r="N833" s="49"/>
      <c r="O833" s="50" t="s">
        <v>100</v>
      </c>
      <c r="P833" s="50" t="s">
        <v>101</v>
      </c>
      <c r="Q833" s="50" t="s">
        <v>127</v>
      </c>
      <c r="R833" s="50">
        <v>20</v>
      </c>
      <c r="S833" s="50">
        <v>0</v>
      </c>
      <c r="T833" s="50">
        <v>20</v>
      </c>
      <c r="U833" s="50" t="s">
        <v>102</v>
      </c>
      <c r="V833" s="50"/>
      <c r="W833" s="50"/>
      <c r="X833" s="50"/>
      <c r="Y833" s="51">
        <f>IF(ISBLANK(O833),"",(IF(O833=UPPER("IB"),0.005,0.01)))</f>
        <v>0.01</v>
      </c>
      <c r="Z833" s="52">
        <f>IF(ISBLANK(O833),"",IF(O833="IB",8.63*200,IF(O833="IR",16*100,IF(O833="YT",20*100,IF(O833="YT-XT",24*200,IF(O833="TED",80*100,IF(O833="IR|YT",300*100)))))))</f>
        <v>1600</v>
      </c>
      <c r="AA833" s="52" t="s">
        <v>2589</v>
      </c>
      <c r="AB833" s="52" t="s">
        <v>2590</v>
      </c>
      <c r="AC833" s="52" t="s">
        <v>2591</v>
      </c>
      <c r="AD833" s="231">
        <v>5.7000000000000002E-2</v>
      </c>
      <c r="AE833" s="49"/>
      <c r="AF833" s="84"/>
      <c r="AG833" s="49"/>
      <c r="AH833" s="49" t="s">
        <v>2592</v>
      </c>
      <c r="AI833" s="49"/>
      <c r="AJ833" s="226" t="s">
        <v>2593</v>
      </c>
      <c r="AK833" s="49"/>
      <c r="AL833" s="113">
        <f t="shared" si="330"/>
        <v>-32</v>
      </c>
      <c r="AM833" s="113">
        <f t="shared" si="333"/>
        <v>-640</v>
      </c>
      <c r="AN833" s="218" t="s">
        <v>2594</v>
      </c>
      <c r="AO833" s="49"/>
      <c r="AP833" s="49" t="s">
        <v>670</v>
      </c>
      <c r="AQ833" s="84" t="s">
        <v>101</v>
      </c>
      <c r="AR833" s="74">
        <v>45469</v>
      </c>
      <c r="AS833" s="55">
        <v>0.06</v>
      </c>
      <c r="AT833" s="55">
        <f t="shared" si="334"/>
        <v>-2.9999999999999957E-3</v>
      </c>
      <c r="AU833" s="54">
        <f t="shared" si="335"/>
        <v>-95.999999999999872</v>
      </c>
      <c r="AV833" s="56">
        <f t="shared" si="329"/>
        <v>-4.7999999999999936</v>
      </c>
      <c r="AW833" s="57" t="s">
        <v>121</v>
      </c>
      <c r="AX833" s="151" t="s">
        <v>2595</v>
      </c>
      <c r="AY833" s="153"/>
      <c r="AZ833" s="153"/>
      <c r="BA833" s="153"/>
      <c r="BB833" s="153"/>
      <c r="BC833" s="153"/>
      <c r="BD833" s="151"/>
      <c r="BE833" s="152"/>
      <c r="BF833" s="151"/>
      <c r="BG833" s="94">
        <f>SUM($AV$4:AV833)</f>
        <v>4987.0290193479168</v>
      </c>
      <c r="BH833" s="95">
        <f>SUM($AU$4:AU833)</f>
        <v>59230.423836163987</v>
      </c>
      <c r="BI833" s="80">
        <f>SUMIFS($AU$3:AU835,$Q$3:Q835,"F")</f>
        <v>37211.078121878127</v>
      </c>
      <c r="BJ833" s="80">
        <f>SUMIFS($AU$3:AU835,$Q$3:Q835,"S")</f>
        <v>25058.28571428571</v>
      </c>
      <c r="BK833" s="87">
        <f>SUMIFS($AU$3:AU835,$P$3:P835,"W")</f>
        <v>34608.14383616417</v>
      </c>
      <c r="BL833" s="87">
        <f>SUMIFS($AU$3:AU835,$P$3:P835,"R")</f>
        <v>22308.400000000325</v>
      </c>
      <c r="BM833" s="87">
        <f>SUMIFS($AU$3:AU835,$AQ$3:AQ835,"M")</f>
        <v>12669.179999998996</v>
      </c>
      <c r="BN833" s="87">
        <f>SUMIFS($AU$3:AU835,$AQ$3:AQ835,"H")</f>
        <v>14363.200000001041</v>
      </c>
      <c r="BO833" s="87">
        <f>SUMIFS($AU$3:AU835,$AQ$3:AQ835,"D")</f>
        <v>15062.377472527351</v>
      </c>
      <c r="BP833" s="87">
        <f>SUMIFS($AS$3:AS1310,$AO$3:AO1310,"W")</f>
        <v>0</v>
      </c>
      <c r="BQ833" s="87">
        <f>SUMIFS($AU$3:AU835,$Q$3:Q835,"O")</f>
        <v>-5006.9399999998313</v>
      </c>
      <c r="BR833" s="87">
        <f>SUMIFS($AU$3:AU835,$AA$3:AA835,"*")</f>
        <v>45123.522077922011</v>
      </c>
      <c r="BS833" s="87">
        <f>SUMIFS($AU$3:AU835,$AB$3:AB835,"*")</f>
        <v>14251.859999999973</v>
      </c>
      <c r="BT833" s="87">
        <f>SUMIFS($AU$3:AU835,$AC$3:AC835,"*")</f>
        <v>47387.078121878294</v>
      </c>
      <c r="BU833" s="87">
        <f>SUMIFS($AU$3:AU835,$AA$3:AA835,"*",$AB$3:AB835,"*")</f>
        <v>7915.9999999997544</v>
      </c>
      <c r="BV833" s="87">
        <f>SUMIFS($AU$3:AU835,$AA$3:AA835,"*",$AC$3:AC835,"*")</f>
        <v>33744.036363636536</v>
      </c>
      <c r="BW833" s="87">
        <f>SUMIFS($AU$3:AU835,$AB$3:AB835,"*",$AC$3:AC835,"*")</f>
        <v>10640</v>
      </c>
      <c r="BX833" s="87">
        <f>SUMIFS($AV$3:AV835,$Q$3:Q835,"F")</f>
        <v>488.85837744248346</v>
      </c>
      <c r="BY833" s="87">
        <f>SUMIFS($AV$3:AV835,$Q$3:Q835,"S")</f>
        <v>820.61134190572739</v>
      </c>
      <c r="BZ833" s="87">
        <f>SUMIFS($AV$3:AV835,$Q$3:Q835,"O")</f>
        <v>545.55929999969885</v>
      </c>
    </row>
    <row r="834" spans="1:78" ht="15.75" customHeight="1">
      <c r="A834" s="45" t="s">
        <v>2311</v>
      </c>
      <c r="B834" s="59">
        <v>45462</v>
      </c>
      <c r="C834" s="46" t="s">
        <v>179</v>
      </c>
      <c r="D834" s="46" t="s">
        <v>186</v>
      </c>
      <c r="E834" s="66"/>
      <c r="F834" s="47"/>
      <c r="G834" s="155" t="s">
        <v>2596</v>
      </c>
      <c r="H834" s="49"/>
      <c r="I834" s="49"/>
      <c r="J834" s="49"/>
      <c r="K834" s="50"/>
      <c r="L834" s="49">
        <v>1</v>
      </c>
      <c r="M834" s="49"/>
      <c r="N834" s="49"/>
      <c r="O834" s="50" t="s">
        <v>100</v>
      </c>
      <c r="P834" s="50" t="s">
        <v>126</v>
      </c>
      <c r="Q834" s="50" t="s">
        <v>102</v>
      </c>
      <c r="R834" s="50">
        <v>41</v>
      </c>
      <c r="S834" s="50">
        <v>0</v>
      </c>
      <c r="T834" s="50">
        <v>41</v>
      </c>
      <c r="U834" s="50" t="s">
        <v>102</v>
      </c>
      <c r="V834" s="50"/>
      <c r="W834" s="50"/>
      <c r="X834" s="50"/>
      <c r="Y834" s="51">
        <f>IF(ISBLANK(O834),"",(IF(O834=UPPER("IB"),0.005,0.01)))</f>
        <v>0.01</v>
      </c>
      <c r="Z834" s="52">
        <f>IF(ISBLANK(O834),"",IF(O834="IB",8.63*200,IF(O834="IR",16*100,IF(O834="YT",20*100,IF(O834="YT-XT",24*200,IF(O834="TED",80*100,IF(O834="IR|YT",300*100)))))))</f>
        <v>1600</v>
      </c>
      <c r="AA834" s="52"/>
      <c r="AB834" s="52"/>
      <c r="AC834" s="52" t="s">
        <v>2597</v>
      </c>
      <c r="AD834" s="231">
        <v>-0.03</v>
      </c>
      <c r="AE834" s="49"/>
      <c r="AF834" s="84"/>
      <c r="AG834" s="49"/>
      <c r="AH834" s="49"/>
      <c r="AI834" s="49"/>
      <c r="AJ834" s="226"/>
      <c r="AK834" s="49"/>
      <c r="AL834" s="113">
        <f>0*Z834</f>
        <v>0</v>
      </c>
      <c r="AM834" s="113">
        <f t="shared" si="333"/>
        <v>0</v>
      </c>
      <c r="AN834" s="218"/>
      <c r="AO834" s="49"/>
      <c r="AP834" s="49"/>
      <c r="AQ834" s="84" t="str">
        <f>UPPER(RIGHT(Journal_Live[[#This Row],[DURATION ]]))</f>
        <v/>
      </c>
      <c r="AR834" s="49"/>
      <c r="AS834" s="55">
        <v>-0.04</v>
      </c>
      <c r="AT834" s="55">
        <f t="shared" si="334"/>
        <v>1.0000000000000002E-2</v>
      </c>
      <c r="AU834" s="54">
        <f t="shared" si="335"/>
        <v>656.00000000000011</v>
      </c>
      <c r="AV834" s="56">
        <f t="shared" si="329"/>
        <v>16.000000000000004</v>
      </c>
      <c r="AW834" s="57" t="s">
        <v>101</v>
      </c>
      <c r="AX834" s="153"/>
      <c r="AY834" s="153"/>
      <c r="AZ834" s="153"/>
      <c r="BA834" s="153"/>
      <c r="BB834" s="153"/>
      <c r="BC834" s="153"/>
      <c r="BD834" s="151"/>
      <c r="BE834" s="152"/>
      <c r="BF834" s="151"/>
      <c r="BG834" s="94">
        <f>SUM($AV$4:AV834)</f>
        <v>5003.0290193479168</v>
      </c>
      <c r="BH834" s="95">
        <f>SUM($AU$4:AU834)</f>
        <v>59886.423836163987</v>
      </c>
      <c r="BI834" s="80">
        <f>SUMIFS($AU$3:AU836,$Q$3:Q836,"F")</f>
        <v>37211.078121878127</v>
      </c>
      <c r="BJ834" s="80">
        <f>SUMIFS($AU$3:AU836,$Q$3:Q836,"S")</f>
        <v>25058.28571428571</v>
      </c>
      <c r="BK834" s="87">
        <f>SUMIFS($AU$3:AU836,$P$3:P836,"W")</f>
        <v>34608.14383616417</v>
      </c>
      <c r="BL834" s="87">
        <f>SUMIFS($AU$3:AU836,$P$3:P836,"R")</f>
        <v>22308.400000000325</v>
      </c>
      <c r="BM834" s="87">
        <f>SUMIFS($AU$3:AU836,$AQ$3:AQ836,"M")</f>
        <v>12669.179999998996</v>
      </c>
      <c r="BN834" s="87">
        <f>SUMIFS($AU$3:AU836,$AQ$3:AQ836,"H")</f>
        <v>14363.200000001041</v>
      </c>
      <c r="BO834" s="87">
        <f>SUMIFS($AU$3:AU836,$AQ$3:AQ836,"D")</f>
        <v>15062.377472527351</v>
      </c>
      <c r="BP834" s="87">
        <f>SUMIFS($AS$3:AS1311,$AO$3:AO1311,"W")</f>
        <v>0</v>
      </c>
      <c r="BQ834" s="87">
        <f>SUMIFS($AU$3:AU836,$Q$3:Q836,"O")</f>
        <v>-5006.9399999998313</v>
      </c>
      <c r="BR834" s="87">
        <f>SUMIFS($AU$3:AU836,$AA$3:AA836,"*")</f>
        <v>45123.522077922011</v>
      </c>
      <c r="BS834" s="87">
        <f>SUMIFS($AU$3:AU836,$AB$3:AB836,"*")</f>
        <v>14251.859999999973</v>
      </c>
      <c r="BT834" s="87">
        <f>SUMIFS($AU$3:AU836,$AC$3:AC836,"*")</f>
        <v>47387.078121878294</v>
      </c>
      <c r="BU834" s="87">
        <f>SUMIFS($AU$3:AU836,$AA$3:AA836,"*",$AB$3:AB836,"*")</f>
        <v>7915.9999999997544</v>
      </c>
      <c r="BV834" s="87">
        <f>SUMIFS($AU$3:AU836,$AA$3:AA836,"*",$AC$3:AC836,"*")</f>
        <v>33744.036363636536</v>
      </c>
      <c r="BW834" s="87">
        <f>SUMIFS($AU$3:AU836,$AB$3:AB836,"*",$AC$3:AC836,"*")</f>
        <v>10640</v>
      </c>
      <c r="BX834" s="87">
        <f>SUMIFS($AV$3:AV836,$Q$3:Q836,"F")</f>
        <v>488.85837744248346</v>
      </c>
      <c r="BY834" s="87">
        <f>SUMIFS($AV$3:AV836,$Q$3:Q836,"S")</f>
        <v>820.61134190572739</v>
      </c>
      <c r="BZ834" s="87">
        <f>SUMIFS($AV$3:AV836,$Q$3:Q836,"O")</f>
        <v>545.55929999969885</v>
      </c>
    </row>
    <row r="835" spans="1:78" ht="15.75" customHeight="1">
      <c r="A835" s="45" t="s">
        <v>2311</v>
      </c>
      <c r="B835" s="59">
        <v>45462</v>
      </c>
      <c r="C835" s="46" t="s">
        <v>397</v>
      </c>
      <c r="D835" s="46" t="s">
        <v>186</v>
      </c>
      <c r="E835" s="66"/>
      <c r="F835" s="47"/>
      <c r="G835" s="170" t="s">
        <v>1501</v>
      </c>
      <c r="H835" s="49"/>
      <c r="I835" s="49"/>
      <c r="J835" s="49"/>
      <c r="K835" s="50"/>
      <c r="L835" s="49">
        <v>1</v>
      </c>
      <c r="M835" s="49"/>
      <c r="N835" s="49"/>
      <c r="O835" s="50" t="s">
        <v>100</v>
      </c>
      <c r="P835" s="50" t="s">
        <v>101</v>
      </c>
      <c r="Q835" s="50" t="s">
        <v>102</v>
      </c>
      <c r="R835" s="50">
        <v>60</v>
      </c>
      <c r="S835" s="50">
        <v>8</v>
      </c>
      <c r="T835" s="50">
        <v>60</v>
      </c>
      <c r="U835" s="50" t="s">
        <v>22</v>
      </c>
      <c r="V835" s="50"/>
      <c r="W835" s="50"/>
      <c r="X835" s="50"/>
      <c r="Y835" s="51">
        <f>IF(ISBLANK(O835),"",(IF(O835=UPPER("IB"),0.005,0.01)))</f>
        <v>0.01</v>
      </c>
      <c r="Z835" s="52">
        <f>IF(ISBLANK(O835),"",IF(O835="IB",8.63*200,IF(O835="IR",16*100,IF(O835="YT",20*100,IF(O835="YT-XT",24*200,IF(O835="TED",80*100,IF(O835="IR|YT",300*100)))))))</f>
        <v>1600</v>
      </c>
      <c r="AA835" s="52"/>
      <c r="AB835" s="52"/>
      <c r="AC835" s="52"/>
      <c r="AD835" s="231">
        <v>-0.21</v>
      </c>
      <c r="AE835" s="49"/>
      <c r="AF835" s="84"/>
      <c r="AG835" s="49"/>
      <c r="AH835" s="49"/>
      <c r="AI835" s="49"/>
      <c r="AJ835" s="226"/>
      <c r="AK835" s="49"/>
      <c r="AL835" s="113">
        <f t="shared" si="330"/>
        <v>-32</v>
      </c>
      <c r="AM835" s="113">
        <f t="shared" si="333"/>
        <v>-1664</v>
      </c>
      <c r="AN835" s="218"/>
      <c r="AO835" s="49"/>
      <c r="AP835" s="49" t="s">
        <v>365</v>
      </c>
      <c r="AQ835" s="84" t="s">
        <v>142</v>
      </c>
      <c r="AR835" s="74" t="s">
        <v>2598</v>
      </c>
      <c r="AS835" s="55">
        <v>-0.21</v>
      </c>
      <c r="AT835" s="55">
        <f t="shared" si="334"/>
        <v>0</v>
      </c>
      <c r="AU835" s="54">
        <f t="shared" si="335"/>
        <v>0</v>
      </c>
      <c r="AV835" s="56">
        <f t="shared" si="329"/>
        <v>0</v>
      </c>
      <c r="AW835" s="57" t="s">
        <v>155</v>
      </c>
      <c r="AX835" s="153" t="s">
        <v>2599</v>
      </c>
      <c r="AY835" s="153" t="s">
        <v>2600</v>
      </c>
      <c r="AZ835" s="186" t="s">
        <v>2601</v>
      </c>
      <c r="BA835" s="153"/>
      <c r="BB835" s="153"/>
      <c r="BC835" s="153"/>
      <c r="BD835" s="151"/>
      <c r="BE835" s="152"/>
      <c r="BF835" s="151"/>
      <c r="BG835" s="94">
        <f>SUM($AV$4:AV835)</f>
        <v>5003.0290193479168</v>
      </c>
      <c r="BH835" s="95">
        <f>SUM($AU$4:AU835)</f>
        <v>59886.423836163987</v>
      </c>
      <c r="BI835" s="80">
        <f>SUMIFS($AU$3:AU892,$Q$3:Q892,"F")</f>
        <v>29235.078121878127</v>
      </c>
      <c r="BJ835" s="80">
        <f>SUMIFS($AU$3:AU892,$Q$3:Q892,"S")</f>
        <v>17938.285714285706</v>
      </c>
      <c r="BK835" s="87">
        <f>SUMIFS($AU$3:AU892,$P$3:P892,"W")</f>
        <v>17144.143836163403</v>
      </c>
      <c r="BL835" s="87">
        <f>SUMIFS($AU$3:AU892,$P$3:P892,"R")</f>
        <v>22616.400000000325</v>
      </c>
      <c r="BM835" s="87">
        <f>SUMIFS($AU$3:AU892,$AQ$3:AQ892,"M")</f>
        <v>8875.1799999983887</v>
      </c>
      <c r="BN835" s="87">
        <f>SUMIFS($AU$3:AU892,$AQ$3:AQ892,"H")</f>
        <v>11643.200000000877</v>
      </c>
      <c r="BO835" s="87">
        <f>SUMIFS($AU$3:AU892,$AQ$3:AQ892,"D")</f>
        <v>13122.377472527351</v>
      </c>
      <c r="BP835" s="87">
        <f>SUMIFS($AS$3:AS1312,$AO$3:AO1312,"W")</f>
        <v>0</v>
      </c>
      <c r="BQ835" s="87">
        <f>SUMIFS($AU$3:AU892,$Q$3:Q892,"O")</f>
        <v>-9340.9400000006026</v>
      </c>
      <c r="BR835" s="87">
        <f>SUMIFS($AU$3:AU892,$AA$3:AA892,"*")</f>
        <v>37881.5220779214</v>
      </c>
      <c r="BS835" s="87">
        <f>SUMIFS($AU$3:AU892,$AB$3:AB892,"*")</f>
        <v>7475.8599999999715</v>
      </c>
      <c r="BT835" s="87">
        <f>SUMIFS($AU$3:AU892,$AC$3:AC892,"*")</f>
        <v>33251.078121878119</v>
      </c>
      <c r="BU835" s="87">
        <f>SUMIFS($AU$3:AU892,$AA$3:AA892,"*",$AB$3:AB892,"*")</f>
        <v>7915.9999999997544</v>
      </c>
      <c r="BV835" s="87">
        <f>SUMIFS($AU$3:AU892,$AA$3:AA892,"*",$AC$3:AC892,"*")</f>
        <v>29696.036363636529</v>
      </c>
      <c r="BW835" s="87">
        <f>SUMIFS($AU$3:AU892,$AB$3:AB892,"*",$AC$3:AC892,"*")</f>
        <v>3863.9999999999991</v>
      </c>
      <c r="BX835" s="87">
        <f>SUMIFS($AV$3:AV892,$Q$3:Q892,"F")</f>
        <v>383.04019562430165</v>
      </c>
      <c r="BY835" s="87">
        <f>SUMIFS($AV$3:AV892,$Q$3:Q892,"S")</f>
        <v>676.61134190572739</v>
      </c>
      <c r="BZ835" s="87">
        <f>SUMIFS($AV$3:AV892,$Q$3:Q892,"O")</f>
        <v>378.55929999967736</v>
      </c>
    </row>
    <row r="836" spans="1:78" ht="15.75" customHeight="1">
      <c r="A836" s="45" t="s">
        <v>2311</v>
      </c>
      <c r="B836" s="59"/>
      <c r="C836" s="46"/>
      <c r="D836" s="46"/>
      <c r="E836" s="66"/>
      <c r="F836" s="47"/>
      <c r="G836" s="48"/>
      <c r="H836" s="49"/>
      <c r="I836" s="49"/>
      <c r="J836" s="49"/>
      <c r="K836" s="50"/>
      <c r="L836" s="49"/>
      <c r="M836" s="49"/>
      <c r="N836" s="49"/>
      <c r="O836" s="50"/>
      <c r="P836" s="50"/>
      <c r="Q836" s="50"/>
      <c r="R836" s="50"/>
      <c r="S836" s="50"/>
      <c r="T836" s="50"/>
      <c r="U836" s="50"/>
      <c r="V836" s="50"/>
      <c r="W836" s="50"/>
      <c r="X836" s="50"/>
      <c r="Y836" s="51"/>
      <c r="Z836" s="52"/>
      <c r="AA836" s="52"/>
      <c r="AB836" s="52"/>
      <c r="AC836" s="52"/>
      <c r="AD836" s="231"/>
      <c r="AE836" s="49"/>
      <c r="AF836" s="84"/>
      <c r="AG836" s="49"/>
      <c r="AH836" s="49"/>
      <c r="AI836" s="49"/>
      <c r="AJ836" s="226"/>
      <c r="AK836" s="49"/>
      <c r="AL836" s="113">
        <f t="shared" si="314"/>
        <v>0</v>
      </c>
      <c r="AM836" s="113">
        <f t="shared" si="333"/>
        <v>0</v>
      </c>
      <c r="AN836" s="218"/>
      <c r="AO836" s="49"/>
      <c r="AP836" s="49"/>
      <c r="AQ836" s="84"/>
      <c r="AR836" s="49"/>
      <c r="AS836" s="55"/>
      <c r="AT836" s="55">
        <f t="shared" si="334"/>
        <v>0</v>
      </c>
      <c r="AU836" s="54">
        <f t="shared" si="335"/>
        <v>0</v>
      </c>
      <c r="AV836" s="56">
        <f t="shared" si="319"/>
        <v>0</v>
      </c>
      <c r="AW836" s="57"/>
      <c r="AX836" s="153" t="s">
        <v>2602</v>
      </c>
      <c r="AY836" s="153" t="s">
        <v>2603</v>
      </c>
      <c r="AZ836" s="153"/>
      <c r="BA836" s="153"/>
      <c r="BB836" s="153"/>
      <c r="BC836" s="153"/>
      <c r="BD836" s="151"/>
      <c r="BE836" s="152"/>
      <c r="BF836" s="151"/>
      <c r="BG836" s="94">
        <f>SUM($AV$4:AV836)</f>
        <v>5003.0290193479168</v>
      </c>
      <c r="BH836" s="95">
        <f>SUM($AU$4:AU836)</f>
        <v>59886.423836163987</v>
      </c>
      <c r="BI836" s="80">
        <f>SUMIFS($AU$3:AU893,$Q$3:Q893,"F")</f>
        <v>29235.078121878127</v>
      </c>
      <c r="BJ836" s="80">
        <f>SUMIFS($AU$3:AU893,$Q$3:Q893,"S")</f>
        <v>17938.285714285706</v>
      </c>
      <c r="BK836" s="87">
        <f>SUMIFS($AU$3:AU893,$P$3:P893,"W")</f>
        <v>17144.143836163403</v>
      </c>
      <c r="BL836" s="87">
        <f>SUMIFS($AU$3:AU893,$P$3:P893,"R")</f>
        <v>22616.400000000325</v>
      </c>
      <c r="BM836" s="87">
        <f>SUMIFS($AU$3:AU893,$AQ$3:AQ893,"M")</f>
        <v>8875.1799999983887</v>
      </c>
      <c r="BN836" s="87">
        <f>SUMIFS($AU$3:AU893,$AQ$3:AQ893,"H")</f>
        <v>11643.200000000877</v>
      </c>
      <c r="BO836" s="87">
        <f>SUMIFS($AU$3:AU893,$AQ$3:AQ893,"D")</f>
        <v>13122.377472527351</v>
      </c>
      <c r="BP836" s="87">
        <f>SUMIFS($AS$3:AS1313,$AO$3:AO1313,"W")</f>
        <v>0</v>
      </c>
      <c r="BQ836" s="87">
        <f>SUMIFS($AU$3:AU893,$Q$3:Q893,"O")</f>
        <v>-9340.9400000006026</v>
      </c>
      <c r="BR836" s="87">
        <f>SUMIFS($AU$3:AU893,$AA$3:AA893,"*")</f>
        <v>37881.5220779214</v>
      </c>
      <c r="BS836" s="87">
        <f>SUMIFS($AU$3:AU893,$AB$3:AB893,"*")</f>
        <v>7475.8599999999715</v>
      </c>
      <c r="BT836" s="87">
        <f>SUMIFS($AU$3:AU893,$AC$3:AC893,"*")</f>
        <v>33251.078121878119</v>
      </c>
      <c r="BU836" s="87">
        <f>SUMIFS($AU$3:AU893,$AA$3:AA893,"*",$AB$3:AB893,"*")</f>
        <v>7915.9999999997544</v>
      </c>
      <c r="BV836" s="87">
        <f>SUMIFS($AU$3:AU893,$AA$3:AA893,"*",$AC$3:AC893,"*")</f>
        <v>29696.036363636529</v>
      </c>
      <c r="BW836" s="87">
        <f>SUMIFS($AU$3:AU893,$AB$3:AB893,"*",$AC$3:AC893,"*")</f>
        <v>3863.9999999999991</v>
      </c>
      <c r="BX836" s="87">
        <f>SUMIFS($AV$3:AV893,$Q$3:Q893,"F")</f>
        <v>383.04019562430165</v>
      </c>
      <c r="BY836" s="87">
        <f>SUMIFS($AV$3:AV893,$Q$3:Q893,"S")</f>
        <v>676.61134190572739</v>
      </c>
      <c r="BZ836" s="87">
        <f>SUMIFS($AV$3:AV893,$Q$3:Q893,"O")</f>
        <v>378.55929999967736</v>
      </c>
    </row>
    <row r="837" spans="1:78" ht="15.75" customHeight="1">
      <c r="A837" s="45" t="s">
        <v>2311</v>
      </c>
      <c r="B837" s="59">
        <v>45462</v>
      </c>
      <c r="C837" s="46" t="s">
        <v>2069</v>
      </c>
      <c r="D837" s="46" t="s">
        <v>186</v>
      </c>
      <c r="E837" s="66" t="s">
        <v>2604</v>
      </c>
      <c r="F837" s="47"/>
      <c r="G837" s="48"/>
      <c r="H837" s="49"/>
      <c r="I837" s="49"/>
      <c r="J837" s="49"/>
      <c r="K837" s="50"/>
      <c r="L837" s="49"/>
      <c r="M837" s="49"/>
      <c r="N837" s="49"/>
      <c r="O837" s="50"/>
      <c r="P837" s="50"/>
      <c r="Q837" s="50"/>
      <c r="R837" s="50"/>
      <c r="S837" s="50"/>
      <c r="T837" s="50"/>
      <c r="U837" s="50"/>
      <c r="V837" s="50"/>
      <c r="W837" s="50"/>
      <c r="X837" s="50"/>
      <c r="Y837" s="51"/>
      <c r="Z837" s="52"/>
      <c r="AA837" s="52"/>
      <c r="AB837" s="52"/>
      <c r="AC837" s="52"/>
      <c r="AD837" s="231"/>
      <c r="AE837" s="49"/>
      <c r="AF837" s="84"/>
      <c r="AG837" s="49"/>
      <c r="AH837" s="49"/>
      <c r="AI837" s="49"/>
      <c r="AJ837" s="226"/>
      <c r="AK837" s="49"/>
      <c r="AL837" s="113">
        <f t="shared" ref="AL837:AL839" si="340">-0.02*Z837</f>
        <v>0</v>
      </c>
      <c r="AM837" s="113">
        <f t="shared" si="333"/>
        <v>0</v>
      </c>
      <c r="AN837" s="218"/>
      <c r="AO837" s="49"/>
      <c r="AP837" s="49"/>
      <c r="AQ837" s="84" t="str">
        <f>UPPER(RIGHT(Journal_Live[[#This Row],[DURATION ]]))</f>
        <v/>
      </c>
      <c r="AR837" s="49"/>
      <c r="AS837" s="55"/>
      <c r="AT837" s="55">
        <f t="shared" si="334"/>
        <v>0</v>
      </c>
      <c r="AU837" s="54">
        <f t="shared" si="335"/>
        <v>0</v>
      </c>
      <c r="AV837" s="56">
        <f t="shared" ref="AV837:AV840" si="341">IF(ISBLANK(AS837),,(AT837*Z837))</f>
        <v>0</v>
      </c>
      <c r="AW837" s="57"/>
      <c r="AX837" s="153"/>
      <c r="AY837" s="153"/>
      <c r="AZ837" s="153"/>
      <c r="BA837" s="153"/>
      <c r="BB837" s="153"/>
      <c r="BC837" s="153"/>
      <c r="BD837" s="151"/>
      <c r="BE837" s="152"/>
      <c r="BF837" s="151"/>
      <c r="BG837" s="94">
        <f>SUM($AV$4:AV837)</f>
        <v>5003.0290193479168</v>
      </c>
      <c r="BH837" s="95">
        <f>SUM($AU$4:AU837)</f>
        <v>59886.423836163987</v>
      </c>
      <c r="BI837" s="80">
        <f>SUMIFS($AU$3:AU839,$Q$3:Q839,"F")</f>
        <v>37211.078121878127</v>
      </c>
      <c r="BJ837" s="80">
        <f>SUMIFS($AU$3:AU839,$Q$3:Q839,"S")</f>
        <v>25058.28571428571</v>
      </c>
      <c r="BK837" s="87">
        <f>SUMIFS($AU$3:AU839,$P$3:P839,"W")</f>
        <v>34608.14383616417</v>
      </c>
      <c r="BL837" s="87">
        <f>SUMIFS($AU$3:AU839,$P$3:P839,"R")</f>
        <v>22308.400000000325</v>
      </c>
      <c r="BM837" s="87">
        <f>SUMIFS($AU$3:AU839,$AQ$3:AQ839,"M")</f>
        <v>12669.179999998996</v>
      </c>
      <c r="BN837" s="87">
        <f>SUMIFS($AU$3:AU839,$AQ$3:AQ839,"H")</f>
        <v>14363.200000001041</v>
      </c>
      <c r="BO837" s="87">
        <f>SUMIFS($AU$3:AU839,$AQ$3:AQ839,"D")</f>
        <v>15062.377472527351</v>
      </c>
      <c r="BP837" s="87">
        <f>SUMIFS($AS$3:AS1307,$AO$3:AO1307,"W")</f>
        <v>0</v>
      </c>
      <c r="BQ837" s="87">
        <f>SUMIFS($AU$3:AU839,$Q$3:Q839,"O")</f>
        <v>-5006.9399999998313</v>
      </c>
      <c r="BR837" s="87">
        <f>SUMIFS($AU$3:AU839,$AA$3:AA839,"*")</f>
        <v>45123.522077922011</v>
      </c>
      <c r="BS837" s="87">
        <f>SUMIFS($AU$3:AU839,$AB$3:AB839,"*")</f>
        <v>14251.859999999973</v>
      </c>
      <c r="BT837" s="87">
        <f>SUMIFS($AU$3:AU839,$AC$3:AC839,"*")</f>
        <v>47387.078121878294</v>
      </c>
      <c r="BU837" s="87">
        <f>SUMIFS($AU$3:AU839,$AA$3:AA839,"*",$AB$3:AB839,"*")</f>
        <v>7915.9999999997544</v>
      </c>
      <c r="BV837" s="87">
        <f>SUMIFS($AU$3:AU839,$AA$3:AA839,"*",$AC$3:AC839,"*")</f>
        <v>33744.036363636536</v>
      </c>
      <c r="BW837" s="87">
        <f>SUMIFS($AU$3:AU839,$AB$3:AB839,"*",$AC$3:AC839,"*")</f>
        <v>10640</v>
      </c>
      <c r="BX837" s="87">
        <f>SUMIFS($AV$3:AV839,$Q$3:Q839,"F")</f>
        <v>488.85837744248346</v>
      </c>
      <c r="BY837" s="87">
        <f>SUMIFS($AV$3:AV839,$Q$3:Q839,"S")</f>
        <v>820.61134190572739</v>
      </c>
      <c r="BZ837" s="87">
        <f>SUMIFS($AV$3:AV839,$Q$3:Q839,"O")</f>
        <v>545.55929999969885</v>
      </c>
    </row>
    <row r="838" spans="1:78" ht="15.75" customHeight="1">
      <c r="A838" s="45" t="s">
        <v>2311</v>
      </c>
      <c r="B838" s="59"/>
      <c r="C838" s="46"/>
      <c r="D838" s="46"/>
      <c r="E838" s="66" t="s">
        <v>2605</v>
      </c>
      <c r="F838" s="47"/>
      <c r="G838" s="48"/>
      <c r="H838" s="49"/>
      <c r="I838" s="49"/>
      <c r="J838" s="49"/>
      <c r="K838" s="50"/>
      <c r="L838" s="49"/>
      <c r="M838" s="49"/>
      <c r="N838" s="49"/>
      <c r="O838" s="50"/>
      <c r="P838" s="50"/>
      <c r="Q838" s="50"/>
      <c r="R838" s="50"/>
      <c r="S838" s="50"/>
      <c r="T838" s="50"/>
      <c r="U838" s="50"/>
      <c r="V838" s="50"/>
      <c r="W838" s="50"/>
      <c r="X838" s="50"/>
      <c r="Y838" s="51"/>
      <c r="Z838" s="52"/>
      <c r="AA838" s="52"/>
      <c r="AB838" s="52"/>
      <c r="AC838" s="52"/>
      <c r="AD838" s="231"/>
      <c r="AE838" s="49"/>
      <c r="AF838" s="84"/>
      <c r="AG838" s="49"/>
      <c r="AH838" s="49"/>
      <c r="AI838" s="49"/>
      <c r="AJ838" s="226"/>
      <c r="AK838" s="49"/>
      <c r="AL838" s="113">
        <f t="shared" si="340"/>
        <v>0</v>
      </c>
      <c r="AM838" s="113">
        <f t="shared" si="333"/>
        <v>0</v>
      </c>
      <c r="AN838" s="218"/>
      <c r="AO838" s="49"/>
      <c r="AP838" s="49"/>
      <c r="AQ838" s="84" t="str">
        <f>UPPER(RIGHT(Journal_Live[[#This Row],[DURATION ]]))</f>
        <v/>
      </c>
      <c r="AR838" s="49"/>
      <c r="AS838" s="55"/>
      <c r="AT838" s="55">
        <f t="shared" si="334"/>
        <v>0</v>
      </c>
      <c r="AU838" s="54">
        <f t="shared" si="335"/>
        <v>0</v>
      </c>
      <c r="AV838" s="56">
        <f t="shared" si="341"/>
        <v>0</v>
      </c>
      <c r="AW838" s="57"/>
      <c r="AX838" s="177" t="s">
        <v>2606</v>
      </c>
      <c r="AY838" s="151" t="s">
        <v>2607</v>
      </c>
      <c r="AZ838" s="153" t="s">
        <v>2608</v>
      </c>
      <c r="BA838" s="153"/>
      <c r="BB838" s="153"/>
      <c r="BC838" s="153"/>
      <c r="BD838" s="151"/>
      <c r="BE838" s="152"/>
      <c r="BF838" s="151"/>
      <c r="BG838" s="94">
        <f>SUM($AV$4:AV838)</f>
        <v>5003.0290193479168</v>
      </c>
      <c r="BH838" s="95">
        <f>SUM($AU$4:AU838)</f>
        <v>59886.423836163987</v>
      </c>
      <c r="BI838" s="80">
        <f>SUMIFS($AU$3:AU840,$Q$3:Q840,"F")</f>
        <v>37211.078121878127</v>
      </c>
      <c r="BJ838" s="80">
        <f>SUMIFS($AU$3:AU840,$Q$3:Q840,"S")</f>
        <v>25058.28571428571</v>
      </c>
      <c r="BK838" s="87">
        <f>SUMIFS($AU$3:AU840,$P$3:P840,"W")</f>
        <v>34608.14383616417</v>
      </c>
      <c r="BL838" s="87">
        <f>SUMIFS($AU$3:AU840,$P$3:P840,"R")</f>
        <v>22308.400000000325</v>
      </c>
      <c r="BM838" s="87">
        <f>SUMIFS($AU$3:AU840,$AQ$3:AQ840,"M")</f>
        <v>12669.179999998996</v>
      </c>
      <c r="BN838" s="87">
        <f>SUMIFS($AU$3:AU840,$AQ$3:AQ840,"H")</f>
        <v>14363.200000001041</v>
      </c>
      <c r="BO838" s="87">
        <f>SUMIFS($AU$3:AU840,$AQ$3:AQ840,"D")</f>
        <v>15062.377472527351</v>
      </c>
      <c r="BP838" s="87">
        <f>SUMIFS($AS$3:AS1308,$AO$3:AO1308,"W")</f>
        <v>0</v>
      </c>
      <c r="BQ838" s="87">
        <f>SUMIFS($AU$3:AU840,$Q$3:Q840,"O")</f>
        <v>-5006.9399999998313</v>
      </c>
      <c r="BR838" s="87">
        <f>SUMIFS($AU$3:AU840,$AA$3:AA840,"*")</f>
        <v>45123.522077922011</v>
      </c>
      <c r="BS838" s="87">
        <f>SUMIFS($AU$3:AU840,$AB$3:AB840,"*")</f>
        <v>14251.859999999973</v>
      </c>
      <c r="BT838" s="87">
        <f>SUMIFS($AU$3:AU840,$AC$3:AC840,"*")</f>
        <v>47387.078121878294</v>
      </c>
      <c r="BU838" s="87">
        <f>SUMIFS($AU$3:AU840,$AA$3:AA840,"*",$AB$3:AB840,"*")</f>
        <v>7915.9999999997544</v>
      </c>
      <c r="BV838" s="87">
        <f>SUMIFS($AU$3:AU840,$AA$3:AA840,"*",$AC$3:AC840,"*")</f>
        <v>33744.036363636536</v>
      </c>
      <c r="BW838" s="87">
        <f>SUMIFS($AU$3:AU840,$AB$3:AB840,"*",$AC$3:AC840,"*")</f>
        <v>10640</v>
      </c>
      <c r="BX838" s="87">
        <f>SUMIFS($AV$3:AV840,$Q$3:Q840,"F")</f>
        <v>488.85837744248346</v>
      </c>
      <c r="BY838" s="87">
        <f>SUMIFS($AV$3:AV840,$Q$3:Q840,"S")</f>
        <v>820.61134190572739</v>
      </c>
      <c r="BZ838" s="87">
        <f>SUMIFS($AV$3:AV840,$Q$3:Q840,"O")</f>
        <v>545.55929999969885</v>
      </c>
    </row>
    <row r="839" spans="1:78" ht="15.75" customHeight="1">
      <c r="A839" s="45" t="s">
        <v>2311</v>
      </c>
      <c r="B839" s="59">
        <v>45462</v>
      </c>
      <c r="C839" s="46" t="s">
        <v>2609</v>
      </c>
      <c r="D839" s="46" t="s">
        <v>186</v>
      </c>
      <c r="E839" s="66"/>
      <c r="F839" s="47"/>
      <c r="G839" s="106" t="s">
        <v>2610</v>
      </c>
      <c r="H839" s="49"/>
      <c r="I839" s="49"/>
      <c r="J839" s="49"/>
      <c r="K839" s="50"/>
      <c r="L839" s="49"/>
      <c r="M839" s="49">
        <v>2</v>
      </c>
      <c r="N839" s="49"/>
      <c r="O839" s="50" t="s">
        <v>100</v>
      </c>
      <c r="P839" s="50" t="s">
        <v>101</v>
      </c>
      <c r="Q839" s="50" t="s">
        <v>127</v>
      </c>
      <c r="R839" s="50">
        <v>175</v>
      </c>
      <c r="S839" s="50">
        <v>100</v>
      </c>
      <c r="T839" s="50">
        <v>75</v>
      </c>
      <c r="U839" s="50" t="s">
        <v>102</v>
      </c>
      <c r="V839" s="50"/>
      <c r="W839" s="50"/>
      <c r="X839" s="50"/>
      <c r="Y839" s="51">
        <f>IF(ISBLANK(O839),"",(IF(O839=UPPER("IB"),0.005,0.01)))</f>
        <v>0.01</v>
      </c>
      <c r="Z839" s="52">
        <f>IF(ISBLANK(O839),"",IF(O839="IB",8.63*200,IF(O839="IR",16*100,IF(O839="YT",20*100,IF(O839="YT-XT",24*200,IF(O839="TED",80*100,IF(O839="IR|YT",300*100)))))))</f>
        <v>1600</v>
      </c>
      <c r="AA839" s="52" t="s">
        <v>289</v>
      </c>
      <c r="AB839" s="52" t="s">
        <v>2611</v>
      </c>
      <c r="AC839" s="52" t="s">
        <v>2612</v>
      </c>
      <c r="AD839" s="231">
        <v>-0.04</v>
      </c>
      <c r="AE839" s="49"/>
      <c r="AF839" s="84"/>
      <c r="AG839" s="49"/>
      <c r="AH839" s="49" t="s">
        <v>2613</v>
      </c>
      <c r="AI839" s="49"/>
      <c r="AJ839" s="226" t="s">
        <v>2614</v>
      </c>
      <c r="AK839" s="49"/>
      <c r="AL839" s="113">
        <f t="shared" si="340"/>
        <v>-32</v>
      </c>
      <c r="AM839" s="113">
        <f t="shared" si="333"/>
        <v>-2400</v>
      </c>
      <c r="AN839" s="218"/>
      <c r="AO839" s="49"/>
      <c r="AP839" s="49" t="s">
        <v>1283</v>
      </c>
      <c r="AQ839" s="84" t="s">
        <v>101</v>
      </c>
      <c r="AR839" s="74">
        <v>45484</v>
      </c>
      <c r="AS839" s="55">
        <f>((-0.04*100)+(-0.04*75))/175</f>
        <v>-0.04</v>
      </c>
      <c r="AT839" s="55">
        <f t="shared" si="334"/>
        <v>0</v>
      </c>
      <c r="AU839" s="54">
        <f t="shared" si="335"/>
        <v>0</v>
      </c>
      <c r="AV839" s="56">
        <f t="shared" si="341"/>
        <v>0</v>
      </c>
      <c r="AW839" s="57" t="s">
        <v>155</v>
      </c>
      <c r="AX839" s="153" t="s">
        <v>2615</v>
      </c>
      <c r="AY839" s="179" t="s">
        <v>2616</v>
      </c>
      <c r="AZ839" s="153"/>
      <c r="BA839" s="153"/>
      <c r="BB839" s="153"/>
      <c r="BC839" s="153"/>
      <c r="BD839" s="151"/>
      <c r="BE839" s="152"/>
      <c r="BF839" s="151"/>
      <c r="BG839" s="94">
        <f>SUM($AV$4:AV839)</f>
        <v>5003.0290193479168</v>
      </c>
      <c r="BH839" s="95">
        <f>SUM($AU$4:AU839)</f>
        <v>59886.423836163987</v>
      </c>
      <c r="BI839" s="80">
        <f>SUMIFS($AU$3:AU841,$Q$3:Q841,"F")</f>
        <v>36011.078121878127</v>
      </c>
      <c r="BJ839" s="80">
        <f>SUMIFS($AU$3:AU841,$Q$3:Q841,"S")</f>
        <v>25058.28571428571</v>
      </c>
      <c r="BK839" s="87">
        <f>SUMIFS($AU$3:AU841,$P$3:P841,"W")</f>
        <v>33408.14383616417</v>
      </c>
      <c r="BL839" s="87">
        <f>SUMIFS($AU$3:AU841,$P$3:P841,"R")</f>
        <v>22308.400000000325</v>
      </c>
      <c r="BM839" s="87">
        <f>SUMIFS($AU$3:AU841,$AQ$3:AQ841,"M")</f>
        <v>12669.179999998996</v>
      </c>
      <c r="BN839" s="87">
        <f>SUMIFS($AU$3:AU841,$AQ$3:AQ841,"H")</f>
        <v>14363.200000001041</v>
      </c>
      <c r="BO839" s="87">
        <f>SUMIFS($AU$3:AU841,$AQ$3:AQ841,"D")</f>
        <v>15062.377472527351</v>
      </c>
      <c r="BP839" s="87">
        <f>SUMIFS($AS$3:AS1309,$AO$3:AO1309,"W")</f>
        <v>0</v>
      </c>
      <c r="BQ839" s="87">
        <f>SUMIFS($AU$3:AU841,$Q$3:Q841,"O")</f>
        <v>-5006.9399999998313</v>
      </c>
      <c r="BR839" s="87">
        <f>SUMIFS($AU$3:AU841,$AA$3:AA841,"*")</f>
        <v>43923.522077922011</v>
      </c>
      <c r="BS839" s="87">
        <f>SUMIFS($AU$3:AU841,$AB$3:AB841,"*")</f>
        <v>14251.859999999973</v>
      </c>
      <c r="BT839" s="87">
        <f>SUMIFS($AU$3:AU841,$AC$3:AC841,"*")</f>
        <v>46187.078121878294</v>
      </c>
      <c r="BU839" s="87">
        <f>SUMIFS($AU$3:AU841,$AA$3:AA841,"*",$AB$3:AB841,"*")</f>
        <v>7915.9999999997544</v>
      </c>
      <c r="BV839" s="87">
        <f>SUMIFS($AU$3:AU841,$AA$3:AA841,"*",$AC$3:AC841,"*")</f>
        <v>32544.036363636536</v>
      </c>
      <c r="BW839" s="87">
        <f>SUMIFS($AU$3:AU841,$AB$3:AB841,"*",$AC$3:AC841,"*")</f>
        <v>10640</v>
      </c>
      <c r="BX839" s="87">
        <f>SUMIFS($AV$3:AV841,$Q$3:Q841,"F")</f>
        <v>440.85837744248346</v>
      </c>
      <c r="BY839" s="87">
        <f>SUMIFS($AV$3:AV841,$Q$3:Q841,"S")</f>
        <v>820.61134190572739</v>
      </c>
      <c r="BZ839" s="87">
        <f>SUMIFS($AV$3:AV841,$Q$3:Q841,"O")</f>
        <v>545.55929999969885</v>
      </c>
    </row>
    <row r="840" spans="1:78" ht="15.75" customHeight="1">
      <c r="A840" s="45" t="s">
        <v>2311</v>
      </c>
      <c r="B840" s="59">
        <v>45462</v>
      </c>
      <c r="C840" s="46" t="s">
        <v>1573</v>
      </c>
      <c r="D840" s="46" t="s">
        <v>186</v>
      </c>
      <c r="E840" s="66"/>
      <c r="F840" s="47"/>
      <c r="G840" s="48" t="s">
        <v>276</v>
      </c>
      <c r="H840" s="49"/>
      <c r="I840" s="49"/>
      <c r="J840" s="49"/>
      <c r="K840" s="50"/>
      <c r="L840" s="49"/>
      <c r="M840" s="49"/>
      <c r="N840" s="49"/>
      <c r="O840" s="50"/>
      <c r="P840" s="50"/>
      <c r="Q840" s="50"/>
      <c r="R840" s="50"/>
      <c r="S840" s="50"/>
      <c r="T840" s="50"/>
      <c r="U840" s="50"/>
      <c r="V840" s="50"/>
      <c r="W840" s="50"/>
      <c r="X840" s="50"/>
      <c r="Y840" s="51"/>
      <c r="Z840" s="52"/>
      <c r="AA840" s="52"/>
      <c r="AB840" s="52"/>
      <c r="AC840" s="52"/>
      <c r="AD840" s="231"/>
      <c r="AE840" s="49"/>
      <c r="AF840" s="84"/>
      <c r="AG840" s="49"/>
      <c r="AH840" s="49"/>
      <c r="AI840" s="49"/>
      <c r="AJ840" s="226"/>
      <c r="AK840" s="49"/>
      <c r="AL840" s="113">
        <f>0*Z840</f>
        <v>0</v>
      </c>
      <c r="AM840" s="113">
        <f t="shared" si="333"/>
        <v>0</v>
      </c>
      <c r="AN840" s="218"/>
      <c r="AO840" s="49"/>
      <c r="AP840" s="49"/>
      <c r="AQ840" s="84" t="str">
        <f>UPPER(RIGHT(Journal_Live[[#This Row],[DURATION ]]))</f>
        <v/>
      </c>
      <c r="AR840" s="49"/>
      <c r="AS840" s="55"/>
      <c r="AT840" s="55">
        <f t="shared" si="334"/>
        <v>0</v>
      </c>
      <c r="AU840" s="54">
        <f t="shared" si="335"/>
        <v>0</v>
      </c>
      <c r="AV840" s="56">
        <f t="shared" si="341"/>
        <v>0</v>
      </c>
      <c r="AW840" s="57"/>
      <c r="AX840" s="153" t="s">
        <v>2617</v>
      </c>
      <c r="AY840" s="153"/>
      <c r="AZ840" s="153"/>
      <c r="BA840" s="153"/>
      <c r="BB840" s="153"/>
      <c r="BC840" s="153"/>
      <c r="BD840" s="151"/>
      <c r="BE840" s="152"/>
      <c r="BF840" s="151"/>
      <c r="BG840" s="94">
        <f>SUM($AV$4:AV840)</f>
        <v>5003.0290193479168</v>
      </c>
      <c r="BH840" s="95">
        <f>SUM($AU$4:AU840)</f>
        <v>59886.423836163987</v>
      </c>
      <c r="BI840" s="80">
        <f>SUMIFS($AU$3:AU842,$Q$3:Q842,"F")</f>
        <v>30355.078121878127</v>
      </c>
      <c r="BJ840" s="80">
        <f>SUMIFS($AU$3:AU842,$Q$3:Q842,"S")</f>
        <v>25058.28571428571</v>
      </c>
      <c r="BK840" s="87">
        <f>SUMIFS($AU$3:AU842,$P$3:P842,"W")</f>
        <v>27752.14383616417</v>
      </c>
      <c r="BL840" s="87">
        <f>SUMIFS($AU$3:AU842,$P$3:P842,"R")</f>
        <v>22308.400000000325</v>
      </c>
      <c r="BM840" s="87">
        <f>SUMIFS($AU$3:AU842,$AQ$3:AQ842,"M")</f>
        <v>12669.179999998996</v>
      </c>
      <c r="BN840" s="87">
        <f>SUMIFS($AU$3:AU842,$AQ$3:AQ842,"H")</f>
        <v>14363.200000001041</v>
      </c>
      <c r="BO840" s="87">
        <f>SUMIFS($AU$3:AU842,$AQ$3:AQ842,"D")</f>
        <v>15062.377472527351</v>
      </c>
      <c r="BP840" s="87">
        <f>SUMIFS($AS$3:AS1310,$AO$3:AO1310,"W")</f>
        <v>0</v>
      </c>
      <c r="BQ840" s="87">
        <f>SUMIFS($AU$3:AU842,$Q$3:Q842,"O")</f>
        <v>-5006.9399999998313</v>
      </c>
      <c r="BR840" s="87">
        <f>SUMIFS($AU$3:AU842,$AA$3:AA842,"*")</f>
        <v>43923.522077922011</v>
      </c>
      <c r="BS840" s="87">
        <f>SUMIFS($AU$3:AU842,$AB$3:AB842,"*")</f>
        <v>8595.8599999999715</v>
      </c>
      <c r="BT840" s="87">
        <f>SUMIFS($AU$3:AU842,$AC$3:AC842,"*")</f>
        <v>40531.078121878294</v>
      </c>
      <c r="BU840" s="87">
        <f>SUMIFS($AU$3:AU842,$AA$3:AA842,"*",$AB$3:AB842,"*")</f>
        <v>7915.9999999997544</v>
      </c>
      <c r="BV840" s="87">
        <f>SUMIFS($AU$3:AU842,$AA$3:AA842,"*",$AC$3:AC842,"*")</f>
        <v>32544.036363636536</v>
      </c>
      <c r="BW840" s="87">
        <f>SUMIFS($AU$3:AU842,$AB$3:AB842,"*",$AC$3:AC842,"*")</f>
        <v>4983.9999999999991</v>
      </c>
      <c r="BX840" s="87">
        <f>SUMIFS($AV$3:AV842,$Q$3:Q842,"F")</f>
        <v>389.44019562430162</v>
      </c>
      <c r="BY840" s="87">
        <f>SUMIFS($AV$3:AV842,$Q$3:Q842,"S")</f>
        <v>820.61134190572739</v>
      </c>
      <c r="BZ840" s="87">
        <f>SUMIFS($AV$3:AV842,$Q$3:Q842,"O")</f>
        <v>545.55929999969885</v>
      </c>
    </row>
    <row r="841" spans="1:78" ht="15.75" customHeight="1">
      <c r="A841" s="45" t="s">
        <v>2311</v>
      </c>
      <c r="B841" s="59">
        <v>45462</v>
      </c>
      <c r="C841" s="46" t="s">
        <v>2618</v>
      </c>
      <c r="D841" s="46" t="s">
        <v>186</v>
      </c>
      <c r="E841" s="66"/>
      <c r="F841" s="47"/>
      <c r="G841" s="155" t="s">
        <v>2619</v>
      </c>
      <c r="H841" s="49"/>
      <c r="I841" s="49"/>
      <c r="J841" s="49"/>
      <c r="K841" s="50"/>
      <c r="L841" s="49">
        <v>1</v>
      </c>
      <c r="M841" s="49"/>
      <c r="N841" s="49"/>
      <c r="O841" s="50" t="s">
        <v>100</v>
      </c>
      <c r="P841" s="50" t="s">
        <v>101</v>
      </c>
      <c r="Q841" s="50" t="s">
        <v>127</v>
      </c>
      <c r="R841" s="50">
        <v>25</v>
      </c>
      <c r="S841" s="50">
        <v>0</v>
      </c>
      <c r="T841" s="50">
        <v>10</v>
      </c>
      <c r="U841" s="50" t="s">
        <v>102</v>
      </c>
      <c r="V841" s="50"/>
      <c r="W841" s="50"/>
      <c r="X841" s="50"/>
      <c r="Y841" s="51">
        <f>IF(ISBLANK(O841),"",(IF(O841=UPPER("IB"),0.005,0.01)))</f>
        <v>0.01</v>
      </c>
      <c r="Z841" s="52">
        <f>IF(ISBLANK(O841),"",IF(O841="IB",8.63*200,IF(O841="IR",16*100,IF(O841="YT",20*100,IF(O841="YT-XT",24*200,IF(O841="TED",80*100,IF(O841="IR|YT",300*100)))))))</f>
        <v>1600</v>
      </c>
      <c r="AA841" s="52" t="s">
        <v>2620</v>
      </c>
      <c r="AB841" s="52"/>
      <c r="AC841" s="52" t="s">
        <v>2621</v>
      </c>
      <c r="AD841" s="231">
        <v>0.03</v>
      </c>
      <c r="AE841" s="49"/>
      <c r="AF841" s="84"/>
      <c r="AG841" s="49"/>
      <c r="AH841" s="49"/>
      <c r="AI841" s="49"/>
      <c r="AJ841" s="226"/>
      <c r="AK841" s="49"/>
      <c r="AL841" s="113">
        <f t="shared" ref="AL841:AL891" si="342">-0.02*Z841</f>
        <v>-32</v>
      </c>
      <c r="AM841" s="113">
        <f t="shared" si="333"/>
        <v>-800</v>
      </c>
      <c r="AN841" s="218"/>
      <c r="AO841" s="49"/>
      <c r="AP841" s="49"/>
      <c r="AQ841" s="84" t="str">
        <f>UPPER(RIGHT(Journal_Live[[#This Row],[DURATION ]]))</f>
        <v/>
      </c>
      <c r="AR841" s="49"/>
      <c r="AS841" s="55">
        <v>0.06</v>
      </c>
      <c r="AT841" s="55">
        <f t="shared" si="334"/>
        <v>-0.03</v>
      </c>
      <c r="AU841" s="54">
        <f t="shared" si="335"/>
        <v>-1200</v>
      </c>
      <c r="AV841" s="56">
        <f t="shared" ref="AV841:AV852" si="343">IF(ISBLANK(AS841),,(AT841*Z841))</f>
        <v>-48</v>
      </c>
      <c r="AW841" s="57" t="s">
        <v>121</v>
      </c>
      <c r="AX841" s="153" t="s">
        <v>2622</v>
      </c>
      <c r="AY841" s="153" t="s">
        <v>2623</v>
      </c>
      <c r="AZ841" s="153" t="s">
        <v>2624</v>
      </c>
      <c r="BA841" s="153"/>
      <c r="BB841" s="153"/>
      <c r="BC841" s="153"/>
      <c r="BD841" s="151"/>
      <c r="BE841" s="152"/>
      <c r="BF841" s="151"/>
      <c r="BG841" s="94">
        <f>SUM($AV$4:AV841)</f>
        <v>4955.0290193479168</v>
      </c>
      <c r="BH841" s="95">
        <f>SUM($AU$4:AU841)</f>
        <v>58686.423836163987</v>
      </c>
      <c r="BI841" s="80">
        <f>SUMIFS($AU$3:AU843,$Q$3:Q843,"F")</f>
        <v>30355.078121878127</v>
      </c>
      <c r="BJ841" s="80">
        <f>SUMIFS($AU$3:AU843,$Q$3:Q843,"S")</f>
        <v>25058.28571428571</v>
      </c>
      <c r="BK841" s="87">
        <f>SUMIFS($AU$3:AU843,$P$3:P843,"W")</f>
        <v>27752.14383616417</v>
      </c>
      <c r="BL841" s="87">
        <f>SUMIFS($AU$3:AU843,$P$3:P843,"R")</f>
        <v>22308.400000000325</v>
      </c>
      <c r="BM841" s="87">
        <f>SUMIFS($AU$3:AU843,$AQ$3:AQ843,"M")</f>
        <v>12669.179999998996</v>
      </c>
      <c r="BN841" s="87">
        <f>SUMIFS($AU$3:AU843,$AQ$3:AQ843,"H")</f>
        <v>14363.200000001041</v>
      </c>
      <c r="BO841" s="87">
        <f>SUMIFS($AU$3:AU843,$AQ$3:AQ843,"D")</f>
        <v>15062.377472527351</v>
      </c>
      <c r="BP841" s="87">
        <f>SUMIFS($AS$3:AS1311,$AO$3:AO1311,"W")</f>
        <v>0</v>
      </c>
      <c r="BQ841" s="87">
        <f>SUMIFS($AU$3:AU843,$Q$3:Q843,"O")</f>
        <v>-5006.9399999998313</v>
      </c>
      <c r="BR841" s="87">
        <f>SUMIFS($AU$3:AU843,$AA$3:AA843,"*")</f>
        <v>43923.522077922011</v>
      </c>
      <c r="BS841" s="87">
        <f>SUMIFS($AU$3:AU843,$AB$3:AB843,"*")</f>
        <v>8595.8599999999715</v>
      </c>
      <c r="BT841" s="87">
        <f>SUMIFS($AU$3:AU843,$AC$3:AC843,"*")</f>
        <v>40531.078121878294</v>
      </c>
      <c r="BU841" s="87">
        <f>SUMIFS($AU$3:AU843,$AA$3:AA843,"*",$AB$3:AB843,"*")</f>
        <v>7915.9999999997544</v>
      </c>
      <c r="BV841" s="87">
        <f>SUMIFS($AU$3:AU843,$AA$3:AA843,"*",$AC$3:AC843,"*")</f>
        <v>32544.036363636536</v>
      </c>
      <c r="BW841" s="87">
        <f>SUMIFS($AU$3:AU843,$AB$3:AB843,"*",$AC$3:AC843,"*")</f>
        <v>4983.9999999999991</v>
      </c>
      <c r="BX841" s="87">
        <f>SUMIFS($AV$3:AV843,$Q$3:Q843,"F")</f>
        <v>389.44019562430162</v>
      </c>
      <c r="BY841" s="87">
        <f>SUMIFS($AV$3:AV843,$Q$3:Q843,"S")</f>
        <v>820.61134190572739</v>
      </c>
      <c r="BZ841" s="87">
        <f>SUMIFS($AV$3:AV843,$Q$3:Q843,"O")</f>
        <v>545.55929999969885</v>
      </c>
    </row>
    <row r="842" spans="1:78" ht="15.75" customHeight="1">
      <c r="A842" s="45" t="s">
        <v>2311</v>
      </c>
      <c r="B842" s="59">
        <v>45462</v>
      </c>
      <c r="C842" s="46" t="s">
        <v>2618</v>
      </c>
      <c r="D842" s="46" t="s">
        <v>186</v>
      </c>
      <c r="E842" s="66"/>
      <c r="F842" s="47"/>
      <c r="G842" s="178" t="s">
        <v>2625</v>
      </c>
      <c r="H842" s="49"/>
      <c r="I842" s="49"/>
      <c r="J842" s="49"/>
      <c r="K842" s="50"/>
      <c r="L842" s="49">
        <v>1</v>
      </c>
      <c r="M842" s="49"/>
      <c r="N842" s="49"/>
      <c r="O842" s="50" t="s">
        <v>100</v>
      </c>
      <c r="P842" s="50" t="s">
        <v>101</v>
      </c>
      <c r="Q842" s="50" t="s">
        <v>127</v>
      </c>
      <c r="R842" s="50">
        <v>110</v>
      </c>
      <c r="S842" s="50">
        <v>60</v>
      </c>
      <c r="T842" s="50">
        <v>25</v>
      </c>
      <c r="U842" s="50" t="s">
        <v>102</v>
      </c>
      <c r="V842" s="50"/>
      <c r="W842" s="50"/>
      <c r="X842" s="50"/>
      <c r="Y842" s="51">
        <f>IF(ISBLANK(O842),"",(IF(O842=UPPER("IB"),0.005,0.01)))</f>
        <v>0.01</v>
      </c>
      <c r="Z842" s="52">
        <f>IF(ISBLANK(O842),"",IF(O842="IB",8.63*200,IF(O842="IR",16*100,IF(O842="YT",20*100,IF(O842="YT-XT",24*200,IF(O842="TED",80*100,IF(O842="IR|YT",300*100)))))))</f>
        <v>1600</v>
      </c>
      <c r="AA842" s="52"/>
      <c r="AB842" s="52" t="s">
        <v>2626</v>
      </c>
      <c r="AC842" s="52" t="s">
        <v>2627</v>
      </c>
      <c r="AD842" s="231">
        <f>(0.014*85+0.047*25)/110</f>
        <v>2.1500000000000002E-2</v>
      </c>
      <c r="AE842" s="49"/>
      <c r="AF842" s="84"/>
      <c r="AG842" s="49"/>
      <c r="AH842" s="49"/>
      <c r="AI842" s="49"/>
      <c r="AJ842" s="226"/>
      <c r="AK842" s="49"/>
      <c r="AL842" s="113">
        <f>-0.03*Z842</f>
        <v>-48</v>
      </c>
      <c r="AM842" s="113">
        <f t="shared" si="333"/>
        <v>-2400</v>
      </c>
      <c r="AN842" s="218"/>
      <c r="AO842" s="49"/>
      <c r="AP842" s="49" t="s">
        <v>310</v>
      </c>
      <c r="AQ842" s="84" t="s">
        <v>101</v>
      </c>
      <c r="AR842" s="49" t="s">
        <v>2507</v>
      </c>
      <c r="AS842" s="55">
        <f>(0.04*10+0.06*50+0.05*50)/110</f>
        <v>5.3636363636363642E-2</v>
      </c>
      <c r="AT842" s="55">
        <f t="shared" si="334"/>
        <v>-3.2136363636363643E-2</v>
      </c>
      <c r="AU842" s="54">
        <f t="shared" si="335"/>
        <v>-5656.0000000000009</v>
      </c>
      <c r="AV842" s="56">
        <f t="shared" si="343"/>
        <v>-51.418181818181829</v>
      </c>
      <c r="AW842" s="57" t="s">
        <v>121</v>
      </c>
      <c r="AX842" s="153" t="s">
        <v>2628</v>
      </c>
      <c r="AY842" s="187" t="s">
        <v>2629</v>
      </c>
      <c r="AZ842" s="187" t="s">
        <v>2630</v>
      </c>
      <c r="BA842" s="187" t="s">
        <v>2631</v>
      </c>
      <c r="BB842" s="187" t="s">
        <v>56</v>
      </c>
      <c r="BC842" s="153"/>
      <c r="BD842" s="151"/>
      <c r="BE842" s="152"/>
      <c r="BF842" s="151"/>
      <c r="BG842" s="94">
        <f>SUM($AV$4:AV842)</f>
        <v>4903.6108375297354</v>
      </c>
      <c r="BH842" s="95">
        <f>SUM($AU$4:AU842)</f>
        <v>53030.423836163987</v>
      </c>
      <c r="BI842" s="80">
        <f>SUMIFS($AU$3:AU892,$Q$3:Q892,"F")</f>
        <v>29235.078121878127</v>
      </c>
      <c r="BJ842" s="80">
        <f>SUMIFS($AU$3:AU892,$Q$3:Q892,"S")</f>
        <v>17938.285714285706</v>
      </c>
      <c r="BK842" s="87">
        <f>SUMIFS($AU$3:AU892,$P$3:P892,"W")</f>
        <v>17144.143836163403</v>
      </c>
      <c r="BL842" s="87">
        <f>SUMIFS($AU$3:AU892,$P$3:P892,"R")</f>
        <v>22616.400000000325</v>
      </c>
      <c r="BM842" s="87">
        <f>SUMIFS($AU$3:AU892,$AQ$3:AQ892,"M")</f>
        <v>8875.1799999983887</v>
      </c>
      <c r="BN842" s="87">
        <f>SUMIFS($AU$3:AU892,$AQ$3:AQ892,"H")</f>
        <v>11643.200000000877</v>
      </c>
      <c r="BO842" s="87">
        <f>SUMIFS($AU$3:AU892,$AQ$3:AQ892,"D")</f>
        <v>13122.377472527351</v>
      </c>
      <c r="BP842" s="87">
        <f>SUMIFS($AS$3:AS1312,$AO$3:AO1312,"W")</f>
        <v>0</v>
      </c>
      <c r="BQ842" s="87">
        <f>SUMIFS($AU$3:AU892,$Q$3:Q892,"O")</f>
        <v>-9340.9400000006026</v>
      </c>
      <c r="BR842" s="87">
        <f>SUMIFS($AU$3:AU892,$AA$3:AA892,"*")</f>
        <v>37881.5220779214</v>
      </c>
      <c r="BS842" s="87">
        <f>SUMIFS($AU$3:AU892,$AB$3:AB892,"*")</f>
        <v>7475.8599999999715</v>
      </c>
      <c r="BT842" s="87">
        <f>SUMIFS($AU$3:AU892,$AC$3:AC892,"*")</f>
        <v>33251.078121878119</v>
      </c>
      <c r="BU842" s="87">
        <f>SUMIFS($AU$3:AU892,$AA$3:AA892,"*",$AB$3:AB892,"*")</f>
        <v>7915.9999999997544</v>
      </c>
      <c r="BV842" s="87">
        <f>SUMIFS($AU$3:AU892,$AA$3:AA892,"*",$AC$3:AC892,"*")</f>
        <v>29696.036363636529</v>
      </c>
      <c r="BW842" s="87">
        <f>SUMIFS($AU$3:AU892,$AB$3:AB892,"*",$AC$3:AC892,"*")</f>
        <v>3863.9999999999991</v>
      </c>
      <c r="BX842" s="87">
        <f>SUMIFS($AV$3:AV892,$Q$3:Q892,"F")</f>
        <v>383.04019562430165</v>
      </c>
      <c r="BY842" s="87">
        <f>SUMIFS($AV$3:AV892,$Q$3:Q892,"S")</f>
        <v>676.61134190572739</v>
      </c>
      <c r="BZ842" s="87">
        <f>SUMIFS($AV$3:AV892,$Q$3:Q892,"O")</f>
        <v>378.55929999967736</v>
      </c>
    </row>
    <row r="843" spans="1:78" ht="15.75" customHeight="1">
      <c r="A843" s="45" t="s">
        <v>2311</v>
      </c>
      <c r="B843" s="59"/>
      <c r="C843" s="46"/>
      <c r="D843" s="46"/>
      <c r="E843" s="66"/>
      <c r="F843" s="47"/>
      <c r="G843" s="48"/>
      <c r="H843" s="49"/>
      <c r="I843" s="49"/>
      <c r="J843" s="49"/>
      <c r="K843" s="50"/>
      <c r="L843" s="49"/>
      <c r="M843" s="49"/>
      <c r="N843" s="49"/>
      <c r="O843" s="50"/>
      <c r="P843" s="50"/>
      <c r="Q843" s="50"/>
      <c r="R843" s="50"/>
      <c r="S843" s="50"/>
      <c r="T843" s="50"/>
      <c r="U843" s="50"/>
      <c r="V843" s="50"/>
      <c r="W843" s="50"/>
      <c r="X843" s="50"/>
      <c r="Y843" s="50"/>
      <c r="Z843" s="50"/>
      <c r="AA843" s="52"/>
      <c r="AB843" s="52"/>
      <c r="AC843" s="52"/>
      <c r="AD843" s="231"/>
      <c r="AE843" s="49"/>
      <c r="AF843" s="84"/>
      <c r="AG843" s="49"/>
      <c r="AH843" s="49"/>
      <c r="AI843" s="49"/>
      <c r="AJ843" s="226"/>
      <c r="AK843" s="49"/>
      <c r="AL843" s="113">
        <f t="shared" si="342"/>
        <v>0</v>
      </c>
      <c r="AM843" s="113">
        <f t="shared" si="333"/>
        <v>0</v>
      </c>
      <c r="AN843" s="218"/>
      <c r="AO843" s="49"/>
      <c r="AP843" s="49"/>
      <c r="AQ843" s="84" t="str">
        <f>UPPER(RIGHT(Journal_Live[[#This Row],[DURATION ]]))</f>
        <v/>
      </c>
      <c r="AR843" s="49"/>
      <c r="AS843" s="55"/>
      <c r="AT843" s="55">
        <f t="shared" si="334"/>
        <v>0</v>
      </c>
      <c r="AU843" s="54">
        <f t="shared" si="335"/>
        <v>0</v>
      </c>
      <c r="AV843" s="56">
        <f t="shared" si="343"/>
        <v>0</v>
      </c>
      <c r="AW843" s="57"/>
      <c r="AX843" s="153" t="s">
        <v>2632</v>
      </c>
      <c r="AY843" s="153" t="s">
        <v>2633</v>
      </c>
      <c r="AZ843" s="153" t="s">
        <v>2634</v>
      </c>
      <c r="BA843" s="151" t="s">
        <v>2635</v>
      </c>
      <c r="BB843" s="153" t="s">
        <v>2636</v>
      </c>
      <c r="BC843" s="151" t="s">
        <v>2637</v>
      </c>
      <c r="BD843" s="151"/>
      <c r="BE843" s="152"/>
      <c r="BF843" s="151"/>
      <c r="BG843" s="94">
        <f>SUM($AV$4:AV843)</f>
        <v>4903.6108375297354</v>
      </c>
      <c r="BH843" s="95">
        <f>SUM($AU$4:AU843)</f>
        <v>53030.423836163987</v>
      </c>
      <c r="BI843" s="80">
        <f>SUMIFS($AU$3:AU893,$Q$3:Q893,"F")</f>
        <v>29235.078121878127</v>
      </c>
      <c r="BJ843" s="80">
        <f>SUMIFS($AU$3:AU893,$Q$3:Q893,"S")</f>
        <v>17938.285714285706</v>
      </c>
      <c r="BK843" s="87">
        <f>SUMIFS($AU$3:AU893,$P$3:P893,"W")</f>
        <v>17144.143836163403</v>
      </c>
      <c r="BL843" s="87">
        <f>SUMIFS($AU$3:AU893,$P$3:P893,"R")</f>
        <v>22616.400000000325</v>
      </c>
      <c r="BM843" s="87">
        <f>SUMIFS($AU$3:AU893,$AQ$3:AQ893,"M")</f>
        <v>8875.1799999983887</v>
      </c>
      <c r="BN843" s="87">
        <f>SUMIFS($AU$3:AU893,$AQ$3:AQ893,"H")</f>
        <v>11643.200000000877</v>
      </c>
      <c r="BO843" s="87">
        <f>SUMIFS($AU$3:AU893,$AQ$3:AQ893,"D")</f>
        <v>13122.377472527351</v>
      </c>
      <c r="BP843" s="87">
        <f>SUMIFS($AS$3:AS1313,$AO$3:AO1313,"W")</f>
        <v>0</v>
      </c>
      <c r="BQ843" s="87">
        <f>SUMIFS($AU$3:AU893,$Q$3:Q893,"O")</f>
        <v>-9340.9400000006026</v>
      </c>
      <c r="BR843" s="87">
        <f>SUMIFS($AU$3:AU893,$AA$3:AA893,"*")</f>
        <v>37881.5220779214</v>
      </c>
      <c r="BS843" s="87">
        <f>SUMIFS($AU$3:AU893,$AB$3:AB893,"*")</f>
        <v>7475.8599999999715</v>
      </c>
      <c r="BT843" s="87">
        <f>SUMIFS($AU$3:AU893,$AC$3:AC893,"*")</f>
        <v>33251.078121878119</v>
      </c>
      <c r="BU843" s="87">
        <f>SUMIFS($AU$3:AU893,$AA$3:AA893,"*",$AB$3:AB893,"*")</f>
        <v>7915.9999999997544</v>
      </c>
      <c r="BV843" s="87">
        <f>SUMIFS($AU$3:AU893,$AA$3:AA893,"*",$AC$3:AC893,"*")</f>
        <v>29696.036363636529</v>
      </c>
      <c r="BW843" s="87">
        <f>SUMIFS($AU$3:AU893,$AB$3:AB893,"*",$AC$3:AC893,"*")</f>
        <v>3863.9999999999991</v>
      </c>
      <c r="BX843" s="87">
        <f>SUMIFS($AV$3:AV893,$Q$3:Q893,"F")</f>
        <v>383.04019562430165</v>
      </c>
      <c r="BY843" s="87">
        <f>SUMIFS($AV$3:AV893,$Q$3:Q893,"S")</f>
        <v>676.61134190572739</v>
      </c>
      <c r="BZ843" s="87">
        <f>SUMIFS($AV$3:AV893,$Q$3:Q893,"O")</f>
        <v>378.55929999967736</v>
      </c>
    </row>
    <row r="844" spans="1:78" ht="15.75" customHeight="1">
      <c r="A844" s="45" t="s">
        <v>2311</v>
      </c>
      <c r="B844" s="59"/>
      <c r="C844" s="46"/>
      <c r="D844" s="46"/>
      <c r="E844" s="66"/>
      <c r="F844" s="47"/>
      <c r="G844" s="48"/>
      <c r="H844" s="49"/>
      <c r="I844" s="49"/>
      <c r="J844" s="49"/>
      <c r="K844" s="50"/>
      <c r="L844" s="49"/>
      <c r="M844" s="49"/>
      <c r="N844" s="49"/>
      <c r="O844" s="50"/>
      <c r="P844" s="50"/>
      <c r="Q844" s="50"/>
      <c r="R844" s="50"/>
      <c r="S844" s="50"/>
      <c r="T844" s="50"/>
      <c r="U844" s="50"/>
      <c r="V844" s="50"/>
      <c r="W844" s="50"/>
      <c r="X844" s="50"/>
      <c r="Y844" s="50"/>
      <c r="Z844" s="50"/>
      <c r="AA844" s="52"/>
      <c r="AB844" s="52"/>
      <c r="AC844" s="52"/>
      <c r="AD844" s="231"/>
      <c r="AE844" s="49"/>
      <c r="AF844" s="84"/>
      <c r="AG844" s="49"/>
      <c r="AH844" s="49"/>
      <c r="AI844" s="49"/>
      <c r="AJ844" s="226"/>
      <c r="AK844" s="49"/>
      <c r="AL844" s="113">
        <f t="shared" si="342"/>
        <v>0</v>
      </c>
      <c r="AM844" s="113">
        <f t="shared" si="333"/>
        <v>0</v>
      </c>
      <c r="AN844" s="218"/>
      <c r="AO844" s="49"/>
      <c r="AP844" s="49"/>
      <c r="AQ844" s="84" t="str">
        <f>UPPER(RIGHT(Journal_Live[[#This Row],[DURATION ]]))</f>
        <v/>
      </c>
      <c r="AR844" s="49"/>
      <c r="AS844" s="55"/>
      <c r="AT844" s="55">
        <f t="shared" si="334"/>
        <v>0</v>
      </c>
      <c r="AU844" s="54">
        <f t="shared" si="335"/>
        <v>0</v>
      </c>
      <c r="AV844" s="56">
        <f t="shared" si="343"/>
        <v>0</v>
      </c>
      <c r="AW844" s="57"/>
      <c r="AX844" s="99" t="s">
        <v>2638</v>
      </c>
      <c r="AY844" s="151" t="s">
        <v>2639</v>
      </c>
      <c r="AZ844" s="151" t="s">
        <v>2640</v>
      </c>
      <c r="BA844" s="151" t="s">
        <v>2641</v>
      </c>
      <c r="BB844" s="177" t="s">
        <v>2642</v>
      </c>
      <c r="BC844" s="177" t="s">
        <v>2643</v>
      </c>
      <c r="BD844" s="151"/>
      <c r="BE844" s="152"/>
      <c r="BF844" s="151"/>
      <c r="BG844" s="94">
        <f>SUM($AV$4:AV844)</f>
        <v>4903.6108375297354</v>
      </c>
      <c r="BH844" s="95">
        <f>SUM($AU$4:AU844)</f>
        <v>53030.423836163987</v>
      </c>
      <c r="BI844" s="80">
        <f>SUMIFS($AU$3:AU846,$Q$3:Q846,"F")</f>
        <v>30355.078121878127</v>
      </c>
      <c r="BJ844" s="80">
        <f>SUMIFS($AU$3:AU846,$Q$3:Q846,"S")</f>
        <v>25058.28571428571</v>
      </c>
      <c r="BK844" s="87">
        <f>SUMIFS($AU$3:AU846,$P$3:P846,"W")</f>
        <v>27752.14383616417</v>
      </c>
      <c r="BL844" s="87">
        <f>SUMIFS($AU$3:AU846,$P$3:P846,"R")</f>
        <v>22308.400000000325</v>
      </c>
      <c r="BM844" s="87">
        <f>SUMIFS($AU$3:AU846,$AQ$3:AQ846,"M")</f>
        <v>12669.179999998996</v>
      </c>
      <c r="BN844" s="87">
        <f>SUMIFS($AU$3:AU846,$AQ$3:AQ846,"H")</f>
        <v>14363.200000001041</v>
      </c>
      <c r="BO844" s="87">
        <f>SUMIFS($AU$3:AU846,$AQ$3:AQ846,"D")</f>
        <v>15062.377472527351</v>
      </c>
      <c r="BP844" s="87">
        <f>SUMIFS($AS$3:AS1310,$AO$3:AO1310,"W")</f>
        <v>0</v>
      </c>
      <c r="BQ844" s="87">
        <f>SUMIFS($AU$3:AU846,$Q$3:Q846,"O")</f>
        <v>-5006.9399999998313</v>
      </c>
      <c r="BR844" s="87">
        <f>SUMIFS($AU$3:AU846,$AA$3:AA846,"*")</f>
        <v>43923.522077922011</v>
      </c>
      <c r="BS844" s="87">
        <f>SUMIFS($AU$3:AU846,$AB$3:AB846,"*")</f>
        <v>8595.8599999999715</v>
      </c>
      <c r="BT844" s="87">
        <f>SUMIFS($AU$3:AU846,$AC$3:AC846,"*")</f>
        <v>40531.078121878294</v>
      </c>
      <c r="BU844" s="87">
        <f>SUMIFS($AU$3:AU846,$AA$3:AA846,"*",$AB$3:AB846,"*")</f>
        <v>7915.9999999997544</v>
      </c>
      <c r="BV844" s="87">
        <f>SUMIFS($AU$3:AU846,$AA$3:AA846,"*",$AC$3:AC846,"*")</f>
        <v>32544.036363636536</v>
      </c>
      <c r="BW844" s="87">
        <f>SUMIFS($AU$3:AU846,$AB$3:AB846,"*",$AC$3:AC846,"*")</f>
        <v>4983.9999999999991</v>
      </c>
      <c r="BX844" s="87">
        <f>SUMIFS($AV$3:AV846,$Q$3:Q846,"F")</f>
        <v>389.44019562430162</v>
      </c>
      <c r="BY844" s="87">
        <f>SUMIFS($AV$3:AV846,$Q$3:Q846,"S")</f>
        <v>820.61134190572739</v>
      </c>
      <c r="BZ844" s="87">
        <f>SUMIFS($AV$3:AV846,$Q$3:Q846,"O")</f>
        <v>545.55929999969885</v>
      </c>
    </row>
    <row r="845" spans="1:78" ht="15.75" customHeight="1">
      <c r="A845" s="45" t="s">
        <v>2311</v>
      </c>
      <c r="B845" s="59"/>
      <c r="C845" s="46"/>
      <c r="D845" s="46"/>
      <c r="E845" s="66"/>
      <c r="F845" s="47"/>
      <c r="G845" s="48"/>
      <c r="H845" s="49"/>
      <c r="I845" s="49"/>
      <c r="J845" s="49"/>
      <c r="K845" s="50"/>
      <c r="L845" s="49"/>
      <c r="M845" s="49"/>
      <c r="N845" s="49"/>
      <c r="O845" s="50"/>
      <c r="P845" s="50"/>
      <c r="Q845" s="50"/>
      <c r="R845" s="50"/>
      <c r="S845" s="50"/>
      <c r="T845" s="50"/>
      <c r="U845" s="50"/>
      <c r="V845" s="50"/>
      <c r="W845" s="50"/>
      <c r="X845" s="50"/>
      <c r="Y845" s="50"/>
      <c r="Z845" s="50"/>
      <c r="AA845" s="52"/>
      <c r="AB845" s="52"/>
      <c r="AC845" s="52"/>
      <c r="AD845" s="231"/>
      <c r="AE845" s="49"/>
      <c r="AF845" s="84"/>
      <c r="AG845" s="49"/>
      <c r="AH845" s="49"/>
      <c r="AI845" s="49"/>
      <c r="AJ845" s="226"/>
      <c r="AK845" s="49"/>
      <c r="AL845" s="113">
        <f t="shared" si="342"/>
        <v>0</v>
      </c>
      <c r="AM845" s="113">
        <f t="shared" si="333"/>
        <v>0</v>
      </c>
      <c r="AN845" s="218"/>
      <c r="AO845" s="49"/>
      <c r="AP845" s="49"/>
      <c r="AQ845" s="84" t="str">
        <f>UPPER(RIGHT(Journal_Live[[#This Row],[DURATION ]]))</f>
        <v/>
      </c>
      <c r="AR845" s="49"/>
      <c r="AS845" s="55"/>
      <c r="AT845" s="55">
        <f t="shared" si="334"/>
        <v>0</v>
      </c>
      <c r="AU845" s="54">
        <f t="shared" si="335"/>
        <v>0</v>
      </c>
      <c r="AV845" s="56">
        <f t="shared" si="343"/>
        <v>0</v>
      </c>
      <c r="AW845" s="57"/>
      <c r="AX845" s="151" t="s">
        <v>2644</v>
      </c>
      <c r="AY845" s="151" t="s">
        <v>2645</v>
      </c>
      <c r="AZ845" s="153" t="s">
        <v>2646</v>
      </c>
      <c r="BA845" s="153"/>
      <c r="BB845" s="153"/>
      <c r="BC845" s="153"/>
      <c r="BD845" s="151"/>
      <c r="BE845" s="152"/>
      <c r="BF845" s="151"/>
      <c r="BG845" s="94">
        <f>SUM($AV$4:AV845)</f>
        <v>4903.6108375297354</v>
      </c>
      <c r="BH845" s="95">
        <f>SUM($AU$4:AU845)</f>
        <v>53030.423836163987</v>
      </c>
      <c r="BI845" s="80">
        <f>SUMIFS($AU$3:AU882,$Q$3:Q882,"F")</f>
        <v>29235.078121878127</v>
      </c>
      <c r="BJ845" s="80">
        <f>SUMIFS($AU$3:AU882,$Q$3:Q882,"S")</f>
        <v>17938.285714285706</v>
      </c>
      <c r="BK845" s="87">
        <f>SUMIFS($AU$3:AU882,$P$3:P882,"W")</f>
        <v>17144.143836163403</v>
      </c>
      <c r="BL845" s="87">
        <f>SUMIFS($AU$3:AU882,$P$3:P882,"R")</f>
        <v>22616.400000000325</v>
      </c>
      <c r="BM845" s="87">
        <f>SUMIFS($AU$3:AU882,$AQ$3:AQ882,"M")</f>
        <v>8875.1799999983887</v>
      </c>
      <c r="BN845" s="87">
        <f>SUMIFS($AU$3:AU882,$AQ$3:AQ882,"H")</f>
        <v>11643.200000000877</v>
      </c>
      <c r="BO845" s="87">
        <f>SUMIFS($AU$3:AU882,$AQ$3:AQ882,"D")</f>
        <v>13122.377472527351</v>
      </c>
      <c r="BP845" s="87">
        <f>SUMIFS($AS$3:AS1311,$AO$3:AO1311,"W")</f>
        <v>0</v>
      </c>
      <c r="BQ845" s="87">
        <f>SUMIFS($AU$3:AU882,$Q$3:Q882,"O")</f>
        <v>-9340.9400000006026</v>
      </c>
      <c r="BR845" s="87">
        <f>SUMIFS($AU$3:AU882,$AA$3:AA882,"*")</f>
        <v>37881.5220779214</v>
      </c>
      <c r="BS845" s="87">
        <f>SUMIFS($AU$3:AU882,$AB$3:AB882,"*")</f>
        <v>7475.8599999999715</v>
      </c>
      <c r="BT845" s="87">
        <f>SUMIFS($AU$3:AU882,$AC$3:AC882,"*")</f>
        <v>33251.078121878119</v>
      </c>
      <c r="BU845" s="87">
        <f>SUMIFS($AU$3:AU882,$AA$3:AA882,"*",$AB$3:AB882,"*")</f>
        <v>7915.9999999997544</v>
      </c>
      <c r="BV845" s="87">
        <f>SUMIFS($AU$3:AU882,$AA$3:AA882,"*",$AC$3:AC882,"*")</f>
        <v>29696.036363636529</v>
      </c>
      <c r="BW845" s="87">
        <f>SUMIFS($AU$3:AU882,$AB$3:AB882,"*",$AC$3:AC882,"*")</f>
        <v>3863.9999999999991</v>
      </c>
      <c r="BX845" s="87">
        <f>SUMIFS($AV$3:AV882,$Q$3:Q882,"F")</f>
        <v>383.04019562430165</v>
      </c>
      <c r="BY845" s="87">
        <f>SUMIFS($AV$3:AV882,$Q$3:Q882,"S")</f>
        <v>676.61134190572739</v>
      </c>
      <c r="BZ845" s="87">
        <f>SUMIFS($AV$3:AV882,$Q$3:Q882,"O")</f>
        <v>378.55929999967736</v>
      </c>
    </row>
    <row r="846" spans="1:78" ht="15.75" customHeight="1">
      <c r="A846" s="45" t="s">
        <v>2311</v>
      </c>
      <c r="B846" s="59">
        <v>45462</v>
      </c>
      <c r="C846" s="46" t="s">
        <v>2647</v>
      </c>
      <c r="D846" s="46" t="s">
        <v>186</v>
      </c>
      <c r="E846" s="66"/>
      <c r="F846" s="47"/>
      <c r="G846" s="155" t="s">
        <v>276</v>
      </c>
      <c r="H846" s="49"/>
      <c r="I846" s="49"/>
      <c r="J846" s="49"/>
      <c r="K846" s="50"/>
      <c r="L846" s="49">
        <v>1</v>
      </c>
      <c r="M846" s="49"/>
      <c r="N846" s="49"/>
      <c r="O846" s="50" t="s">
        <v>100</v>
      </c>
      <c r="P846" s="50" t="s">
        <v>101</v>
      </c>
      <c r="Q846" s="50" t="s">
        <v>102</v>
      </c>
      <c r="R846" s="50">
        <v>45</v>
      </c>
      <c r="S846" s="50">
        <v>1</v>
      </c>
      <c r="T846" s="50">
        <v>45</v>
      </c>
      <c r="U846" s="50" t="s">
        <v>22</v>
      </c>
      <c r="V846" s="50"/>
      <c r="W846" s="50"/>
      <c r="X846" s="50"/>
      <c r="Y846" s="51">
        <f>IF(ISBLANK(O846),"",(IF(O846=UPPER("IB"),0.005,0.01)))</f>
        <v>0.01</v>
      </c>
      <c r="Z846" s="52">
        <f>IF(ISBLANK(O846),"",IF(O846="IB",8.63*200,IF(O846="IR",16*100,IF(O846="YT",20*100,IF(O846="YT-XT",24*200,IF(O846="TED",80*100,IF(O846="IR|YT",300*100)))))))</f>
        <v>1600</v>
      </c>
      <c r="AA846" s="52"/>
      <c r="AB846" s="52"/>
      <c r="AC846" s="52" t="s">
        <v>2648</v>
      </c>
      <c r="AD846" s="231">
        <v>-0.1</v>
      </c>
      <c r="AE846" s="49"/>
      <c r="AF846" s="84"/>
      <c r="AG846" s="49"/>
      <c r="AH846" s="49"/>
      <c r="AI846" s="49"/>
      <c r="AJ846" s="226"/>
      <c r="AK846" s="49"/>
      <c r="AL846" s="113">
        <f t="shared" si="342"/>
        <v>-32</v>
      </c>
      <c r="AM846" s="113">
        <f t="shared" si="333"/>
        <v>-1408</v>
      </c>
      <c r="AN846" s="218"/>
      <c r="AO846" s="49"/>
      <c r="AP846" s="49" t="s">
        <v>279</v>
      </c>
      <c r="AQ846" s="84" t="s">
        <v>155</v>
      </c>
      <c r="AR846" s="49" t="s">
        <v>2552</v>
      </c>
      <c r="AS846" s="55">
        <v>-0.1</v>
      </c>
      <c r="AT846" s="55">
        <f t="shared" si="334"/>
        <v>0</v>
      </c>
      <c r="AU846" s="54">
        <f t="shared" si="335"/>
        <v>0</v>
      </c>
      <c r="AV846" s="56">
        <f t="shared" si="343"/>
        <v>0</v>
      </c>
      <c r="AW846" s="57" t="s">
        <v>155</v>
      </c>
      <c r="AX846" s="186" t="s">
        <v>2649</v>
      </c>
      <c r="AY846" s="186" t="s">
        <v>2650</v>
      </c>
      <c r="AZ846" s="153"/>
      <c r="BA846" s="153"/>
      <c r="BB846" s="153"/>
      <c r="BC846" s="153"/>
      <c r="BD846" s="151"/>
      <c r="BE846" s="152"/>
      <c r="BF846" s="151"/>
      <c r="BG846" s="94">
        <f>SUM($AV$4:AV846)</f>
        <v>4903.6108375297354</v>
      </c>
      <c r="BH846" s="95">
        <f>SUM($AU$4:AU846)</f>
        <v>53030.423836163987</v>
      </c>
      <c r="BI846" s="80">
        <f>SUMIFS($AU$3:AU892,$Q$3:Q892,"F")</f>
        <v>29235.078121878127</v>
      </c>
      <c r="BJ846" s="80">
        <f>SUMIFS($AU$3:AU892,$Q$3:Q892,"S")</f>
        <v>17938.285714285706</v>
      </c>
      <c r="BK846" s="87">
        <f>SUMIFS($AU$3:AU892,$P$3:P892,"W")</f>
        <v>17144.143836163403</v>
      </c>
      <c r="BL846" s="87">
        <f>SUMIFS($AU$3:AU892,$P$3:P892,"R")</f>
        <v>22616.400000000325</v>
      </c>
      <c r="BM846" s="87">
        <f>SUMIFS($AU$3:AU892,$AQ$3:AQ892,"M")</f>
        <v>8875.1799999983887</v>
      </c>
      <c r="BN846" s="87">
        <f>SUMIFS($AU$3:AU892,$AQ$3:AQ892,"H")</f>
        <v>11643.200000000877</v>
      </c>
      <c r="BO846" s="87">
        <f>SUMIFS($AU$3:AU892,$AQ$3:AQ892,"D")</f>
        <v>13122.377472527351</v>
      </c>
      <c r="BP846" s="87">
        <f>SUMIFS($AS$3:AS1312,$AO$3:AO1312,"W")</f>
        <v>0</v>
      </c>
      <c r="BQ846" s="87">
        <f>SUMIFS($AU$3:AU892,$Q$3:Q892,"O")</f>
        <v>-9340.9400000006026</v>
      </c>
      <c r="BR846" s="87">
        <f>SUMIFS($AU$3:AU892,$AA$3:AA892,"*")</f>
        <v>37881.5220779214</v>
      </c>
      <c r="BS846" s="87">
        <f>SUMIFS($AU$3:AU892,$AB$3:AB892,"*")</f>
        <v>7475.8599999999715</v>
      </c>
      <c r="BT846" s="87">
        <f>SUMIFS($AU$3:AU892,$AC$3:AC892,"*")</f>
        <v>33251.078121878119</v>
      </c>
      <c r="BU846" s="87">
        <f>SUMIFS($AU$3:AU892,$AA$3:AA892,"*",$AB$3:AB892,"*")</f>
        <v>7915.9999999997544</v>
      </c>
      <c r="BV846" s="87">
        <f>SUMIFS($AU$3:AU892,$AA$3:AA892,"*",$AC$3:AC892,"*")</f>
        <v>29696.036363636529</v>
      </c>
      <c r="BW846" s="87">
        <f>SUMIFS($AU$3:AU892,$AB$3:AB892,"*",$AC$3:AC892,"*")</f>
        <v>3863.9999999999991</v>
      </c>
      <c r="BX846" s="87">
        <f>SUMIFS($AV$3:AV892,$Q$3:Q892,"F")</f>
        <v>383.04019562430165</v>
      </c>
      <c r="BY846" s="87">
        <f>SUMIFS($AV$3:AV892,$Q$3:Q892,"S")</f>
        <v>676.61134190572739</v>
      </c>
      <c r="BZ846" s="87">
        <f>SUMIFS($AV$3:AV892,$Q$3:Q892,"O")</f>
        <v>378.55929999967736</v>
      </c>
    </row>
    <row r="847" spans="1:78" ht="15.75" customHeight="1">
      <c r="A847" s="45" t="s">
        <v>2311</v>
      </c>
      <c r="B847" s="59">
        <v>45463</v>
      </c>
      <c r="C847" s="46" t="s">
        <v>652</v>
      </c>
      <c r="D847" s="46" t="s">
        <v>107</v>
      </c>
      <c r="E847" s="66"/>
      <c r="F847" s="47"/>
      <c r="G847" s="48" t="s">
        <v>227</v>
      </c>
      <c r="H847" s="49"/>
      <c r="I847" s="49"/>
      <c r="J847" s="49"/>
      <c r="K847" s="50"/>
      <c r="L847" s="49"/>
      <c r="M847" s="49"/>
      <c r="N847" s="49"/>
      <c r="O847" s="50"/>
      <c r="P847" s="50"/>
      <c r="Q847" s="50"/>
      <c r="R847" s="50"/>
      <c r="S847" s="50"/>
      <c r="T847" s="50"/>
      <c r="U847" s="50"/>
      <c r="V847" s="50"/>
      <c r="W847" s="50"/>
      <c r="X847" s="50"/>
      <c r="Y847" s="51"/>
      <c r="Z847" s="52"/>
      <c r="AA847" s="52"/>
      <c r="AB847" s="52"/>
      <c r="AC847" s="52"/>
      <c r="AD847" s="231"/>
      <c r="AE847" s="49"/>
      <c r="AF847" s="84"/>
      <c r="AG847" s="49"/>
      <c r="AH847" s="49"/>
      <c r="AI847" s="49"/>
      <c r="AJ847" s="226"/>
      <c r="AK847" s="49"/>
      <c r="AL847" s="113">
        <f t="shared" si="342"/>
        <v>0</v>
      </c>
      <c r="AM847" s="113">
        <f t="shared" ref="AM847:AM878" si="344">AL847*(R847-S847)</f>
        <v>0</v>
      </c>
      <c r="AN847" s="218"/>
      <c r="AO847" s="49"/>
      <c r="AP847" s="49"/>
      <c r="AQ847" s="84" t="str">
        <f>UPPER(RIGHT(Journal_Live[[#This Row],[DURATION ]]))</f>
        <v/>
      </c>
      <c r="AR847" s="49"/>
      <c r="AS847" s="55"/>
      <c r="AT847" s="55">
        <f t="shared" si="334"/>
        <v>0</v>
      </c>
      <c r="AU847" s="54">
        <f t="shared" si="335"/>
        <v>0</v>
      </c>
      <c r="AV847" s="56">
        <f t="shared" si="343"/>
        <v>0</v>
      </c>
      <c r="AW847" s="57"/>
      <c r="AX847" s="153"/>
      <c r="AY847" s="153"/>
      <c r="AZ847" s="153"/>
      <c r="BA847" s="153"/>
      <c r="BB847" s="153"/>
      <c r="BC847" s="153"/>
      <c r="BD847" s="151"/>
      <c r="BE847" s="152"/>
      <c r="BF847" s="151"/>
      <c r="BG847" s="94">
        <f>SUM($AV$4:AV847)</f>
        <v>4903.6108375297354</v>
      </c>
      <c r="BH847" s="95">
        <f>SUM($AU$4:AU847)</f>
        <v>53030.423836163987</v>
      </c>
      <c r="BI847" s="80">
        <f>SUMIFS($AU$3:AU849,$Q$3:Q849,"F")</f>
        <v>30355.078121878127</v>
      </c>
      <c r="BJ847" s="80">
        <f>SUMIFS($AU$3:AU849,$Q$3:Q849,"S")</f>
        <v>25058.28571428571</v>
      </c>
      <c r="BK847" s="87">
        <f>SUMIFS($AU$3:AU849,$P$3:P849,"W")</f>
        <v>27752.14383616417</v>
      </c>
      <c r="BL847" s="87">
        <f>SUMIFS($AU$3:AU849,$P$3:P849,"R")</f>
        <v>22308.400000000325</v>
      </c>
      <c r="BM847" s="87">
        <f>SUMIFS($AU$3:AU849,$AQ$3:AQ849,"M")</f>
        <v>12669.179999998996</v>
      </c>
      <c r="BN847" s="87">
        <f>SUMIFS($AU$3:AU849,$AQ$3:AQ849,"H")</f>
        <v>14363.200000001041</v>
      </c>
      <c r="BO847" s="87">
        <f>SUMIFS($AU$3:AU849,$AQ$3:AQ849,"D")</f>
        <v>15062.377472527351</v>
      </c>
      <c r="BP847" s="87">
        <f>SUMIFS($AS$3:AS1304,$AO$3:AO1304,"W")</f>
        <v>0</v>
      </c>
      <c r="BQ847" s="87">
        <f>SUMIFS($AU$3:AU849,$Q$3:Q849,"O")</f>
        <v>-5006.9399999998313</v>
      </c>
      <c r="BR847" s="87">
        <f>SUMIFS($AU$3:AU849,$AA$3:AA849,"*")</f>
        <v>43923.522077922011</v>
      </c>
      <c r="BS847" s="87">
        <f>SUMIFS($AU$3:AU849,$AB$3:AB849,"*")</f>
        <v>8595.8599999999715</v>
      </c>
      <c r="BT847" s="87">
        <f>SUMIFS($AU$3:AU849,$AC$3:AC849,"*")</f>
        <v>40531.078121878294</v>
      </c>
      <c r="BU847" s="87">
        <f>SUMIFS($AU$3:AU849,$AA$3:AA849,"*",$AB$3:AB849,"*")</f>
        <v>7915.9999999997544</v>
      </c>
      <c r="BV847" s="87">
        <f>SUMIFS($AU$3:AU849,$AA$3:AA849,"*",$AC$3:AC849,"*")</f>
        <v>32544.036363636536</v>
      </c>
      <c r="BW847" s="87">
        <f>SUMIFS($AU$3:AU849,$AB$3:AB849,"*",$AC$3:AC849,"*")</f>
        <v>4983.9999999999991</v>
      </c>
      <c r="BX847" s="87">
        <f>SUMIFS($AV$3:AV849,$Q$3:Q849,"F")</f>
        <v>389.44019562430162</v>
      </c>
      <c r="BY847" s="87">
        <f>SUMIFS($AV$3:AV849,$Q$3:Q849,"S")</f>
        <v>820.61134190572739</v>
      </c>
      <c r="BZ847" s="87">
        <f>SUMIFS($AV$3:AV849,$Q$3:Q849,"O")</f>
        <v>545.55929999969885</v>
      </c>
    </row>
    <row r="848" spans="1:78" ht="15.75" customHeight="1">
      <c r="A848" s="45" t="s">
        <v>2311</v>
      </c>
      <c r="B848" s="59">
        <v>45463</v>
      </c>
      <c r="C848" s="46" t="s">
        <v>2128</v>
      </c>
      <c r="D848" s="46" t="s">
        <v>107</v>
      </c>
      <c r="E848" s="66"/>
      <c r="F848" s="47"/>
      <c r="G848" s="48" t="s">
        <v>181</v>
      </c>
      <c r="H848" s="49"/>
      <c r="I848" s="49"/>
      <c r="J848" s="49"/>
      <c r="K848" s="50"/>
      <c r="L848" s="49">
        <v>1</v>
      </c>
      <c r="M848" s="49"/>
      <c r="N848" s="49"/>
      <c r="O848" s="50" t="s">
        <v>100</v>
      </c>
      <c r="P848" s="50" t="s">
        <v>101</v>
      </c>
      <c r="Q848" s="50" t="s">
        <v>102</v>
      </c>
      <c r="R848" s="50">
        <v>20</v>
      </c>
      <c r="S848" s="50">
        <v>0</v>
      </c>
      <c r="T848" s="50">
        <v>20</v>
      </c>
      <c r="U848" s="50" t="s">
        <v>102</v>
      </c>
      <c r="V848" s="50"/>
      <c r="W848" s="50"/>
      <c r="X848" s="50"/>
      <c r="Y848" s="51">
        <f>IF(ISBLANK(O848),"",(IF(O848=UPPER("IB"),0.005,0.01)))</f>
        <v>0.01</v>
      </c>
      <c r="Z848" s="52">
        <f>IF(ISBLANK(O848),"",IF(O848="IB",8.63*200,IF(O848="IR",16*100,IF(O848="YT",20*100,IF(O848="YT-XT",24*200,IF(O848="TED",80*100,IF(O848="IR|YT",300*100)))))))</f>
        <v>1600</v>
      </c>
      <c r="AA848" s="52" t="s">
        <v>2651</v>
      </c>
      <c r="AB848" s="52"/>
      <c r="AC848" s="52"/>
      <c r="AD848" s="231">
        <v>-0.1</v>
      </c>
      <c r="AE848" s="49"/>
      <c r="AF848" s="84"/>
      <c r="AG848" s="49"/>
      <c r="AH848" s="49"/>
      <c r="AI848" s="49"/>
      <c r="AJ848" s="226"/>
      <c r="AK848" s="49"/>
      <c r="AL848" s="113">
        <f t="shared" si="342"/>
        <v>-32</v>
      </c>
      <c r="AM848" s="113">
        <f t="shared" si="344"/>
        <v>-640</v>
      </c>
      <c r="AN848" s="218"/>
      <c r="AO848" s="49"/>
      <c r="AP848" s="49"/>
      <c r="AQ848" s="84" t="s">
        <v>142</v>
      </c>
      <c r="AR848" s="49"/>
      <c r="AS848" s="55">
        <v>-0.1</v>
      </c>
      <c r="AT848" s="55">
        <f t="shared" si="334"/>
        <v>0</v>
      </c>
      <c r="AU848" s="54">
        <f t="shared" si="335"/>
        <v>0</v>
      </c>
      <c r="AV848" s="56">
        <f t="shared" si="343"/>
        <v>0</v>
      </c>
      <c r="AW848" s="57" t="s">
        <v>155</v>
      </c>
      <c r="AX848" s="153"/>
      <c r="AY848" s="153"/>
      <c r="AZ848" s="153"/>
      <c r="BA848" s="153"/>
      <c r="BB848" s="153"/>
      <c r="BC848" s="153"/>
      <c r="BD848" s="151"/>
      <c r="BE848" s="152"/>
      <c r="BF848" s="151"/>
      <c r="BG848" s="94">
        <f>SUM($AV$4:AV848)</f>
        <v>4903.6108375297354</v>
      </c>
      <c r="BH848" s="95">
        <f>SUM($AU$4:AU848)</f>
        <v>53030.423836163987</v>
      </c>
      <c r="BI848" s="80">
        <f>SUMIFS($AU$3:AU850,$Q$3:Q850,"F")</f>
        <v>30355.078121878127</v>
      </c>
      <c r="BJ848" s="80">
        <f>SUMIFS($AU$3:AU850,$Q$3:Q850,"S")</f>
        <v>27810.285714285706</v>
      </c>
      <c r="BK848" s="87">
        <f>SUMIFS($AU$3:AU850,$P$3:P850,"W")</f>
        <v>30504.143836164167</v>
      </c>
      <c r="BL848" s="87">
        <f>SUMIFS($AU$3:AU850,$P$3:P850,"R")</f>
        <v>22308.400000000325</v>
      </c>
      <c r="BM848" s="87">
        <f>SUMIFS($AU$3:AU850,$AQ$3:AQ850,"M")</f>
        <v>12669.179999998996</v>
      </c>
      <c r="BN848" s="87">
        <f>SUMIFS($AU$3:AU850,$AQ$3:AQ850,"H")</f>
        <v>14363.200000001041</v>
      </c>
      <c r="BO848" s="87">
        <f>SUMIFS($AU$3:AU850,$AQ$3:AQ850,"D")</f>
        <v>17814.377472527347</v>
      </c>
      <c r="BP848" s="87">
        <f>SUMIFS($AS$3:AS1305,$AO$3:AO1305,"W")</f>
        <v>0</v>
      </c>
      <c r="BQ848" s="87">
        <f>SUMIFS($AU$3:AU850,$Q$3:Q850,"O")</f>
        <v>-5006.9399999998313</v>
      </c>
      <c r="BR848" s="87">
        <f>SUMIFS($AU$3:AU850,$AA$3:AA850,"*")</f>
        <v>46675.522077922004</v>
      </c>
      <c r="BS848" s="87">
        <f>SUMIFS($AU$3:AU850,$AB$3:AB850,"*")</f>
        <v>8595.8599999999715</v>
      </c>
      <c r="BT848" s="87">
        <f>SUMIFS($AU$3:AU850,$AC$3:AC850,"*")</f>
        <v>43283.078121878287</v>
      </c>
      <c r="BU848" s="87">
        <f>SUMIFS($AU$3:AU850,$AA$3:AA850,"*",$AB$3:AB850,"*")</f>
        <v>7915.9999999997544</v>
      </c>
      <c r="BV848" s="87">
        <f>SUMIFS($AU$3:AU850,$AA$3:AA850,"*",$AC$3:AC850,"*")</f>
        <v>35296.036363636529</v>
      </c>
      <c r="BW848" s="87">
        <f>SUMIFS($AU$3:AU850,$AB$3:AB850,"*",$AC$3:AC850,"*")</f>
        <v>4983.9999999999991</v>
      </c>
      <c r="BX848" s="87">
        <f>SUMIFS($AV$3:AV850,$Q$3:Q850,"F")</f>
        <v>389.44019562430162</v>
      </c>
      <c r="BY848" s="87">
        <f>SUMIFS($AV$3:AV850,$Q$3:Q850,"S")</f>
        <v>836.61134190572739</v>
      </c>
      <c r="BZ848" s="87">
        <f>SUMIFS($AV$3:AV850,$Q$3:Q850,"O")</f>
        <v>545.55929999969885</v>
      </c>
    </row>
    <row r="849" spans="1:78" ht="15.75" customHeight="1">
      <c r="A849" s="45" t="s">
        <v>2311</v>
      </c>
      <c r="B849" s="59">
        <v>45464</v>
      </c>
      <c r="C849" s="46" t="s">
        <v>2652</v>
      </c>
      <c r="D849" s="46" t="s">
        <v>115</v>
      </c>
      <c r="E849" s="66"/>
      <c r="F849" s="47"/>
      <c r="G849" s="104" t="s">
        <v>113</v>
      </c>
      <c r="H849" s="49"/>
      <c r="I849" s="49"/>
      <c r="J849" s="49"/>
      <c r="K849" s="50"/>
      <c r="L849" s="49">
        <v>1</v>
      </c>
      <c r="M849" s="49">
        <v>1</v>
      </c>
      <c r="N849" s="49"/>
      <c r="O849" s="50" t="s">
        <v>100</v>
      </c>
      <c r="P849" s="50" t="s">
        <v>126</v>
      </c>
      <c r="Q849" s="50" t="s">
        <v>102</v>
      </c>
      <c r="R849" s="50">
        <v>160</v>
      </c>
      <c r="S849" s="50">
        <v>100</v>
      </c>
      <c r="T849" s="50">
        <v>160</v>
      </c>
      <c r="U849" s="50" t="s">
        <v>102</v>
      </c>
      <c r="V849" s="50"/>
      <c r="W849" s="50"/>
      <c r="X849" s="50"/>
      <c r="Y849" s="51">
        <f>IF(ISBLANK(O849),"",(IF(O849=UPPER("IB"),0.005,0.01)))</f>
        <v>0.01</v>
      </c>
      <c r="Z849" s="52">
        <f>IF(ISBLANK(O849),"",IF(O849="IB",8.63*200,IF(O849="IR",16*100,IF(O849="YT",20*100,IF(O849="YT-XT",24*200,IF(O849="TED",80*100,IF(O849="IR|YT",300*100)))))))</f>
        <v>1600</v>
      </c>
      <c r="AA849" s="52"/>
      <c r="AB849" s="52"/>
      <c r="AC849" s="52" t="s">
        <v>2653</v>
      </c>
      <c r="AD849" s="231">
        <v>-0.08</v>
      </c>
      <c r="AE849" s="49"/>
      <c r="AF849" s="84"/>
      <c r="AG849" s="49"/>
      <c r="AH849" s="49"/>
      <c r="AI849" s="49"/>
      <c r="AJ849" s="226"/>
      <c r="AK849" s="49"/>
      <c r="AL849" s="113">
        <f t="shared" si="342"/>
        <v>-32</v>
      </c>
      <c r="AM849" s="113">
        <f t="shared" si="344"/>
        <v>-1920</v>
      </c>
      <c r="AN849" s="218"/>
      <c r="AO849" s="49"/>
      <c r="AP849" s="49"/>
      <c r="AQ849" s="84" t="str">
        <f>UPPER(RIGHT(Journal_Live[[#This Row],[DURATION ]]))</f>
        <v/>
      </c>
      <c r="AR849" s="49"/>
      <c r="AS849" s="55">
        <f>-0.08</f>
        <v>-0.08</v>
      </c>
      <c r="AT849" s="55">
        <f t="shared" si="334"/>
        <v>0</v>
      </c>
      <c r="AU849" s="54">
        <f t="shared" si="335"/>
        <v>0</v>
      </c>
      <c r="AV849" s="56">
        <f t="shared" si="343"/>
        <v>0</v>
      </c>
      <c r="AW849" s="57" t="s">
        <v>155</v>
      </c>
      <c r="AX849" s="153"/>
      <c r="AY849" s="153"/>
      <c r="AZ849" s="153"/>
      <c r="BA849" s="153"/>
      <c r="BB849" s="153"/>
      <c r="BC849" s="153"/>
      <c r="BD849" s="151"/>
      <c r="BE849" s="152"/>
      <c r="BF849" s="151"/>
      <c r="BG849" s="94">
        <f>SUM($AV$4:AV849)</f>
        <v>4903.6108375297354</v>
      </c>
      <c r="BH849" s="95">
        <f>SUM($AU$4:AU849)</f>
        <v>53030.423836163987</v>
      </c>
      <c r="BI849" s="80">
        <f>SUMIFS($AU$3:AU851,$Q$3:Q851,"F")</f>
        <v>30355.078121878127</v>
      </c>
      <c r="BJ849" s="80">
        <f>SUMIFS($AU$3:AU851,$Q$3:Q851,"S")</f>
        <v>27810.285714285706</v>
      </c>
      <c r="BK849" s="87">
        <f>SUMIFS($AU$3:AU851,$P$3:P851,"W")</f>
        <v>30504.143836164167</v>
      </c>
      <c r="BL849" s="87">
        <f>SUMIFS($AU$3:AU851,$P$3:P851,"R")</f>
        <v>22308.400000000325</v>
      </c>
      <c r="BM849" s="87">
        <f>SUMIFS($AU$3:AU851,$AQ$3:AQ851,"M")</f>
        <v>12669.179999998996</v>
      </c>
      <c r="BN849" s="87">
        <f>SUMIFS($AU$3:AU851,$AQ$3:AQ851,"H")</f>
        <v>14363.200000001041</v>
      </c>
      <c r="BO849" s="87">
        <f>SUMIFS($AU$3:AU851,$AQ$3:AQ851,"D")</f>
        <v>17814.377472527347</v>
      </c>
      <c r="BP849" s="87">
        <f>SUMIFS($AS$3:AS1306,$AO$3:AO1306,"W")</f>
        <v>0</v>
      </c>
      <c r="BQ849" s="87">
        <f>SUMIFS($AU$3:AU851,$Q$3:Q851,"O")</f>
        <v>-5006.9399999998313</v>
      </c>
      <c r="BR849" s="87">
        <f>SUMIFS($AU$3:AU851,$AA$3:AA851,"*")</f>
        <v>46675.522077922004</v>
      </c>
      <c r="BS849" s="87">
        <f>SUMIFS($AU$3:AU851,$AB$3:AB851,"*")</f>
        <v>8595.8599999999715</v>
      </c>
      <c r="BT849" s="87">
        <f>SUMIFS($AU$3:AU851,$AC$3:AC851,"*")</f>
        <v>43283.078121878287</v>
      </c>
      <c r="BU849" s="87">
        <f>SUMIFS($AU$3:AU851,$AA$3:AA851,"*",$AB$3:AB851,"*")</f>
        <v>7915.9999999997544</v>
      </c>
      <c r="BV849" s="87">
        <f>SUMIFS($AU$3:AU851,$AA$3:AA851,"*",$AC$3:AC851,"*")</f>
        <v>35296.036363636529</v>
      </c>
      <c r="BW849" s="87">
        <f>SUMIFS($AU$3:AU851,$AB$3:AB851,"*",$AC$3:AC851,"*")</f>
        <v>4983.9999999999991</v>
      </c>
      <c r="BX849" s="87">
        <f>SUMIFS($AV$3:AV851,$Q$3:Q851,"F")</f>
        <v>389.44019562430162</v>
      </c>
      <c r="BY849" s="87">
        <f>SUMIFS($AV$3:AV851,$Q$3:Q851,"S")</f>
        <v>836.61134190572739</v>
      </c>
      <c r="BZ849" s="87">
        <f>SUMIFS($AV$3:AV851,$Q$3:Q851,"O")</f>
        <v>545.55929999969885</v>
      </c>
    </row>
    <row r="850" spans="1:78" ht="15.75" customHeight="1">
      <c r="A850" s="45" t="s">
        <v>2311</v>
      </c>
      <c r="B850" s="59">
        <v>45464</v>
      </c>
      <c r="C850" s="46" t="s">
        <v>293</v>
      </c>
      <c r="D850" s="46" t="s">
        <v>115</v>
      </c>
      <c r="E850" s="66"/>
      <c r="F850" s="47"/>
      <c r="G850" s="104" t="s">
        <v>2654</v>
      </c>
      <c r="H850" s="49"/>
      <c r="I850" s="49"/>
      <c r="J850" s="49"/>
      <c r="K850" s="50"/>
      <c r="L850" s="49"/>
      <c r="M850" s="49">
        <v>1</v>
      </c>
      <c r="N850" s="49"/>
      <c r="O850" s="50" t="s">
        <v>100</v>
      </c>
      <c r="P850" s="50" t="s">
        <v>101</v>
      </c>
      <c r="Q850" s="50" t="s">
        <v>102</v>
      </c>
      <c r="R850" s="50">
        <v>172</v>
      </c>
      <c r="S850" s="50">
        <v>25</v>
      </c>
      <c r="T850" s="50">
        <v>100</v>
      </c>
      <c r="U850" s="50" t="s">
        <v>102</v>
      </c>
      <c r="V850" s="50"/>
      <c r="W850" s="50"/>
      <c r="X850" s="50"/>
      <c r="Y850" s="51">
        <f>IF(ISBLANK(O850),"",(IF(O850=UPPER("IB"),0.005,0.01)))</f>
        <v>0.01</v>
      </c>
      <c r="Z850" s="52">
        <f>IF(ISBLANK(O850),"",IF(O850="IB",8.63*200,IF(O850="IR",16*100,IF(O850="YT",20*100,IF(O850="YT-XT",24*200,IF(O850="TED",80*100,IF(O850="IR|YT",300*100)))))))</f>
        <v>1600</v>
      </c>
      <c r="AA850" s="52" t="s">
        <v>2655</v>
      </c>
      <c r="AB850" s="52"/>
      <c r="AC850" s="52" t="s">
        <v>2656</v>
      </c>
      <c r="AD850" s="231">
        <v>-0.17</v>
      </c>
      <c r="AE850" s="49"/>
      <c r="AF850" s="84"/>
      <c r="AG850" s="49"/>
      <c r="AH850" s="49"/>
      <c r="AI850" s="49"/>
      <c r="AJ850" s="226"/>
      <c r="AK850" s="49"/>
      <c r="AL850" s="113">
        <f t="shared" si="342"/>
        <v>-32</v>
      </c>
      <c r="AM850" s="113">
        <f t="shared" si="344"/>
        <v>-4704</v>
      </c>
      <c r="AN850" s="218"/>
      <c r="AO850" s="49"/>
      <c r="AP850" s="49" t="s">
        <v>265</v>
      </c>
      <c r="AQ850" s="84" t="s">
        <v>155</v>
      </c>
      <c r="AR850" s="49"/>
      <c r="AS850" s="55">
        <v>-0.18</v>
      </c>
      <c r="AT850" s="55">
        <f t="shared" si="334"/>
        <v>9.9999999999999811E-3</v>
      </c>
      <c r="AU850" s="54">
        <f t="shared" si="335"/>
        <v>2751.999999999995</v>
      </c>
      <c r="AV850" s="56">
        <f t="shared" si="343"/>
        <v>15.99999999999997</v>
      </c>
      <c r="AW850" s="57" t="s">
        <v>101</v>
      </c>
      <c r="AX850" s="153"/>
      <c r="AY850" s="153"/>
      <c r="AZ850" s="153"/>
      <c r="BA850" s="153"/>
      <c r="BB850" s="153"/>
      <c r="BC850" s="153"/>
      <c r="BD850" s="151"/>
      <c r="BE850" s="152"/>
      <c r="BF850" s="151"/>
      <c r="BG850" s="94">
        <f>SUM($AV$4:AV850)</f>
        <v>4919.6108375297354</v>
      </c>
      <c r="BH850" s="95">
        <f>SUM($AU$4:AU850)</f>
        <v>55782.42383616398</v>
      </c>
      <c r="BI850" s="80">
        <f>SUMIFS($AU$3:AU852,$Q$3:Q852,"F")</f>
        <v>30355.078121878127</v>
      </c>
      <c r="BJ850" s="80">
        <f>SUMIFS($AU$3:AU852,$Q$3:Q852,"S")</f>
        <v>27810.285714285706</v>
      </c>
      <c r="BK850" s="87">
        <f>SUMIFS($AU$3:AU852,$P$3:P852,"W")</f>
        <v>30504.143836164167</v>
      </c>
      <c r="BL850" s="87">
        <f>SUMIFS($AU$3:AU852,$P$3:P852,"R")</f>
        <v>22608.400000000325</v>
      </c>
      <c r="BM850" s="87">
        <f>SUMIFS($AU$3:AU852,$AQ$3:AQ852,"M")</f>
        <v>12669.179999998996</v>
      </c>
      <c r="BN850" s="87">
        <f>SUMIFS($AU$3:AU852,$AQ$3:AQ852,"H")</f>
        <v>14363.200000001041</v>
      </c>
      <c r="BO850" s="87">
        <f>SUMIFS($AU$3:AU852,$AQ$3:AQ852,"D")</f>
        <v>18114.377472527347</v>
      </c>
      <c r="BP850" s="87">
        <f>SUMIFS($AS$3:AS1307,$AO$3:AO1307,"W")</f>
        <v>0</v>
      </c>
      <c r="BQ850" s="87">
        <f>SUMIFS($AU$3:AU852,$Q$3:Q852,"O")</f>
        <v>-5006.9399999998313</v>
      </c>
      <c r="BR850" s="87">
        <f>SUMIFS($AU$3:AU852,$AA$3:AA852,"*")</f>
        <v>46975.522077922004</v>
      </c>
      <c r="BS850" s="87">
        <f>SUMIFS($AU$3:AU852,$AB$3:AB852,"*")</f>
        <v>8595.8599999999715</v>
      </c>
      <c r="BT850" s="87">
        <f>SUMIFS($AU$3:AU852,$AC$3:AC852,"*")</f>
        <v>43283.078121878287</v>
      </c>
      <c r="BU850" s="87">
        <f>SUMIFS($AU$3:AU852,$AA$3:AA852,"*",$AB$3:AB852,"*")</f>
        <v>7915.9999999997544</v>
      </c>
      <c r="BV850" s="87">
        <f>SUMIFS($AU$3:AU852,$AA$3:AA852,"*",$AC$3:AC852,"*")</f>
        <v>35296.036363636529</v>
      </c>
      <c r="BW850" s="87">
        <f>SUMIFS($AU$3:AU852,$AB$3:AB852,"*",$AC$3:AC852,"*")</f>
        <v>4983.9999999999991</v>
      </c>
      <c r="BX850" s="87">
        <f>SUMIFS($AV$3:AV852,$Q$3:Q852,"F")</f>
        <v>389.44019562430162</v>
      </c>
      <c r="BY850" s="87">
        <f>SUMIFS($AV$3:AV852,$Q$3:Q852,"S")</f>
        <v>836.61134190572739</v>
      </c>
      <c r="BZ850" s="87">
        <f>SUMIFS($AV$3:AV852,$Q$3:Q852,"O")</f>
        <v>545.55929999969885</v>
      </c>
    </row>
    <row r="851" spans="1:78" ht="15.75" customHeight="1">
      <c r="A851" s="45" t="s">
        <v>2311</v>
      </c>
      <c r="B851" s="59">
        <v>45464</v>
      </c>
      <c r="C851" s="58" t="s">
        <v>2657</v>
      </c>
      <c r="D851" s="46" t="s">
        <v>115</v>
      </c>
      <c r="E851" s="66"/>
      <c r="F851" s="47"/>
      <c r="G851" s="170" t="s">
        <v>181</v>
      </c>
      <c r="H851" s="49"/>
      <c r="I851" s="49"/>
      <c r="J851" s="49"/>
      <c r="K851" s="50"/>
      <c r="L851" s="49">
        <v>1</v>
      </c>
      <c r="M851" s="49"/>
      <c r="N851" s="49"/>
      <c r="O851" s="50" t="s">
        <v>100</v>
      </c>
      <c r="P851" s="50" t="s">
        <v>101</v>
      </c>
      <c r="Q851" s="50" t="s">
        <v>102</v>
      </c>
      <c r="R851" s="50">
        <v>20</v>
      </c>
      <c r="S851" s="50">
        <v>0</v>
      </c>
      <c r="T851" s="50">
        <v>20</v>
      </c>
      <c r="U851" s="50" t="s">
        <v>22</v>
      </c>
      <c r="V851" s="50"/>
      <c r="W851" s="50"/>
      <c r="X851" s="50"/>
      <c r="Y851" s="51">
        <f>IF(ISBLANK(O851),"",(IF(O851=UPPER("IB"),0.005,0.01)))</f>
        <v>0.01</v>
      </c>
      <c r="Z851" s="52">
        <f>IF(ISBLANK(O851),"",IF(O851="IB",8.63*200,IF(O851="IR",16*100,IF(O851="YT",20*100,IF(O851="YT-XT",24*200,IF(O851="TED",80*100,IF(O851="IR|YT",300*100)))))))</f>
        <v>1600</v>
      </c>
      <c r="AA851" s="52"/>
      <c r="AB851" s="52"/>
      <c r="AC851" s="52" t="s">
        <v>2658</v>
      </c>
      <c r="AD851" s="231">
        <v>-0.1</v>
      </c>
      <c r="AE851" s="49"/>
      <c r="AF851" s="84"/>
      <c r="AG851" s="49"/>
      <c r="AH851" s="49">
        <v>-9</v>
      </c>
      <c r="AI851" s="49"/>
      <c r="AJ851" s="226" t="s">
        <v>2659</v>
      </c>
      <c r="AK851" s="49"/>
      <c r="AL851" s="113">
        <f t="shared" si="342"/>
        <v>-32</v>
      </c>
      <c r="AM851" s="113">
        <f t="shared" si="344"/>
        <v>-640</v>
      </c>
      <c r="AN851" s="218"/>
      <c r="AO851" s="49"/>
      <c r="AP851" s="49" t="s">
        <v>1162</v>
      </c>
      <c r="AQ851" s="84" t="s">
        <v>155</v>
      </c>
      <c r="AR851" s="74">
        <v>45468</v>
      </c>
      <c r="AS851" s="55">
        <v>-0.1</v>
      </c>
      <c r="AT851" s="55">
        <f t="shared" si="334"/>
        <v>0</v>
      </c>
      <c r="AU851" s="54">
        <f t="shared" si="335"/>
        <v>0</v>
      </c>
      <c r="AV851" s="56">
        <f t="shared" si="343"/>
        <v>0</v>
      </c>
      <c r="AW851" s="57" t="s">
        <v>155</v>
      </c>
      <c r="AX851" s="153" t="s">
        <v>2660</v>
      </c>
      <c r="AY851" s="151"/>
      <c r="AZ851" s="153"/>
      <c r="BA851" s="151"/>
      <c r="BB851" s="153"/>
      <c r="BC851" s="153"/>
      <c r="BD851" s="151"/>
      <c r="BE851" s="152"/>
      <c r="BF851" s="151"/>
      <c r="BG851" s="94">
        <f>SUM($AV$4:AV851)</f>
        <v>4919.6108375297354</v>
      </c>
      <c r="BH851" s="95">
        <f>SUM($AU$4:AU851)</f>
        <v>55782.42383616398</v>
      </c>
      <c r="BI851" s="80">
        <f>SUMIFS($AU$3:AU853,$Q$3:Q853,"F")</f>
        <v>30355.078121878127</v>
      </c>
      <c r="BJ851" s="80">
        <f>SUMIFS($AU$3:AU853,$Q$3:Q853,"S")</f>
        <v>27810.285714285706</v>
      </c>
      <c r="BK851" s="87">
        <f>SUMIFS($AU$3:AU853,$P$3:P853,"W")</f>
        <v>30504.143836164167</v>
      </c>
      <c r="BL851" s="87">
        <f>SUMIFS($AU$3:AU853,$P$3:P853,"R")</f>
        <v>22608.400000000325</v>
      </c>
      <c r="BM851" s="87">
        <f>SUMIFS($AU$3:AU853,$AQ$3:AQ853,"M")</f>
        <v>12669.179999998996</v>
      </c>
      <c r="BN851" s="87">
        <f>SUMIFS($AU$3:AU853,$AQ$3:AQ853,"H")</f>
        <v>14363.200000001041</v>
      </c>
      <c r="BO851" s="87">
        <f>SUMIFS($AU$3:AU853,$AQ$3:AQ853,"D")</f>
        <v>18114.377472527347</v>
      </c>
      <c r="BP851" s="87">
        <f>SUMIFS($AS$3:AS1308,$AO$3:AO1308,"W")</f>
        <v>0</v>
      </c>
      <c r="BQ851" s="87">
        <f>SUMIFS($AU$3:AU853,$Q$3:Q853,"O")</f>
        <v>-5006.9399999998313</v>
      </c>
      <c r="BR851" s="87">
        <f>SUMIFS($AU$3:AU853,$AA$3:AA853,"*")</f>
        <v>46975.522077922004</v>
      </c>
      <c r="BS851" s="87">
        <f>SUMIFS($AU$3:AU853,$AB$3:AB853,"*")</f>
        <v>8595.8599999999715</v>
      </c>
      <c r="BT851" s="87">
        <f>SUMIFS($AU$3:AU853,$AC$3:AC853,"*")</f>
        <v>43283.078121878287</v>
      </c>
      <c r="BU851" s="87">
        <f>SUMIFS($AU$3:AU853,$AA$3:AA853,"*",$AB$3:AB853,"*")</f>
        <v>7915.9999999997544</v>
      </c>
      <c r="BV851" s="87">
        <f>SUMIFS($AU$3:AU853,$AA$3:AA853,"*",$AC$3:AC853,"*")</f>
        <v>35296.036363636529</v>
      </c>
      <c r="BW851" s="87">
        <f>SUMIFS($AU$3:AU853,$AB$3:AB853,"*",$AC$3:AC853,"*")</f>
        <v>4983.9999999999991</v>
      </c>
      <c r="BX851" s="87">
        <f>SUMIFS($AV$3:AV853,$Q$3:Q853,"F")</f>
        <v>389.44019562430162</v>
      </c>
      <c r="BY851" s="87">
        <f>SUMIFS($AV$3:AV853,$Q$3:Q853,"S")</f>
        <v>836.61134190572739</v>
      </c>
      <c r="BZ851" s="87">
        <f>SUMIFS($AV$3:AV853,$Q$3:Q853,"O")</f>
        <v>545.55929999969885</v>
      </c>
    </row>
    <row r="852" spans="1:78" ht="15.75" customHeight="1">
      <c r="A852" s="45" t="s">
        <v>2311</v>
      </c>
      <c r="B852" s="59">
        <v>45464</v>
      </c>
      <c r="C852" s="46" t="s">
        <v>2661</v>
      </c>
      <c r="D852" s="46" t="s">
        <v>115</v>
      </c>
      <c r="E852" s="66"/>
      <c r="F852" s="47"/>
      <c r="G852" s="104" t="s">
        <v>377</v>
      </c>
      <c r="H852" s="49"/>
      <c r="I852" s="49"/>
      <c r="J852" s="49"/>
      <c r="K852" s="50"/>
      <c r="L852" s="49"/>
      <c r="M852" s="49">
        <v>1</v>
      </c>
      <c r="N852" s="49"/>
      <c r="O852" s="50" t="s">
        <v>740</v>
      </c>
      <c r="P852" s="50" t="s">
        <v>126</v>
      </c>
      <c r="Q852" s="50"/>
      <c r="R852" s="50">
        <v>1</v>
      </c>
      <c r="S852" s="50">
        <v>0</v>
      </c>
      <c r="T852" s="50">
        <v>1</v>
      </c>
      <c r="U852" s="50" t="s">
        <v>102</v>
      </c>
      <c r="V852" s="50"/>
      <c r="W852" s="50"/>
      <c r="X852" s="50"/>
      <c r="Y852" s="51">
        <f>IF(ISBLANK(O852),"",(IF(O852=UPPER("IB"),0.005,0.01)))</f>
        <v>0.01</v>
      </c>
      <c r="Z852" s="52">
        <f>IF(ISBLANK(O852),"",IF(O852="IB",8.63*200,IF(O852="IR",16*100,IF(O852="YT",20*100,IF(O852="YT-XT",24*200,IF(O852="TED",80*100,IF(O852="IR|YT",300*100)))))))</f>
        <v>30000</v>
      </c>
      <c r="AA852" s="52" t="s">
        <v>1994</v>
      </c>
      <c r="AB852" s="52"/>
      <c r="AC852" s="52"/>
      <c r="AD852" s="231">
        <v>-0.24</v>
      </c>
      <c r="AE852" s="49"/>
      <c r="AF852" s="84"/>
      <c r="AG852" s="49"/>
      <c r="AH852" s="49"/>
      <c r="AI852" s="49"/>
      <c r="AJ852" s="226"/>
      <c r="AK852" s="49"/>
      <c r="AL852" s="113">
        <f t="shared" si="342"/>
        <v>-600</v>
      </c>
      <c r="AM852" s="113">
        <f t="shared" si="344"/>
        <v>-600</v>
      </c>
      <c r="AN852" s="218"/>
      <c r="AO852" s="49"/>
      <c r="AP852" s="49" t="s">
        <v>279</v>
      </c>
      <c r="AQ852" s="84" t="s">
        <v>155</v>
      </c>
      <c r="AR852" s="49" t="s">
        <v>2662</v>
      </c>
      <c r="AS852" s="55">
        <v>-0.25</v>
      </c>
      <c r="AT852" s="55">
        <f t="shared" si="334"/>
        <v>1.0000000000000009E-2</v>
      </c>
      <c r="AU852" s="54">
        <f t="shared" si="335"/>
        <v>300.00000000000028</v>
      </c>
      <c r="AV852" s="56">
        <f t="shared" si="343"/>
        <v>300.00000000000028</v>
      </c>
      <c r="AW852" s="57" t="s">
        <v>101</v>
      </c>
      <c r="AX852" s="153" t="s">
        <v>2663</v>
      </c>
      <c r="AY852" s="153"/>
      <c r="AZ852" s="153"/>
      <c r="BA852" s="153"/>
      <c r="BB852" s="153"/>
      <c r="BC852" s="153"/>
      <c r="BD852" s="151"/>
      <c r="BE852" s="152"/>
      <c r="BF852" s="151"/>
      <c r="BG852" s="94">
        <f>SUM($AV$4:AV852)</f>
        <v>5219.6108375297354</v>
      </c>
      <c r="BH852" s="95">
        <f>SUM($AU$4:AU852)</f>
        <v>56082.42383616398</v>
      </c>
      <c r="BI852" s="80">
        <f>SUMIFS($AU$3:AU854,$Q$3:Q854,"F")</f>
        <v>30355.078121878127</v>
      </c>
      <c r="BJ852" s="80">
        <f>SUMIFS($AU$3:AU854,$Q$3:Q854,"S")</f>
        <v>27810.285714285706</v>
      </c>
      <c r="BK852" s="87">
        <f>SUMIFS($AU$3:AU854,$P$3:P854,"W")</f>
        <v>30504.143836164167</v>
      </c>
      <c r="BL852" s="87">
        <f>SUMIFS($AU$3:AU854,$P$3:P854,"R")</f>
        <v>22608.400000000325</v>
      </c>
      <c r="BM852" s="87">
        <f>SUMIFS($AU$3:AU854,$AQ$3:AQ854,"M")</f>
        <v>12669.179999998996</v>
      </c>
      <c r="BN852" s="87">
        <f>SUMIFS($AU$3:AU854,$AQ$3:AQ854,"H")</f>
        <v>14363.200000001041</v>
      </c>
      <c r="BO852" s="87">
        <f>SUMIFS($AU$3:AU854,$AQ$3:AQ854,"D")</f>
        <v>18114.377472527347</v>
      </c>
      <c r="BP852" s="87">
        <f>SUMIFS($AS$3:AS1309,$AO$3:AO1309,"W")</f>
        <v>0</v>
      </c>
      <c r="BQ852" s="87">
        <f>SUMIFS($AU$3:AU854,$Q$3:Q854,"O")</f>
        <v>-5006.9399999998313</v>
      </c>
      <c r="BR852" s="87">
        <f>SUMIFS($AU$3:AU854,$AA$3:AA854,"*")</f>
        <v>46975.522077922004</v>
      </c>
      <c r="BS852" s="87">
        <f>SUMIFS($AU$3:AU854,$AB$3:AB854,"*")</f>
        <v>8595.8599999999715</v>
      </c>
      <c r="BT852" s="87">
        <f>SUMIFS($AU$3:AU854,$AC$3:AC854,"*")</f>
        <v>43283.078121878287</v>
      </c>
      <c r="BU852" s="87">
        <f>SUMIFS($AU$3:AU854,$AA$3:AA854,"*",$AB$3:AB854,"*")</f>
        <v>7915.9999999997544</v>
      </c>
      <c r="BV852" s="87">
        <f>SUMIFS($AU$3:AU854,$AA$3:AA854,"*",$AC$3:AC854,"*")</f>
        <v>35296.036363636529</v>
      </c>
      <c r="BW852" s="87">
        <f>SUMIFS($AU$3:AU854,$AB$3:AB854,"*",$AC$3:AC854,"*")</f>
        <v>4983.9999999999991</v>
      </c>
      <c r="BX852" s="87">
        <f>SUMIFS($AV$3:AV854,$Q$3:Q854,"F")</f>
        <v>389.44019562430162</v>
      </c>
      <c r="BY852" s="87">
        <f>SUMIFS($AV$3:AV854,$Q$3:Q854,"S")</f>
        <v>836.61134190572739</v>
      </c>
      <c r="BZ852" s="87">
        <f>SUMIFS($AV$3:AV854,$Q$3:Q854,"O")</f>
        <v>545.55929999969885</v>
      </c>
    </row>
    <row r="853" spans="1:78" ht="15.75" customHeight="1">
      <c r="A853" s="45" t="s">
        <v>2311</v>
      </c>
      <c r="B853" s="59"/>
      <c r="C853" s="46"/>
      <c r="D853" s="46"/>
      <c r="E853" s="66"/>
      <c r="F853" s="47"/>
      <c r="G853" s="48"/>
      <c r="H853" s="49"/>
      <c r="I853" s="49"/>
      <c r="J853" s="49"/>
      <c r="K853" s="50"/>
      <c r="L853" s="49"/>
      <c r="M853" s="49"/>
      <c r="N853" s="49"/>
      <c r="O853" s="50"/>
      <c r="P853" s="50"/>
      <c r="Q853" s="50"/>
      <c r="R853" s="50"/>
      <c r="S853" s="50"/>
      <c r="T853" s="50"/>
      <c r="U853" s="50"/>
      <c r="V853" s="50"/>
      <c r="W853" s="50"/>
      <c r="X853" s="50"/>
      <c r="Y853" s="51"/>
      <c r="Z853" s="52"/>
      <c r="AA853" s="52"/>
      <c r="AB853" s="52"/>
      <c r="AC853" s="52"/>
      <c r="AD853" s="231"/>
      <c r="AE853" s="49"/>
      <c r="AF853" s="84"/>
      <c r="AG853" s="49"/>
      <c r="AH853" s="49"/>
      <c r="AI853" s="49"/>
      <c r="AJ853" s="226"/>
      <c r="AK853" s="49"/>
      <c r="AL853" s="113">
        <f t="shared" ref="AL853:AL881" si="345">-0.02*Z853</f>
        <v>0</v>
      </c>
      <c r="AM853" s="113">
        <f t="shared" si="344"/>
        <v>0</v>
      </c>
      <c r="AN853" s="218"/>
      <c r="AO853" s="49"/>
      <c r="AP853" s="49"/>
      <c r="AQ853" s="84" t="str">
        <f>UPPER(RIGHT(Journal_Live[[#This Row],[DURATION ]]))</f>
        <v/>
      </c>
      <c r="AR853" s="49"/>
      <c r="AS853" s="55"/>
      <c r="AT853" s="55"/>
      <c r="AU853" s="54"/>
      <c r="AV853" s="56"/>
      <c r="AW853" s="57"/>
      <c r="AX853" s="153" t="s">
        <v>2664</v>
      </c>
      <c r="AY853" s="151" t="s">
        <v>2665</v>
      </c>
      <c r="AZ853" s="153" t="s">
        <v>2666</v>
      </c>
      <c r="BA853" s="151" t="s">
        <v>2606</v>
      </c>
      <c r="BB853" s="153"/>
      <c r="BC853" s="153"/>
      <c r="BD853" s="151"/>
      <c r="BE853" s="152"/>
      <c r="BF853" s="151"/>
      <c r="BG853" s="94">
        <f>SUM($AV$4:AV853)</f>
        <v>5219.6108375297354</v>
      </c>
      <c r="BH853" s="95">
        <f>SUM($AU$4:AU853)</f>
        <v>56082.42383616398</v>
      </c>
      <c r="BI853" s="80">
        <f>SUMIFS($AU$3:AU871,$Q$3:Q871,"F")</f>
        <v>30355.078121878127</v>
      </c>
      <c r="BJ853" s="80">
        <f>SUMIFS($AU$3:AU871,$Q$3:Q871,"S")</f>
        <v>19138.285714285706</v>
      </c>
      <c r="BK853" s="87">
        <f>SUMIFS($AU$3:AU871,$P$3:P871,"W")</f>
        <v>19464.143836163403</v>
      </c>
      <c r="BL853" s="87">
        <f>SUMIFS($AU$3:AU871,$P$3:P871,"R")</f>
        <v>22616.400000000325</v>
      </c>
      <c r="BM853" s="87">
        <f>SUMIFS($AU$3:AU871,$AQ$3:AQ871,"M")</f>
        <v>8875.1799999983887</v>
      </c>
      <c r="BN853" s="87">
        <f>SUMIFS($AU$3:AU871,$AQ$3:AQ871,"H")</f>
        <v>11643.200000000877</v>
      </c>
      <c r="BO853" s="87">
        <f>SUMIFS($AU$3:AU871,$AQ$3:AQ871,"D")</f>
        <v>13122.377472527351</v>
      </c>
      <c r="BP853" s="87">
        <f>SUMIFS($AS$3:AS1310,$AO$3:AO1310,"W")</f>
        <v>0</v>
      </c>
      <c r="BQ853" s="87">
        <f>SUMIFS($AU$3:AU871,$Q$3:Q871,"O")</f>
        <v>-9340.9400000006026</v>
      </c>
      <c r="BR853" s="87">
        <f>SUMIFS($AU$3:AU871,$AA$3:AA871,"*")</f>
        <v>37881.5220779214</v>
      </c>
      <c r="BS853" s="87">
        <f>SUMIFS($AU$3:AU871,$AB$3:AB871,"*")</f>
        <v>8595.8599999999715</v>
      </c>
      <c r="BT853" s="87">
        <f>SUMIFS($AU$3:AU871,$AC$3:AC871,"*")</f>
        <v>35571.078121878119</v>
      </c>
      <c r="BU853" s="87">
        <f>SUMIFS($AU$3:AU871,$AA$3:AA871,"*",$AB$3:AB871,"*")</f>
        <v>7915.9999999997544</v>
      </c>
      <c r="BV853" s="87">
        <f>SUMIFS($AU$3:AU871,$AA$3:AA871,"*",$AC$3:AC871,"*")</f>
        <v>29696.036363636529</v>
      </c>
      <c r="BW853" s="87">
        <f>SUMIFS($AU$3:AU871,$AB$3:AB871,"*",$AC$3:AC871,"*")</f>
        <v>4983.9999999999991</v>
      </c>
      <c r="BX853" s="87">
        <f>SUMIFS($AV$3:AV871,$Q$3:Q871,"F")</f>
        <v>389.44019562430162</v>
      </c>
      <c r="BY853" s="87">
        <f>SUMIFS($AV$3:AV871,$Q$3:Q871,"S")</f>
        <v>692.61134190572739</v>
      </c>
      <c r="BZ853" s="87">
        <f>SUMIFS($AV$3:AV871,$Q$3:Q871,"O")</f>
        <v>378.55929999967736</v>
      </c>
    </row>
    <row r="854" spans="1:78" ht="15.75" customHeight="1">
      <c r="A854" s="45" t="s">
        <v>2311</v>
      </c>
      <c r="B854" s="59"/>
      <c r="C854" s="46"/>
      <c r="D854" s="46"/>
      <c r="E854" s="66"/>
      <c r="F854" s="47"/>
      <c r="G854" s="48"/>
      <c r="H854" s="49"/>
      <c r="I854" s="49"/>
      <c r="J854" s="49"/>
      <c r="K854" s="50"/>
      <c r="L854" s="49"/>
      <c r="M854" s="49"/>
      <c r="N854" s="49"/>
      <c r="O854" s="50"/>
      <c r="P854" s="50"/>
      <c r="Q854" s="50"/>
      <c r="R854" s="50"/>
      <c r="S854" s="50"/>
      <c r="T854" s="50"/>
      <c r="U854" s="50"/>
      <c r="V854" s="50"/>
      <c r="W854" s="50"/>
      <c r="X854" s="50"/>
      <c r="Y854" s="51"/>
      <c r="Z854" s="52"/>
      <c r="AA854" s="52"/>
      <c r="AB854" s="52"/>
      <c r="AC854" s="52"/>
      <c r="AD854" s="231"/>
      <c r="AE854" s="49"/>
      <c r="AF854" s="84"/>
      <c r="AG854" s="49"/>
      <c r="AH854" s="49"/>
      <c r="AI854" s="49"/>
      <c r="AJ854" s="226"/>
      <c r="AK854" s="49"/>
      <c r="AL854" s="113">
        <f t="shared" si="345"/>
        <v>0</v>
      </c>
      <c r="AM854" s="113">
        <f t="shared" si="344"/>
        <v>0</v>
      </c>
      <c r="AN854" s="218"/>
      <c r="AO854" s="49"/>
      <c r="AP854" s="49"/>
      <c r="AQ854" s="84" t="str">
        <f>UPPER(RIGHT(Journal_Live[[#This Row],[DURATION ]]))</f>
        <v/>
      </c>
      <c r="AR854" s="49"/>
      <c r="AS854" s="55"/>
      <c r="AT854" s="55"/>
      <c r="AU854" s="54"/>
      <c r="AV854" s="56"/>
      <c r="AW854" s="57"/>
      <c r="AX854" s="153" t="s">
        <v>2667</v>
      </c>
      <c r="AY854" s="153" t="s">
        <v>2668</v>
      </c>
      <c r="AZ854" s="153" t="s">
        <v>2669</v>
      </c>
      <c r="BA854" s="153"/>
      <c r="BB854" s="153"/>
      <c r="BC854" s="153"/>
      <c r="BD854" s="151"/>
      <c r="BE854" s="152"/>
      <c r="BF854" s="151"/>
      <c r="BG854" s="94">
        <f>SUM($AV$4:AV854)</f>
        <v>5219.6108375297354</v>
      </c>
      <c r="BH854" s="95">
        <f>SUM($AU$4:AU854)</f>
        <v>56082.42383616398</v>
      </c>
      <c r="BI854" s="80">
        <f>SUMIFS($AU$3:AU882,$Q$3:Q882,"F")</f>
        <v>29235.078121878127</v>
      </c>
      <c r="BJ854" s="80">
        <f>SUMIFS($AU$3:AU882,$Q$3:Q882,"S")</f>
        <v>17938.285714285706</v>
      </c>
      <c r="BK854" s="87">
        <f>SUMIFS($AU$3:AU882,$P$3:P882,"W")</f>
        <v>17144.143836163403</v>
      </c>
      <c r="BL854" s="87">
        <f>SUMIFS($AU$3:AU882,$P$3:P882,"R")</f>
        <v>22616.400000000325</v>
      </c>
      <c r="BM854" s="87">
        <f>SUMIFS($AU$3:AU882,$AQ$3:AQ882,"M")</f>
        <v>8875.1799999983887</v>
      </c>
      <c r="BN854" s="87">
        <f>SUMIFS($AU$3:AU882,$AQ$3:AQ882,"H")</f>
        <v>11643.200000000877</v>
      </c>
      <c r="BO854" s="87">
        <f>SUMIFS($AU$3:AU882,$AQ$3:AQ882,"D")</f>
        <v>13122.377472527351</v>
      </c>
      <c r="BP854" s="87">
        <f>SUMIFS($AS$3:AS1311,$AO$3:AO1311,"W")</f>
        <v>0</v>
      </c>
      <c r="BQ854" s="87">
        <f>SUMIFS($AU$3:AU882,$Q$3:Q882,"O")</f>
        <v>-9340.9400000006026</v>
      </c>
      <c r="BR854" s="87">
        <f>SUMIFS($AU$3:AU882,$AA$3:AA882,"*")</f>
        <v>37881.5220779214</v>
      </c>
      <c r="BS854" s="87">
        <f>SUMIFS($AU$3:AU882,$AB$3:AB882,"*")</f>
        <v>7475.8599999999715</v>
      </c>
      <c r="BT854" s="87">
        <f>SUMIFS($AU$3:AU882,$AC$3:AC882,"*")</f>
        <v>33251.078121878119</v>
      </c>
      <c r="BU854" s="87">
        <f>SUMIFS($AU$3:AU882,$AA$3:AA882,"*",$AB$3:AB882,"*")</f>
        <v>7915.9999999997544</v>
      </c>
      <c r="BV854" s="87">
        <f>SUMIFS($AU$3:AU882,$AA$3:AA882,"*",$AC$3:AC882,"*")</f>
        <v>29696.036363636529</v>
      </c>
      <c r="BW854" s="87">
        <f>SUMIFS($AU$3:AU882,$AB$3:AB882,"*",$AC$3:AC882,"*")</f>
        <v>3863.9999999999991</v>
      </c>
      <c r="BX854" s="87">
        <f>SUMIFS($AV$3:AV882,$Q$3:Q882,"F")</f>
        <v>383.04019562430165</v>
      </c>
      <c r="BY854" s="87">
        <f>SUMIFS($AV$3:AV882,$Q$3:Q882,"S")</f>
        <v>676.61134190572739</v>
      </c>
      <c r="BZ854" s="87">
        <f>SUMIFS($AV$3:AV882,$Q$3:Q882,"O")</f>
        <v>378.55929999967736</v>
      </c>
    </row>
    <row r="855" spans="1:78" ht="15.75" customHeight="1">
      <c r="A855" s="45" t="s">
        <v>2311</v>
      </c>
      <c r="B855" s="59"/>
      <c r="C855" s="46"/>
      <c r="D855" s="46"/>
      <c r="E855" s="66"/>
      <c r="F855" s="47"/>
      <c r="G855" s="48"/>
      <c r="H855" s="49"/>
      <c r="I855" s="49"/>
      <c r="J855" s="49"/>
      <c r="K855" s="50"/>
      <c r="L855" s="49"/>
      <c r="M855" s="49"/>
      <c r="N855" s="49"/>
      <c r="O855" s="50"/>
      <c r="P855" s="50"/>
      <c r="Q855" s="50"/>
      <c r="R855" s="50"/>
      <c r="S855" s="50"/>
      <c r="T855" s="50"/>
      <c r="U855" s="50"/>
      <c r="V855" s="50"/>
      <c r="W855" s="50"/>
      <c r="X855" s="50"/>
      <c r="Y855" s="51"/>
      <c r="Z855" s="52"/>
      <c r="AA855" s="52"/>
      <c r="AB855" s="52"/>
      <c r="AC855" s="52"/>
      <c r="AD855" s="231"/>
      <c r="AE855" s="49"/>
      <c r="AF855" s="84"/>
      <c r="AG855" s="49"/>
      <c r="AH855" s="49"/>
      <c r="AI855" s="49"/>
      <c r="AJ855" s="226"/>
      <c r="AK855" s="49"/>
      <c r="AL855" s="113">
        <f t="shared" ref="AL855:AL868" si="346">-0.02*Z855</f>
        <v>0</v>
      </c>
      <c r="AM855" s="113">
        <f t="shared" si="344"/>
        <v>0</v>
      </c>
      <c r="AN855" s="218"/>
      <c r="AO855" s="49"/>
      <c r="AP855" s="49"/>
      <c r="AQ855" s="84" t="str">
        <f>UPPER(RIGHT(Journal_Live[[#This Row],[DURATION ]]))</f>
        <v/>
      </c>
      <c r="AR855" s="49"/>
      <c r="AS855" s="55"/>
      <c r="AT855" s="55"/>
      <c r="AU855" s="54"/>
      <c r="AV855" s="56"/>
      <c r="AW855" s="57"/>
      <c r="AX855" s="153" t="s">
        <v>2670</v>
      </c>
      <c r="AY855" s="153" t="s">
        <v>1709</v>
      </c>
      <c r="AZ855" s="153" t="s">
        <v>1654</v>
      </c>
      <c r="BA855" s="153"/>
      <c r="BB855" s="153"/>
      <c r="BC855" s="153"/>
      <c r="BD855" s="151"/>
      <c r="BE855" s="152"/>
      <c r="BF855" s="151"/>
      <c r="BG855" s="94">
        <f>SUM($AV$4:AV855)</f>
        <v>5219.6108375297354</v>
      </c>
      <c r="BH855" s="95">
        <f>SUM($AU$4:AU855)</f>
        <v>56082.42383616398</v>
      </c>
      <c r="BI855" s="80">
        <f>SUMIFS($AU$3:AU857,$Q$3:Q857,"F")</f>
        <v>30355.078121878127</v>
      </c>
      <c r="BJ855" s="80">
        <f>SUMIFS($AU$3:AU857,$Q$3:Q857,"S")</f>
        <v>27810.285714285706</v>
      </c>
      <c r="BK855" s="87">
        <f>SUMIFS($AU$3:AU857,$P$3:P857,"W")</f>
        <v>30504.143836164167</v>
      </c>
      <c r="BL855" s="87">
        <f>SUMIFS($AU$3:AU857,$P$3:P857,"R")</f>
        <v>22608.400000000325</v>
      </c>
      <c r="BM855" s="87">
        <f>SUMIFS($AU$3:AU857,$AQ$3:AQ857,"M")</f>
        <v>12669.179999998996</v>
      </c>
      <c r="BN855" s="87">
        <f>SUMIFS($AU$3:AU857,$AQ$3:AQ857,"H")</f>
        <v>14363.200000001041</v>
      </c>
      <c r="BO855" s="87">
        <f>SUMIFS($AU$3:AU857,$AQ$3:AQ857,"D")</f>
        <v>18114.377472527347</v>
      </c>
      <c r="BP855" s="87">
        <f>SUMIFS($AS$3:AS1308,$AO$3:AO1308,"W")</f>
        <v>0</v>
      </c>
      <c r="BQ855" s="87">
        <f>SUMIFS($AU$3:AU857,$Q$3:Q857,"O")</f>
        <v>-5006.9399999998313</v>
      </c>
      <c r="BR855" s="87">
        <f>SUMIFS($AU$3:AU857,$AA$3:AA857,"*")</f>
        <v>46975.522077922004</v>
      </c>
      <c r="BS855" s="87">
        <f>SUMIFS($AU$3:AU857,$AB$3:AB857,"*")</f>
        <v>8595.8599999999715</v>
      </c>
      <c r="BT855" s="87">
        <f>SUMIFS($AU$3:AU857,$AC$3:AC857,"*")</f>
        <v>43283.078121878287</v>
      </c>
      <c r="BU855" s="87">
        <f>SUMIFS($AU$3:AU857,$AA$3:AA857,"*",$AB$3:AB857,"*")</f>
        <v>7915.9999999997544</v>
      </c>
      <c r="BV855" s="87">
        <f>SUMIFS($AU$3:AU857,$AA$3:AA857,"*",$AC$3:AC857,"*")</f>
        <v>35296.036363636529</v>
      </c>
      <c r="BW855" s="87">
        <f>SUMIFS($AU$3:AU857,$AB$3:AB857,"*",$AC$3:AC857,"*")</f>
        <v>4983.9999999999991</v>
      </c>
      <c r="BX855" s="87">
        <f>SUMIFS($AV$3:AV857,$Q$3:Q857,"F")</f>
        <v>389.44019562430162</v>
      </c>
      <c r="BY855" s="87">
        <f>SUMIFS($AV$3:AV857,$Q$3:Q857,"S")</f>
        <v>836.61134190572739</v>
      </c>
      <c r="BZ855" s="87">
        <f>SUMIFS($AV$3:AV857,$Q$3:Q857,"O")</f>
        <v>545.55929999969885</v>
      </c>
    </row>
    <row r="856" spans="1:78" ht="15.75" customHeight="1">
      <c r="A856" s="45" t="s">
        <v>2311</v>
      </c>
      <c r="B856" s="59">
        <v>45468</v>
      </c>
      <c r="C856" s="46" t="s">
        <v>1185</v>
      </c>
      <c r="D856" s="46" t="s">
        <v>98</v>
      </c>
      <c r="E856" s="66"/>
      <c r="F856" s="47"/>
      <c r="G856" s="104" t="s">
        <v>227</v>
      </c>
      <c r="H856" s="49"/>
      <c r="I856" s="49"/>
      <c r="J856" s="49"/>
      <c r="K856" s="50"/>
      <c r="L856" s="49"/>
      <c r="M856" s="49">
        <v>1</v>
      </c>
      <c r="N856" s="49"/>
      <c r="O856" s="50" t="s">
        <v>100</v>
      </c>
      <c r="P856" s="50" t="s">
        <v>101</v>
      </c>
      <c r="Q856" s="50" t="s">
        <v>102</v>
      </c>
      <c r="R856" s="50">
        <v>30</v>
      </c>
      <c r="S856" s="50">
        <v>0</v>
      </c>
      <c r="T856" s="50">
        <v>50</v>
      </c>
      <c r="U856" s="50" t="s">
        <v>102</v>
      </c>
      <c r="V856" s="50"/>
      <c r="W856" s="50"/>
      <c r="X856" s="50"/>
      <c r="Y856" s="51">
        <f>IF(ISBLANK(O856),"",(IF(O856=UPPER("IB"),0.005,0.01)))</f>
        <v>0.01</v>
      </c>
      <c r="Z856" s="52">
        <f>IF(ISBLANK(O856),"",IF(O856="IB",8.63*200,IF(O856="IR",16*100,IF(O856="YT",20*100,IF(O856="YT-XT",24*200,IF(O856="TED",80*100,IF(O856="IR|YT",300*100)))))))</f>
        <v>1600</v>
      </c>
      <c r="AA856" s="52"/>
      <c r="AB856" s="52"/>
      <c r="AC856" s="52" t="s">
        <v>415</v>
      </c>
      <c r="AD856" s="231">
        <f>-0.05</f>
        <v>-0.05</v>
      </c>
      <c r="AE856" s="49"/>
      <c r="AF856" s="84"/>
      <c r="AG856" s="49"/>
      <c r="AH856" s="49"/>
      <c r="AI856" s="49"/>
      <c r="AJ856" s="226"/>
      <c r="AK856" s="49"/>
      <c r="AL856" s="113">
        <f t="shared" si="346"/>
        <v>-32</v>
      </c>
      <c r="AM856" s="113">
        <f t="shared" si="344"/>
        <v>-960</v>
      </c>
      <c r="AN856" s="218"/>
      <c r="AO856" s="49"/>
      <c r="AP856" s="49" t="s">
        <v>279</v>
      </c>
      <c r="AQ856" s="84" t="s">
        <v>155</v>
      </c>
      <c r="AR856" s="49"/>
      <c r="AS856" s="55">
        <v>-0.05</v>
      </c>
      <c r="AT856" s="55">
        <f t="shared" ref="AT856:AT877" si="347">IF(ISBLANK(AS856),,IF(U856="S",AD856-AS856,AS856-AD856))</f>
        <v>0</v>
      </c>
      <c r="AU856" s="54">
        <f t="shared" ref="AU856:AU877" si="348">AV856*R856</f>
        <v>0</v>
      </c>
      <c r="AV856" s="56">
        <f t="shared" ref="AV856:AV870" si="349">IF(ISBLANK(AS856),,(AT856*Z856))</f>
        <v>0</v>
      </c>
      <c r="AW856" s="57" t="s">
        <v>155</v>
      </c>
      <c r="AX856" s="153" t="s">
        <v>2671</v>
      </c>
      <c r="AY856" s="153"/>
      <c r="AZ856" s="153"/>
      <c r="BA856" s="153"/>
      <c r="BB856" s="153"/>
      <c r="BC856" s="153"/>
      <c r="BD856" s="151"/>
      <c r="BE856" s="152"/>
      <c r="BF856" s="151"/>
      <c r="BG856" s="94">
        <f>SUM($AV$4:AV856)</f>
        <v>5219.6108375297354</v>
      </c>
      <c r="BH856" s="95">
        <f>SUM($AU$4:AU856)</f>
        <v>56082.42383616398</v>
      </c>
      <c r="BI856" s="80">
        <f>SUMIFS($AU$3:AU858,$Q$3:Q858,"F")</f>
        <v>30355.078121878127</v>
      </c>
      <c r="BJ856" s="80">
        <f>SUMIFS($AU$3:AU858,$Q$3:Q858,"S")</f>
        <v>27810.285714285706</v>
      </c>
      <c r="BK856" s="87">
        <f>SUMIFS($AU$3:AU858,$P$3:P858,"W")</f>
        <v>30184.143836164003</v>
      </c>
      <c r="BL856" s="87">
        <f>SUMIFS($AU$3:AU858,$P$3:P858,"R")</f>
        <v>22608.400000000325</v>
      </c>
      <c r="BM856" s="87">
        <f>SUMIFS($AU$3:AU858,$AQ$3:AQ858,"M")</f>
        <v>12669.179999998996</v>
      </c>
      <c r="BN856" s="87">
        <f>SUMIFS($AU$3:AU858,$AQ$3:AQ858,"H")</f>
        <v>14043.200000000877</v>
      </c>
      <c r="BO856" s="87">
        <f>SUMIFS($AU$3:AU858,$AQ$3:AQ858,"D")</f>
        <v>18114.377472527347</v>
      </c>
      <c r="BP856" s="87">
        <f>SUMIFS($AS$3:AS1309,$AO$3:AO1309,"W")</f>
        <v>0</v>
      </c>
      <c r="BQ856" s="87">
        <f>SUMIFS($AU$3:AU858,$Q$3:Q858,"O")</f>
        <v>-5326.9399999999951</v>
      </c>
      <c r="BR856" s="87">
        <f>SUMIFS($AU$3:AU858,$AA$3:AA858,"*")</f>
        <v>46975.522077922004</v>
      </c>
      <c r="BS856" s="87">
        <f>SUMIFS($AU$3:AU858,$AB$3:AB858,"*")</f>
        <v>8595.8599999999715</v>
      </c>
      <c r="BT856" s="87">
        <f>SUMIFS($AU$3:AU858,$AC$3:AC858,"*")</f>
        <v>42963.078121878119</v>
      </c>
      <c r="BU856" s="87">
        <f>SUMIFS($AU$3:AU858,$AA$3:AA858,"*",$AB$3:AB858,"*")</f>
        <v>7915.9999999997544</v>
      </c>
      <c r="BV856" s="87">
        <f>SUMIFS($AU$3:AU858,$AA$3:AA858,"*",$AC$3:AC858,"*")</f>
        <v>35296.036363636529</v>
      </c>
      <c r="BW856" s="87">
        <f>SUMIFS($AU$3:AU858,$AB$3:AB858,"*",$AC$3:AC858,"*")</f>
        <v>4983.9999999999991</v>
      </c>
      <c r="BX856" s="87">
        <f>SUMIFS($AV$3:AV858,$Q$3:Q858,"F")</f>
        <v>389.44019562430162</v>
      </c>
      <c r="BY856" s="87">
        <f>SUMIFS($AV$3:AV858,$Q$3:Q858,"S")</f>
        <v>836.61134190572739</v>
      </c>
      <c r="BZ856" s="87">
        <f>SUMIFS($AV$3:AV858,$Q$3:Q858,"O")</f>
        <v>529.55929999969067</v>
      </c>
    </row>
    <row r="857" spans="1:78" ht="15.75" customHeight="1">
      <c r="A857" s="45" t="s">
        <v>2311</v>
      </c>
      <c r="B857" s="59">
        <v>45468</v>
      </c>
      <c r="C857" s="46" t="s">
        <v>705</v>
      </c>
      <c r="D857" s="46" t="s">
        <v>98</v>
      </c>
      <c r="E857" s="66"/>
      <c r="F857" s="47"/>
      <c r="G857" s="48" t="s">
        <v>2672</v>
      </c>
      <c r="H857" s="49"/>
      <c r="I857" s="49"/>
      <c r="J857" s="49"/>
      <c r="K857" s="50"/>
      <c r="L857" s="49"/>
      <c r="M857" s="49">
        <v>1</v>
      </c>
      <c r="N857" s="49"/>
      <c r="O857" s="50" t="s">
        <v>100</v>
      </c>
      <c r="P857" s="50" t="s">
        <v>101</v>
      </c>
      <c r="Q857" s="50" t="s">
        <v>198</v>
      </c>
      <c r="R857" s="50">
        <v>20</v>
      </c>
      <c r="S857" s="50">
        <v>0</v>
      </c>
      <c r="T857" s="50">
        <v>20</v>
      </c>
      <c r="U857" s="50" t="s">
        <v>102</v>
      </c>
      <c r="V857" s="50"/>
      <c r="W857" s="50"/>
      <c r="X857" s="50"/>
      <c r="Y857" s="51">
        <f>IF(ISBLANK(O857),"",(IF(O857=UPPER("IB"),0.005,0.01)))</f>
        <v>0.01</v>
      </c>
      <c r="Z857" s="52">
        <f>IF(ISBLANK(O857),"",IF(O857="IB",8.63*200,IF(O857="IR",16*100,IF(O857="YT",20*100,IF(O857="YT-XT",24*200,IF(O857="TED",80*100,IF(O857="IR|YT",300*100)))))))</f>
        <v>1600</v>
      </c>
      <c r="AA857" s="52"/>
      <c r="AB857" s="52"/>
      <c r="AC857" s="52" t="s">
        <v>2673</v>
      </c>
      <c r="AD857" s="231">
        <v>95.65</v>
      </c>
      <c r="AE857" s="49"/>
      <c r="AF857" s="84"/>
      <c r="AG857" s="49"/>
      <c r="AH857" s="49"/>
      <c r="AI857" s="49"/>
      <c r="AJ857" s="226"/>
      <c r="AK857" s="49"/>
      <c r="AL857" s="113">
        <f t="shared" si="346"/>
        <v>-32</v>
      </c>
      <c r="AM857" s="113">
        <f t="shared" si="344"/>
        <v>-640</v>
      </c>
      <c r="AN857" s="218"/>
      <c r="AO857" s="49"/>
      <c r="AP857" s="49"/>
      <c r="AQ857" s="84" t="s">
        <v>142</v>
      </c>
      <c r="AR857" s="49" t="s">
        <v>2674</v>
      </c>
      <c r="AS857" s="55">
        <v>95.65</v>
      </c>
      <c r="AT857" s="55">
        <f t="shared" si="347"/>
        <v>0</v>
      </c>
      <c r="AU857" s="54">
        <f t="shared" si="348"/>
        <v>0</v>
      </c>
      <c r="AV857" s="56">
        <f t="shared" si="349"/>
        <v>0</v>
      </c>
      <c r="AW857" s="57" t="s">
        <v>155</v>
      </c>
      <c r="AX857" s="153"/>
      <c r="AY857" s="153"/>
      <c r="AZ857" s="153"/>
      <c r="BA857" s="153"/>
      <c r="BB857" s="153"/>
      <c r="BC857" s="153"/>
      <c r="BD857" s="151"/>
      <c r="BE857" s="152"/>
      <c r="BF857" s="151"/>
      <c r="BG857" s="94">
        <f>SUM($AV$4:AV857)</f>
        <v>5219.6108375297354</v>
      </c>
      <c r="BH857" s="95">
        <f>SUM($AU$4:AU857)</f>
        <v>56082.42383616398</v>
      </c>
      <c r="BI857" s="80">
        <f>SUMIFS($AU$3:AU871,$Q$3:Q871,"F")</f>
        <v>30355.078121878127</v>
      </c>
      <c r="BJ857" s="80">
        <f>SUMIFS($AU$3:AU871,$Q$3:Q871,"S")</f>
        <v>19138.285714285706</v>
      </c>
      <c r="BK857" s="87">
        <f>SUMIFS($AU$3:AU871,$P$3:P871,"W")</f>
        <v>19464.143836163403</v>
      </c>
      <c r="BL857" s="87">
        <f>SUMIFS($AU$3:AU871,$P$3:P871,"R")</f>
        <v>22616.400000000325</v>
      </c>
      <c r="BM857" s="87">
        <f>SUMIFS($AU$3:AU871,$AQ$3:AQ871,"M")</f>
        <v>8875.1799999983887</v>
      </c>
      <c r="BN857" s="87">
        <f>SUMIFS($AU$3:AU871,$AQ$3:AQ871,"H")</f>
        <v>11643.200000000877</v>
      </c>
      <c r="BO857" s="87">
        <f>SUMIFS($AU$3:AU871,$AQ$3:AQ871,"D")</f>
        <v>13122.377472527351</v>
      </c>
      <c r="BP857" s="87">
        <f>SUMIFS($AS$3:AS1310,$AO$3:AO1310,"W")</f>
        <v>0</v>
      </c>
      <c r="BQ857" s="87">
        <f>SUMIFS($AU$3:AU871,$Q$3:Q871,"O")</f>
        <v>-9340.9400000006026</v>
      </c>
      <c r="BR857" s="87">
        <f>SUMIFS($AU$3:AU871,$AA$3:AA871,"*")</f>
        <v>37881.5220779214</v>
      </c>
      <c r="BS857" s="87">
        <f>SUMIFS($AU$3:AU871,$AB$3:AB871,"*")</f>
        <v>8595.8599999999715</v>
      </c>
      <c r="BT857" s="87">
        <f>SUMIFS($AU$3:AU871,$AC$3:AC871,"*")</f>
        <v>35571.078121878119</v>
      </c>
      <c r="BU857" s="87">
        <f>SUMIFS($AU$3:AU871,$AA$3:AA871,"*",$AB$3:AB871,"*")</f>
        <v>7915.9999999997544</v>
      </c>
      <c r="BV857" s="87">
        <f>SUMIFS($AU$3:AU871,$AA$3:AA871,"*",$AC$3:AC871,"*")</f>
        <v>29696.036363636529</v>
      </c>
      <c r="BW857" s="87">
        <f>SUMIFS($AU$3:AU871,$AB$3:AB871,"*",$AC$3:AC871,"*")</f>
        <v>4983.9999999999991</v>
      </c>
      <c r="BX857" s="87">
        <f>SUMIFS($AV$3:AV871,$Q$3:Q871,"F")</f>
        <v>389.44019562430162</v>
      </c>
      <c r="BY857" s="87">
        <f>SUMIFS($AV$3:AV871,$Q$3:Q871,"S")</f>
        <v>692.61134190572739</v>
      </c>
      <c r="BZ857" s="87">
        <f>SUMIFS($AV$3:AV871,$Q$3:Q871,"O")</f>
        <v>378.55929999967736</v>
      </c>
    </row>
    <row r="858" spans="1:78" ht="15.75" customHeight="1">
      <c r="A858" s="45" t="s">
        <v>2311</v>
      </c>
      <c r="B858" s="59">
        <v>45468</v>
      </c>
      <c r="C858" s="46" t="s">
        <v>705</v>
      </c>
      <c r="D858" s="46" t="s">
        <v>98</v>
      </c>
      <c r="E858" s="66"/>
      <c r="F858" s="47"/>
      <c r="G858" s="104" t="s">
        <v>2672</v>
      </c>
      <c r="H858" s="49"/>
      <c r="I858" s="49"/>
      <c r="J858" s="49"/>
      <c r="K858" s="50"/>
      <c r="L858" s="49"/>
      <c r="M858" s="49">
        <v>1</v>
      </c>
      <c r="N858" s="49"/>
      <c r="O858" s="50" t="s">
        <v>100</v>
      </c>
      <c r="P858" s="50" t="s">
        <v>101</v>
      </c>
      <c r="Q858" s="50" t="s">
        <v>198</v>
      </c>
      <c r="R858" s="50">
        <v>20</v>
      </c>
      <c r="S858" s="50">
        <v>0</v>
      </c>
      <c r="T858" s="50">
        <v>20</v>
      </c>
      <c r="U858" s="50" t="s">
        <v>102</v>
      </c>
      <c r="V858" s="50"/>
      <c r="W858" s="50"/>
      <c r="X858" s="50"/>
      <c r="Y858" s="51">
        <f>IF(ISBLANK(O858),"",(IF(O858=UPPER("IB"),0.005,0.01)))</f>
        <v>0.01</v>
      </c>
      <c r="Z858" s="52">
        <f>IF(ISBLANK(O858),"",IF(O858="IB",8.63*200,IF(O858="IR",16*100,IF(O858="YT",20*100,IF(O858="YT-XT",24*200,IF(O858="TED",80*100,IF(O858="IR|YT",300*100)))))))</f>
        <v>1600</v>
      </c>
      <c r="AA858" s="52"/>
      <c r="AB858" s="52"/>
      <c r="AC858" s="52" t="s">
        <v>2673</v>
      </c>
      <c r="AD858" s="231">
        <v>95.64</v>
      </c>
      <c r="AE858" s="49"/>
      <c r="AF858" s="84"/>
      <c r="AG858" s="49"/>
      <c r="AH858" s="49"/>
      <c r="AI858" s="49"/>
      <c r="AJ858" s="226"/>
      <c r="AK858" s="49"/>
      <c r="AL858" s="113">
        <f t="shared" si="346"/>
        <v>-32</v>
      </c>
      <c r="AM858" s="113">
        <f t="shared" si="344"/>
        <v>-640</v>
      </c>
      <c r="AN858" s="218"/>
      <c r="AO858" s="49"/>
      <c r="AP858" s="49"/>
      <c r="AQ858" s="84" t="s">
        <v>142</v>
      </c>
      <c r="AR858" s="49" t="s">
        <v>2674</v>
      </c>
      <c r="AS858" s="55">
        <v>95.65</v>
      </c>
      <c r="AT858" s="55">
        <f t="shared" si="347"/>
        <v>-1.0000000000005116E-2</v>
      </c>
      <c r="AU858" s="54">
        <f t="shared" si="348"/>
        <v>-320.00000000016371</v>
      </c>
      <c r="AV858" s="56">
        <f t="shared" si="349"/>
        <v>-16.000000000008185</v>
      </c>
      <c r="AW858" s="57" t="s">
        <v>121</v>
      </c>
      <c r="AX858" s="153"/>
      <c r="AY858" s="153"/>
      <c r="AZ858" s="153"/>
      <c r="BA858" s="153"/>
      <c r="BB858" s="153"/>
      <c r="BC858" s="153"/>
      <c r="BD858" s="151"/>
      <c r="BE858" s="152"/>
      <c r="BF858" s="151"/>
      <c r="BG858" s="94">
        <f>SUM($AV$4:AV858)</f>
        <v>5203.6108375297272</v>
      </c>
      <c r="BH858" s="95">
        <f>SUM($AU$4:AU858)</f>
        <v>55762.423836163813</v>
      </c>
      <c r="BI858" s="80">
        <f>SUMIFS($AU$3:AU882,$Q$3:Q882,"F")</f>
        <v>29235.078121878127</v>
      </c>
      <c r="BJ858" s="80">
        <f>SUMIFS($AU$3:AU882,$Q$3:Q882,"S")</f>
        <v>17938.285714285706</v>
      </c>
      <c r="BK858" s="87">
        <f>SUMIFS($AU$3:AU882,$P$3:P882,"W")</f>
        <v>17144.143836163403</v>
      </c>
      <c r="BL858" s="87">
        <f>SUMIFS($AU$3:AU882,$P$3:P882,"R")</f>
        <v>22616.400000000325</v>
      </c>
      <c r="BM858" s="87">
        <f>SUMIFS($AU$3:AU882,$AQ$3:AQ882,"M")</f>
        <v>8875.1799999983887</v>
      </c>
      <c r="BN858" s="87">
        <f>SUMIFS($AU$3:AU882,$AQ$3:AQ882,"H")</f>
        <v>11643.200000000877</v>
      </c>
      <c r="BO858" s="87">
        <f>SUMIFS($AU$3:AU882,$AQ$3:AQ882,"D")</f>
        <v>13122.377472527351</v>
      </c>
      <c r="BP858" s="87">
        <f>SUMIFS($AS$3:AS1311,$AO$3:AO1311,"W")</f>
        <v>0</v>
      </c>
      <c r="BQ858" s="87">
        <f>SUMIFS($AU$3:AU882,$Q$3:Q882,"O")</f>
        <v>-9340.9400000006026</v>
      </c>
      <c r="BR858" s="87">
        <f>SUMIFS($AU$3:AU882,$AA$3:AA882,"*")</f>
        <v>37881.5220779214</v>
      </c>
      <c r="BS858" s="87">
        <f>SUMIFS($AU$3:AU882,$AB$3:AB882,"*")</f>
        <v>7475.8599999999715</v>
      </c>
      <c r="BT858" s="87">
        <f>SUMIFS($AU$3:AU882,$AC$3:AC882,"*")</f>
        <v>33251.078121878119</v>
      </c>
      <c r="BU858" s="87">
        <f>SUMIFS($AU$3:AU882,$AA$3:AA882,"*",$AB$3:AB882,"*")</f>
        <v>7915.9999999997544</v>
      </c>
      <c r="BV858" s="87">
        <f>SUMIFS($AU$3:AU882,$AA$3:AA882,"*",$AC$3:AC882,"*")</f>
        <v>29696.036363636529</v>
      </c>
      <c r="BW858" s="87">
        <f>SUMIFS($AU$3:AU882,$AB$3:AB882,"*",$AC$3:AC882,"*")</f>
        <v>3863.9999999999991</v>
      </c>
      <c r="BX858" s="87">
        <f>SUMIFS($AV$3:AV882,$Q$3:Q882,"F")</f>
        <v>383.04019562430165</v>
      </c>
      <c r="BY858" s="87">
        <f>SUMIFS($AV$3:AV882,$Q$3:Q882,"S")</f>
        <v>676.61134190572739</v>
      </c>
      <c r="BZ858" s="87">
        <f>SUMIFS($AV$3:AV882,$Q$3:Q882,"O")</f>
        <v>378.55929999967736</v>
      </c>
    </row>
    <row r="859" spans="1:78" ht="15.75" customHeight="1">
      <c r="A859" s="45" t="s">
        <v>2311</v>
      </c>
      <c r="B859" s="59">
        <v>45469</v>
      </c>
      <c r="C859" s="46" t="s">
        <v>194</v>
      </c>
      <c r="D859" s="46" t="s">
        <v>186</v>
      </c>
      <c r="E859" s="66" t="s">
        <v>2675</v>
      </c>
      <c r="F859" s="47"/>
      <c r="G859" s="48"/>
      <c r="H859" s="49">
        <v>1</v>
      </c>
      <c r="I859" s="49"/>
      <c r="J859" s="49"/>
      <c r="K859" s="50" t="s">
        <v>142</v>
      </c>
      <c r="L859" s="49"/>
      <c r="M859" s="49"/>
      <c r="N859" s="49"/>
      <c r="O859" s="50"/>
      <c r="P859" s="50"/>
      <c r="Q859" s="50"/>
      <c r="R859" s="50"/>
      <c r="S859" s="50"/>
      <c r="T859" s="50"/>
      <c r="U859" s="50"/>
      <c r="V859" s="50"/>
      <c r="W859" s="50"/>
      <c r="X859" s="50"/>
      <c r="Y859" s="50"/>
      <c r="Z859" s="50"/>
      <c r="AA859" s="52"/>
      <c r="AB859" s="52"/>
      <c r="AC859" s="52"/>
      <c r="AD859" s="231"/>
      <c r="AE859" s="49"/>
      <c r="AF859" s="84"/>
      <c r="AG859" s="49"/>
      <c r="AH859" s="49"/>
      <c r="AI859" s="49"/>
      <c r="AJ859" s="226"/>
      <c r="AK859" s="49"/>
      <c r="AL859" s="113">
        <f t="shared" ref="AL859:AL866" si="350">-0.02*Z859</f>
        <v>0</v>
      </c>
      <c r="AM859" s="113">
        <f t="shared" si="344"/>
        <v>0</v>
      </c>
      <c r="AN859" s="218"/>
      <c r="AO859" s="49"/>
      <c r="AP859" s="49"/>
      <c r="AQ859" s="84" t="str">
        <f>UPPER(RIGHT(Journal_Live[[#This Row],[DURATION ]]))</f>
        <v/>
      </c>
      <c r="AR859" s="49"/>
      <c r="AS859" s="55"/>
      <c r="AT859" s="55">
        <f t="shared" si="347"/>
        <v>0</v>
      </c>
      <c r="AU859" s="54">
        <f t="shared" si="348"/>
        <v>0</v>
      </c>
      <c r="AV859" s="56">
        <f t="shared" ref="AV859:AV866" si="351">IF(ISBLANK(AS859),,(AT859*Z859))</f>
        <v>0</v>
      </c>
      <c r="AW859" s="57"/>
      <c r="AX859" s="153" t="s">
        <v>2676</v>
      </c>
      <c r="AY859" s="153" t="s">
        <v>2677</v>
      </c>
      <c r="AZ859" s="153"/>
      <c r="BA859" s="153"/>
      <c r="BB859" s="153"/>
      <c r="BC859" s="153"/>
      <c r="BD859" s="151"/>
      <c r="BE859" s="152"/>
      <c r="BF859" s="151"/>
      <c r="BG859" s="94">
        <f>SUM($AV$4:AV859)</f>
        <v>5203.6108375297272</v>
      </c>
      <c r="BH859" s="95">
        <f>SUM($AU$4:AU859)</f>
        <v>55762.423836163813</v>
      </c>
      <c r="BI859" s="80">
        <f>SUMIFS($AU$3:AU861,$Q$3:Q861,"F")</f>
        <v>30355.078121878127</v>
      </c>
      <c r="BJ859" s="80">
        <f>SUMIFS($AU$3:AU861,$Q$3:Q861,"S")</f>
        <v>27810.285714285706</v>
      </c>
      <c r="BK859" s="87">
        <f>SUMIFS($AU$3:AU861,$P$3:P861,"W")</f>
        <v>30184.143836164003</v>
      </c>
      <c r="BL859" s="87">
        <f>SUMIFS($AU$3:AU861,$P$3:P861,"R")</f>
        <v>23508.400000000325</v>
      </c>
      <c r="BM859" s="87">
        <f>SUMIFS($AU$3:AU861,$AQ$3:AQ861,"M")</f>
        <v>13569.179999998996</v>
      </c>
      <c r="BN859" s="87">
        <f>SUMIFS($AU$3:AU861,$AQ$3:AQ861,"H")</f>
        <v>14043.200000000877</v>
      </c>
      <c r="BO859" s="87">
        <f>SUMIFS($AU$3:AU861,$AQ$3:AQ861,"D")</f>
        <v>18114.377472527347</v>
      </c>
      <c r="BP859" s="87">
        <f>SUMIFS($AS$3:AS1300,$AO$3:AO1300,"W")</f>
        <v>0</v>
      </c>
      <c r="BQ859" s="87">
        <f>SUMIFS($AU$3:AU861,$Q$3:Q861,"O")</f>
        <v>-5326.9399999999951</v>
      </c>
      <c r="BR859" s="87">
        <f>SUMIFS($AU$3:AU861,$AA$3:AA861,"*")</f>
        <v>47875.522077922004</v>
      </c>
      <c r="BS859" s="87">
        <f>SUMIFS($AU$3:AU861,$AB$3:AB861,"*")</f>
        <v>8595.8599999999715</v>
      </c>
      <c r="BT859" s="87">
        <f>SUMIFS($AU$3:AU861,$AC$3:AC861,"*")</f>
        <v>42963.078121878119</v>
      </c>
      <c r="BU859" s="87">
        <f>SUMIFS($AU$3:AU861,$AA$3:AA861,"*",$AB$3:AB861,"*")</f>
        <v>7915.9999999997544</v>
      </c>
      <c r="BV859" s="87">
        <f>SUMIFS($AU$3:AU861,$AA$3:AA861,"*",$AC$3:AC861,"*")</f>
        <v>35296.036363636529</v>
      </c>
      <c r="BW859" s="87">
        <f>SUMIFS($AU$3:AU861,$AB$3:AB861,"*",$AC$3:AC861,"*")</f>
        <v>4983.9999999999991</v>
      </c>
      <c r="BX859" s="87">
        <f>SUMIFS($AV$3:AV861,$Q$3:Q861,"F")</f>
        <v>389.44019562430162</v>
      </c>
      <c r="BY859" s="87">
        <f>SUMIFS($AV$3:AV861,$Q$3:Q861,"S")</f>
        <v>836.61134190572739</v>
      </c>
      <c r="BZ859" s="87">
        <f>SUMIFS($AV$3:AV861,$Q$3:Q861,"O")</f>
        <v>529.55929999969067</v>
      </c>
    </row>
    <row r="860" spans="1:78" ht="15.75" customHeight="1">
      <c r="A860" s="45" t="s">
        <v>2311</v>
      </c>
      <c r="B860" s="59">
        <v>45469</v>
      </c>
      <c r="C860" s="46" t="s">
        <v>147</v>
      </c>
      <c r="D860" s="46" t="s">
        <v>186</v>
      </c>
      <c r="E860" s="66"/>
      <c r="F860" s="47"/>
      <c r="G860" s="48" t="s">
        <v>377</v>
      </c>
      <c r="H860" s="49"/>
      <c r="I860" s="49"/>
      <c r="J860" s="49"/>
      <c r="K860" s="50"/>
      <c r="L860" s="49"/>
      <c r="M860" s="49">
        <v>1</v>
      </c>
      <c r="N860" s="49"/>
      <c r="O860" s="50" t="s">
        <v>740</v>
      </c>
      <c r="P860" s="50" t="s">
        <v>126</v>
      </c>
      <c r="Q860" s="50"/>
      <c r="R860" s="50">
        <v>1</v>
      </c>
      <c r="S860" s="50">
        <v>0</v>
      </c>
      <c r="T860" s="50">
        <v>1</v>
      </c>
      <c r="U860" s="50" t="s">
        <v>102</v>
      </c>
      <c r="V860" s="50"/>
      <c r="W860" s="50"/>
      <c r="X860" s="50"/>
      <c r="Y860" s="51">
        <f t="shared" ref="Y860:Y870" si="352">IF(ISBLANK(O860),"",(IF(O860=UPPER("IB"),0.005,0.01)))</f>
        <v>0.01</v>
      </c>
      <c r="Z860" s="52">
        <f>IF(ISBLANK(O860),"",IF(O860="IB",8.63*200,IF(O860="IR",16*100,IF(O860="YT",20*100,IF(O860="YT-XT",24*200,IF(O860="TED",80*100,IF(O860="IR|YT",300*100)))))))</f>
        <v>30000</v>
      </c>
      <c r="AA860" s="52" t="s">
        <v>515</v>
      </c>
      <c r="AB860" s="52"/>
      <c r="AC860" s="52"/>
      <c r="AD860" s="231">
        <v>-0.24</v>
      </c>
      <c r="AE860" s="49"/>
      <c r="AF860" s="84"/>
      <c r="AG860" s="49"/>
      <c r="AH860" s="49"/>
      <c r="AI860" s="49"/>
      <c r="AJ860" s="226"/>
      <c r="AK860" s="49"/>
      <c r="AL860" s="113">
        <f t="shared" si="350"/>
        <v>-600</v>
      </c>
      <c r="AM860" s="113">
        <f t="shared" si="344"/>
        <v>-600</v>
      </c>
      <c r="AN860" s="218"/>
      <c r="AO860" s="49"/>
      <c r="AP860" s="49"/>
      <c r="AQ860" s="84" t="s">
        <v>350</v>
      </c>
      <c r="AR860" s="49"/>
      <c r="AS860" s="55">
        <v>-0.25</v>
      </c>
      <c r="AT860" s="55">
        <f t="shared" si="347"/>
        <v>1.0000000000000009E-2</v>
      </c>
      <c r="AU860" s="54">
        <f t="shared" si="348"/>
        <v>300.00000000000028</v>
      </c>
      <c r="AV860" s="56">
        <f t="shared" si="351"/>
        <v>300.00000000000028</v>
      </c>
      <c r="AW860" s="57" t="s">
        <v>101</v>
      </c>
      <c r="AX860" s="153"/>
      <c r="AY860" s="153"/>
      <c r="AZ860" s="153"/>
      <c r="BA860" s="153"/>
      <c r="BB860" s="153"/>
      <c r="BC860" s="153"/>
      <c r="BD860" s="151"/>
      <c r="BE860" s="152"/>
      <c r="BF860" s="151"/>
      <c r="BG860" s="94">
        <f>SUM($AV$4:AV860)</f>
        <v>5503.6108375297272</v>
      </c>
      <c r="BH860" s="95">
        <f>SUM($AU$4:AU860)</f>
        <v>56062.423836163813</v>
      </c>
      <c r="BI860" s="80">
        <f>SUMIFS($AU$3:AU862,$Q$3:Q862,"F")</f>
        <v>30355.078121878127</v>
      </c>
      <c r="BJ860" s="80">
        <f>SUMIFS($AU$3:AU862,$Q$3:Q862,"S")</f>
        <v>27810.285714285706</v>
      </c>
      <c r="BK860" s="87">
        <f>SUMIFS($AU$3:AU862,$P$3:P862,"W")</f>
        <v>30184.143836164003</v>
      </c>
      <c r="BL860" s="87">
        <f>SUMIFS($AU$3:AU862,$P$3:P862,"R")</f>
        <v>24108.400000000325</v>
      </c>
      <c r="BM860" s="87">
        <f>SUMIFS($AU$3:AU862,$AQ$3:AQ862,"M")</f>
        <v>14169.179999998996</v>
      </c>
      <c r="BN860" s="87">
        <f>SUMIFS($AU$3:AU862,$AQ$3:AQ862,"H")</f>
        <v>14043.200000000877</v>
      </c>
      <c r="BO860" s="87">
        <f>SUMIFS($AU$3:AU862,$AQ$3:AQ862,"D")</f>
        <v>18114.377472527347</v>
      </c>
      <c r="BP860" s="87">
        <f>SUMIFS($AS$3:AS1301,$AO$3:AO1301,"W")</f>
        <v>0</v>
      </c>
      <c r="BQ860" s="87">
        <f>SUMIFS($AU$3:AU862,$Q$3:Q862,"O")</f>
        <v>-5326.9399999999951</v>
      </c>
      <c r="BR860" s="87">
        <f>SUMIFS($AU$3:AU862,$AA$3:AA862,"*")</f>
        <v>48475.522077922004</v>
      </c>
      <c r="BS860" s="87">
        <f>SUMIFS($AU$3:AU862,$AB$3:AB862,"*")</f>
        <v>8595.8599999999715</v>
      </c>
      <c r="BT860" s="87">
        <f>SUMIFS($AU$3:AU862,$AC$3:AC862,"*")</f>
        <v>42963.078121878119</v>
      </c>
      <c r="BU860" s="87">
        <f>SUMIFS($AU$3:AU862,$AA$3:AA862,"*",$AB$3:AB862,"*")</f>
        <v>7915.9999999997544</v>
      </c>
      <c r="BV860" s="87">
        <f>SUMIFS($AU$3:AU862,$AA$3:AA862,"*",$AC$3:AC862,"*")</f>
        <v>35296.036363636529</v>
      </c>
      <c r="BW860" s="87">
        <f>SUMIFS($AU$3:AU862,$AB$3:AB862,"*",$AC$3:AC862,"*")</f>
        <v>4983.9999999999991</v>
      </c>
      <c r="BX860" s="87">
        <f>SUMIFS($AV$3:AV862,$Q$3:Q862,"F")</f>
        <v>389.44019562430162</v>
      </c>
      <c r="BY860" s="87">
        <f>SUMIFS($AV$3:AV862,$Q$3:Q862,"S")</f>
        <v>836.61134190572739</v>
      </c>
      <c r="BZ860" s="87">
        <f>SUMIFS($AV$3:AV862,$Q$3:Q862,"O")</f>
        <v>529.55929999969067</v>
      </c>
    </row>
    <row r="861" spans="1:78" ht="15.75" customHeight="1">
      <c r="A861" s="45" t="s">
        <v>2311</v>
      </c>
      <c r="B861" s="59">
        <v>45469</v>
      </c>
      <c r="C861" s="46" t="s">
        <v>147</v>
      </c>
      <c r="D861" s="46" t="s">
        <v>186</v>
      </c>
      <c r="E861" s="66"/>
      <c r="F861" s="47"/>
      <c r="G861" s="48" t="s">
        <v>362</v>
      </c>
      <c r="H861" s="49"/>
      <c r="I861" s="49"/>
      <c r="J861" s="49"/>
      <c r="K861" s="50"/>
      <c r="L861" s="49"/>
      <c r="M861" s="49">
        <v>1</v>
      </c>
      <c r="N861" s="49"/>
      <c r="O861" s="50" t="s">
        <v>740</v>
      </c>
      <c r="P861" s="50" t="s">
        <v>126</v>
      </c>
      <c r="Q861" s="50"/>
      <c r="R861" s="50">
        <v>1</v>
      </c>
      <c r="S861" s="50">
        <v>0</v>
      </c>
      <c r="T861" s="50">
        <v>1</v>
      </c>
      <c r="U861" s="50" t="s">
        <v>102</v>
      </c>
      <c r="V861" s="50"/>
      <c r="W861" s="50"/>
      <c r="X861" s="50"/>
      <c r="Y861" s="51">
        <f t="shared" si="352"/>
        <v>0.01</v>
      </c>
      <c r="Z861" s="52">
        <f>IF(ISBLANK(O861),"",IF(O861="IB",8.63*200,IF(O861="IR",16*100,IF(O861="YT",20*100,IF(O861="YT-XT",24*200,IF(O861="TED",80*100,IF(O861="IR|YT",300*100)))))))</f>
        <v>30000</v>
      </c>
      <c r="AA861" s="52" t="s">
        <v>515</v>
      </c>
      <c r="AB861" s="52"/>
      <c r="AC861" s="52"/>
      <c r="AD861" s="231">
        <v>-0.14000000000000001</v>
      </c>
      <c r="AE861" s="49"/>
      <c r="AF861" s="84"/>
      <c r="AG861" s="49"/>
      <c r="AH861" s="49"/>
      <c r="AI861" s="49"/>
      <c r="AJ861" s="226"/>
      <c r="AK861" s="49"/>
      <c r="AL861" s="113">
        <f t="shared" si="350"/>
        <v>-600</v>
      </c>
      <c r="AM861" s="113">
        <f t="shared" si="344"/>
        <v>-600</v>
      </c>
      <c r="AN861" s="218"/>
      <c r="AO861" s="49"/>
      <c r="AP861" s="49"/>
      <c r="AQ861" s="84" t="s">
        <v>350</v>
      </c>
      <c r="AR861" s="49"/>
      <c r="AS861" s="55">
        <v>-0.16</v>
      </c>
      <c r="AT861" s="55">
        <f t="shared" si="347"/>
        <v>1.999999999999999E-2</v>
      </c>
      <c r="AU861" s="54">
        <f t="shared" si="348"/>
        <v>599.99999999999966</v>
      </c>
      <c r="AV861" s="56">
        <f t="shared" si="351"/>
        <v>599.99999999999966</v>
      </c>
      <c r="AW861" s="57" t="s">
        <v>101</v>
      </c>
      <c r="AX861" s="153"/>
      <c r="AY861" s="153"/>
      <c r="AZ861" s="153"/>
      <c r="BA861" s="153"/>
      <c r="BB861" s="153"/>
      <c r="BC861" s="153"/>
      <c r="BD861" s="151"/>
      <c r="BE861" s="152"/>
      <c r="BF861" s="151"/>
      <c r="BG861" s="94">
        <f>SUM($AV$4:AV861)</f>
        <v>6103.6108375297272</v>
      </c>
      <c r="BH861" s="95">
        <f>SUM($AU$4:AU861)</f>
        <v>56662.423836163813</v>
      </c>
      <c r="BI861" s="80">
        <f>SUMIFS($AU$3:AU863,$Q$3:Q863,"F")</f>
        <v>30355.078121878127</v>
      </c>
      <c r="BJ861" s="80">
        <f>SUMIFS($AU$3:AU863,$Q$3:Q863,"S")</f>
        <v>27810.285714285706</v>
      </c>
      <c r="BK861" s="87">
        <f>SUMIFS($AU$3:AU863,$P$3:P863,"W")</f>
        <v>30184.143836164003</v>
      </c>
      <c r="BL861" s="87">
        <f>SUMIFS($AU$3:AU863,$P$3:P863,"R")</f>
        <v>24108.400000000325</v>
      </c>
      <c r="BM861" s="87">
        <f>SUMIFS($AU$3:AU863,$AQ$3:AQ863,"M")</f>
        <v>13995.179999998989</v>
      </c>
      <c r="BN861" s="87">
        <f>SUMIFS($AU$3:AU863,$AQ$3:AQ863,"H")</f>
        <v>14043.200000000877</v>
      </c>
      <c r="BO861" s="87">
        <f>SUMIFS($AU$3:AU863,$AQ$3:AQ863,"D")</f>
        <v>18114.377472527347</v>
      </c>
      <c r="BP861" s="87">
        <f>SUMIFS($AS$3:AS1302,$AO$3:AO1302,"W")</f>
        <v>0</v>
      </c>
      <c r="BQ861" s="87">
        <f>SUMIFS($AU$3:AU863,$Q$3:Q863,"O")</f>
        <v>-5500.9400000000014</v>
      </c>
      <c r="BR861" s="87">
        <f>SUMIFS($AU$3:AU863,$AA$3:AA863,"*")</f>
        <v>48301.522077921996</v>
      </c>
      <c r="BS861" s="87">
        <f>SUMIFS($AU$3:AU863,$AB$3:AB863,"*")</f>
        <v>8595.8599999999715</v>
      </c>
      <c r="BT861" s="87">
        <f>SUMIFS($AU$3:AU863,$AC$3:AC863,"*")</f>
        <v>42963.078121878119</v>
      </c>
      <c r="BU861" s="87">
        <f>SUMIFS($AU$3:AU863,$AA$3:AA863,"*",$AB$3:AB863,"*")</f>
        <v>7915.9999999997544</v>
      </c>
      <c r="BV861" s="87">
        <f>SUMIFS($AU$3:AU863,$AA$3:AA863,"*",$AC$3:AC863,"*")</f>
        <v>35296.036363636529</v>
      </c>
      <c r="BW861" s="87">
        <f>SUMIFS($AU$3:AU863,$AB$3:AB863,"*",$AC$3:AC863,"*")</f>
        <v>4983.9999999999991</v>
      </c>
      <c r="BX861" s="87">
        <f>SUMIFS($AV$3:AV863,$Q$3:Q863,"F")</f>
        <v>389.44019562430162</v>
      </c>
      <c r="BY861" s="87">
        <f>SUMIFS($AV$3:AV863,$Q$3:Q863,"S")</f>
        <v>836.61134190572739</v>
      </c>
      <c r="BZ861" s="87">
        <f>SUMIFS($AV$3:AV863,$Q$3:Q863,"O")</f>
        <v>442.55929999968737</v>
      </c>
    </row>
    <row r="862" spans="1:78" ht="15.75" customHeight="1">
      <c r="A862" s="45" t="s">
        <v>2311</v>
      </c>
      <c r="B862" s="59">
        <v>45469</v>
      </c>
      <c r="C862" s="46" t="s">
        <v>147</v>
      </c>
      <c r="D862" s="46" t="s">
        <v>186</v>
      </c>
      <c r="E862" s="66"/>
      <c r="F862" s="47"/>
      <c r="G862" s="48" t="s">
        <v>1111</v>
      </c>
      <c r="H862" s="49"/>
      <c r="I862" s="49"/>
      <c r="J862" s="49"/>
      <c r="K862" s="50"/>
      <c r="L862" s="49"/>
      <c r="M862" s="49">
        <v>1</v>
      </c>
      <c r="N862" s="49"/>
      <c r="O862" s="50" t="s">
        <v>740</v>
      </c>
      <c r="P862" s="50" t="s">
        <v>126</v>
      </c>
      <c r="Q862" s="50"/>
      <c r="R862" s="50">
        <v>1</v>
      </c>
      <c r="S862" s="50">
        <v>0</v>
      </c>
      <c r="T862" s="50">
        <v>1</v>
      </c>
      <c r="U862" s="50" t="s">
        <v>102</v>
      </c>
      <c r="V862" s="50"/>
      <c r="W862" s="50"/>
      <c r="X862" s="50"/>
      <c r="Y862" s="51">
        <f t="shared" si="352"/>
        <v>0.01</v>
      </c>
      <c r="Z862" s="52">
        <f>IF(ISBLANK(O862),"",IF(O862="IB",8.63*200,IF(O862="IR",16*100,IF(O862="YT",20*100,IF(O862="YT-XT",24*200,IF(O862="TED",80*100,IF(O862="IR|YT",300*100)))))))</f>
        <v>30000</v>
      </c>
      <c r="AA862" s="52" t="s">
        <v>515</v>
      </c>
      <c r="AB862" s="52"/>
      <c r="AC862" s="52"/>
      <c r="AD862" s="231">
        <v>-0.06</v>
      </c>
      <c r="AE862" s="49"/>
      <c r="AF862" s="84"/>
      <c r="AG862" s="49"/>
      <c r="AH862" s="49"/>
      <c r="AI862" s="49"/>
      <c r="AJ862" s="226"/>
      <c r="AK862" s="49"/>
      <c r="AL862" s="113">
        <f t="shared" si="350"/>
        <v>-600</v>
      </c>
      <c r="AM862" s="113">
        <f t="shared" si="344"/>
        <v>-600</v>
      </c>
      <c r="AN862" s="218"/>
      <c r="AO862" s="49"/>
      <c r="AP862" s="49"/>
      <c r="AQ862" s="84" t="s">
        <v>350</v>
      </c>
      <c r="AR862" s="49"/>
      <c r="AS862" s="55">
        <v>-0.08</v>
      </c>
      <c r="AT862" s="55">
        <f t="shared" si="347"/>
        <v>2.0000000000000004E-2</v>
      </c>
      <c r="AU862" s="54">
        <f t="shared" si="348"/>
        <v>600.00000000000011</v>
      </c>
      <c r="AV862" s="56">
        <f t="shared" si="351"/>
        <v>600.00000000000011</v>
      </c>
      <c r="AW862" s="57" t="s">
        <v>101</v>
      </c>
      <c r="AX862" s="153"/>
      <c r="AY862" s="153"/>
      <c r="AZ862" s="153"/>
      <c r="BA862" s="153"/>
      <c r="BB862" s="153"/>
      <c r="BC862" s="153"/>
      <c r="BD862" s="151"/>
      <c r="BE862" s="152"/>
      <c r="BF862" s="151"/>
      <c r="BG862" s="94">
        <f>SUM($AV$4:AV862)</f>
        <v>6703.6108375297272</v>
      </c>
      <c r="BH862" s="95">
        <f>SUM($AU$4:AU862)</f>
        <v>57262.423836163813</v>
      </c>
      <c r="BI862" s="80">
        <f>SUMIFS($AU$3:AU864,$Q$3:Q864,"F")</f>
        <v>30355.078121878127</v>
      </c>
      <c r="BJ862" s="80">
        <f>SUMIFS($AU$3:AU864,$Q$3:Q864,"S")</f>
        <v>27810.285714285706</v>
      </c>
      <c r="BK862" s="87">
        <f>SUMIFS($AU$3:AU864,$P$3:P864,"W")</f>
        <v>26344.143836163403</v>
      </c>
      <c r="BL862" s="87">
        <f>SUMIFS($AU$3:AU864,$P$3:P864,"R")</f>
        <v>24108.400000000325</v>
      </c>
      <c r="BM862" s="87">
        <f>SUMIFS($AU$3:AU864,$AQ$3:AQ864,"M")</f>
        <v>10155.179999998389</v>
      </c>
      <c r="BN862" s="87">
        <f>SUMIFS($AU$3:AU864,$AQ$3:AQ864,"H")</f>
        <v>14043.200000000877</v>
      </c>
      <c r="BO862" s="87">
        <f>SUMIFS($AU$3:AU864,$AQ$3:AQ864,"D")</f>
        <v>18114.377472527347</v>
      </c>
      <c r="BP862" s="87">
        <f>SUMIFS($AS$3:AS1303,$AO$3:AO1303,"W")</f>
        <v>0</v>
      </c>
      <c r="BQ862" s="87">
        <f>SUMIFS($AU$3:AU864,$Q$3:Q864,"O")</f>
        <v>-9340.9400000006026</v>
      </c>
      <c r="BR862" s="87">
        <f>SUMIFS($AU$3:AU864,$AA$3:AA864,"*")</f>
        <v>44461.5220779214</v>
      </c>
      <c r="BS862" s="87">
        <f>SUMIFS($AU$3:AU864,$AB$3:AB864,"*")</f>
        <v>8595.8599999999715</v>
      </c>
      <c r="BT862" s="87">
        <f>SUMIFS($AU$3:AU864,$AC$3:AC864,"*")</f>
        <v>42963.078121878119</v>
      </c>
      <c r="BU862" s="87">
        <f>SUMIFS($AU$3:AU864,$AA$3:AA864,"*",$AB$3:AB864,"*")</f>
        <v>7915.9999999997544</v>
      </c>
      <c r="BV862" s="87">
        <f>SUMIFS($AU$3:AU864,$AA$3:AA864,"*",$AC$3:AC864,"*")</f>
        <v>35296.036363636529</v>
      </c>
      <c r="BW862" s="87">
        <f>SUMIFS($AU$3:AU864,$AB$3:AB864,"*",$AC$3:AC864,"*")</f>
        <v>4983.9999999999991</v>
      </c>
      <c r="BX862" s="87">
        <f>SUMIFS($AV$3:AV864,$Q$3:Q864,"F")</f>
        <v>389.44019562430162</v>
      </c>
      <c r="BY862" s="87">
        <f>SUMIFS($AV$3:AV864,$Q$3:Q864,"S")</f>
        <v>836.61134190572739</v>
      </c>
      <c r="BZ862" s="87">
        <f>SUMIFS($AV$3:AV864,$Q$3:Q864,"O")</f>
        <v>378.55929999967736</v>
      </c>
    </row>
    <row r="863" spans="1:78" ht="15.75" customHeight="1">
      <c r="A863" s="45" t="s">
        <v>2311</v>
      </c>
      <c r="B863" s="59">
        <v>45469</v>
      </c>
      <c r="C863" s="46" t="s">
        <v>147</v>
      </c>
      <c r="D863" s="46" t="s">
        <v>186</v>
      </c>
      <c r="E863" s="66"/>
      <c r="F863" s="47"/>
      <c r="G863" s="48" t="s">
        <v>2541</v>
      </c>
      <c r="H863" s="49"/>
      <c r="I863" s="49"/>
      <c r="J863" s="49"/>
      <c r="K863" s="50"/>
      <c r="L863" s="49"/>
      <c r="M863" s="49">
        <v>1</v>
      </c>
      <c r="N863" s="49"/>
      <c r="O863" s="50" t="s">
        <v>196</v>
      </c>
      <c r="P863" s="50" t="s">
        <v>197</v>
      </c>
      <c r="Q863" s="50" t="s">
        <v>198</v>
      </c>
      <c r="R863" s="50">
        <v>2</v>
      </c>
      <c r="S863" s="50">
        <v>0</v>
      </c>
      <c r="T863" s="50">
        <v>2</v>
      </c>
      <c r="U863" s="50" t="s">
        <v>22</v>
      </c>
      <c r="V863" s="50"/>
      <c r="W863" s="50"/>
      <c r="X863" s="50"/>
      <c r="Y863" s="51">
        <f t="shared" si="352"/>
        <v>0.01</v>
      </c>
      <c r="Z863" s="52">
        <f>IF(ISBLANK(O863),"",IF(O863="IB",8.63*200,IF(O863="IR",16*100,IF(O863="YT",20*100,IF(O863="YT-XT",24*200,IF(O863="TED",80*100,IF(O863="XT",29*200)))))))</f>
        <v>5800</v>
      </c>
      <c r="AA863" s="52" t="s">
        <v>515</v>
      </c>
      <c r="AB863" s="52"/>
      <c r="AC863" s="52"/>
      <c r="AD863" s="231">
        <v>95.74</v>
      </c>
      <c r="AE863" s="49"/>
      <c r="AF863" s="84"/>
      <c r="AG863" s="49"/>
      <c r="AH863" s="49"/>
      <c r="AI863" s="49"/>
      <c r="AJ863" s="226"/>
      <c r="AK863" s="49"/>
      <c r="AL863" s="113">
        <f t="shared" si="350"/>
        <v>-116</v>
      </c>
      <c r="AM863" s="113">
        <f t="shared" si="344"/>
        <v>-232</v>
      </c>
      <c r="AN863" s="218"/>
      <c r="AO863" s="49"/>
      <c r="AP863" s="49"/>
      <c r="AQ863" s="84" t="s">
        <v>350</v>
      </c>
      <c r="AR863" s="49"/>
      <c r="AS863" s="55">
        <v>95.724999999999994</v>
      </c>
      <c r="AT863" s="55">
        <f t="shared" si="347"/>
        <v>-1.5000000000000568E-2</v>
      </c>
      <c r="AU863" s="54">
        <f t="shared" si="348"/>
        <v>-174.00000000000659</v>
      </c>
      <c r="AV863" s="56">
        <f t="shared" si="351"/>
        <v>-87.000000000003297</v>
      </c>
      <c r="AW863" s="57" t="s">
        <v>121</v>
      </c>
      <c r="AX863" s="153" t="s">
        <v>2678</v>
      </c>
      <c r="AY863" s="153" t="s">
        <v>2679</v>
      </c>
      <c r="AZ863" s="153" t="s">
        <v>2680</v>
      </c>
      <c r="BA863" s="153"/>
      <c r="BB863" s="153"/>
      <c r="BC863" s="153"/>
      <c r="BD863" s="151"/>
      <c r="BE863" s="152"/>
      <c r="BF863" s="151"/>
      <c r="BG863" s="94">
        <f>SUM($AV$4:AV863)</f>
        <v>6616.6108375297235</v>
      </c>
      <c r="BH863" s="95">
        <f>SUM($AU$4:AU863)</f>
        <v>57088.423836163805</v>
      </c>
      <c r="BI863" s="80">
        <f>SUMIFS($AU$3:AU865,$Q$3:Q865,"F")</f>
        <v>30355.078121878127</v>
      </c>
      <c r="BJ863" s="80">
        <f>SUMIFS($AU$3:AU865,$Q$3:Q865,"S")</f>
        <v>26530.285714285706</v>
      </c>
      <c r="BK863" s="87">
        <f>SUMIFS($AU$3:AU865,$P$3:P865,"W")</f>
        <v>25064.143836163403</v>
      </c>
      <c r="BL863" s="87">
        <f>SUMIFS($AU$3:AU865,$P$3:P865,"R")</f>
        <v>24108.400000000325</v>
      </c>
      <c r="BM863" s="87">
        <f>SUMIFS($AU$3:AU865,$AQ$3:AQ865,"M")</f>
        <v>8875.1799999983887</v>
      </c>
      <c r="BN863" s="87">
        <f>SUMIFS($AU$3:AU865,$AQ$3:AQ865,"H")</f>
        <v>14043.200000000877</v>
      </c>
      <c r="BO863" s="87">
        <f>SUMIFS($AU$3:AU865,$AQ$3:AQ865,"D")</f>
        <v>18114.377472527347</v>
      </c>
      <c r="BP863" s="87">
        <f>SUMIFS($AS$3:AS1304,$AO$3:AO1304,"W")</f>
        <v>0</v>
      </c>
      <c r="BQ863" s="87">
        <f>SUMIFS($AU$3:AU865,$Q$3:Q865,"O")</f>
        <v>-9340.9400000006026</v>
      </c>
      <c r="BR863" s="87">
        <f>SUMIFS($AU$3:AU865,$AA$3:AA865,"*")</f>
        <v>43181.5220779214</v>
      </c>
      <c r="BS863" s="87">
        <f>SUMIFS($AU$3:AU865,$AB$3:AB865,"*")</f>
        <v>8595.8599999999715</v>
      </c>
      <c r="BT863" s="87">
        <f>SUMIFS($AU$3:AU865,$AC$3:AC865,"*")</f>
        <v>42963.078121878119</v>
      </c>
      <c r="BU863" s="87">
        <f>SUMIFS($AU$3:AU865,$AA$3:AA865,"*",$AB$3:AB865,"*")</f>
        <v>7915.9999999997544</v>
      </c>
      <c r="BV863" s="87">
        <f>SUMIFS($AU$3:AU865,$AA$3:AA865,"*",$AC$3:AC865,"*")</f>
        <v>35296.036363636529</v>
      </c>
      <c r="BW863" s="87">
        <f>SUMIFS($AU$3:AU865,$AB$3:AB865,"*",$AC$3:AC865,"*")</f>
        <v>4983.9999999999991</v>
      </c>
      <c r="BX863" s="87">
        <f>SUMIFS($AV$3:AV865,$Q$3:Q865,"F")</f>
        <v>389.44019562430162</v>
      </c>
      <c r="BY863" s="87">
        <f>SUMIFS($AV$3:AV865,$Q$3:Q865,"S")</f>
        <v>804.61134190572739</v>
      </c>
      <c r="BZ863" s="87">
        <f>SUMIFS($AV$3:AV865,$Q$3:Q865,"O")</f>
        <v>378.55929999967736</v>
      </c>
    </row>
    <row r="864" spans="1:78" ht="15.75" customHeight="1">
      <c r="A864" s="45" t="s">
        <v>2311</v>
      </c>
      <c r="B864" s="59">
        <v>45469</v>
      </c>
      <c r="C864" s="46" t="s">
        <v>147</v>
      </c>
      <c r="D864" s="46" t="s">
        <v>186</v>
      </c>
      <c r="E864" s="66"/>
      <c r="F864" s="47"/>
      <c r="G864" s="48" t="s">
        <v>1708</v>
      </c>
      <c r="H864" s="49"/>
      <c r="I864" s="49"/>
      <c r="J864" s="49"/>
      <c r="K864" s="50"/>
      <c r="L864" s="49"/>
      <c r="M864" s="49">
        <v>1</v>
      </c>
      <c r="N864" s="49"/>
      <c r="O864" s="50" t="s">
        <v>100</v>
      </c>
      <c r="P864" s="50" t="s">
        <v>101</v>
      </c>
      <c r="Q864" s="50" t="s">
        <v>198</v>
      </c>
      <c r="R864" s="50">
        <v>60</v>
      </c>
      <c r="S864" s="50">
        <v>0</v>
      </c>
      <c r="T864" s="50">
        <v>60</v>
      </c>
      <c r="U864" s="50" t="s">
        <v>22</v>
      </c>
      <c r="V864" s="50"/>
      <c r="W864" s="50"/>
      <c r="X864" s="50"/>
      <c r="Y864" s="51">
        <f t="shared" si="352"/>
        <v>0.01</v>
      </c>
      <c r="Z864" s="52">
        <f>IF(ISBLANK(O864),"",IF(O864="IB",8.63*200,IF(O864="IR",16*100,IF(O864="YT",20*100,IF(O864="YT-XT",24*200,IF(O864="TED",80*100,IF(O864="XT",29*200)))))))</f>
        <v>1600</v>
      </c>
      <c r="AA864" s="52" t="s">
        <v>2681</v>
      </c>
      <c r="AB864" s="52"/>
      <c r="AC864" s="52"/>
      <c r="AD864" s="231">
        <v>95.54</v>
      </c>
      <c r="AE864" s="49"/>
      <c r="AF864" s="84"/>
      <c r="AG864" s="49"/>
      <c r="AH864" s="49"/>
      <c r="AI864" s="49"/>
      <c r="AJ864" s="226"/>
      <c r="AK864" s="49"/>
      <c r="AL864" s="113">
        <f t="shared" si="350"/>
        <v>-32</v>
      </c>
      <c r="AM864" s="113">
        <f t="shared" si="344"/>
        <v>-1920</v>
      </c>
      <c r="AN864" s="218"/>
      <c r="AO864" s="49"/>
      <c r="AP864" s="49"/>
      <c r="AQ864" s="84" t="s">
        <v>350</v>
      </c>
      <c r="AR864" s="49"/>
      <c r="AS864" s="55">
        <v>95.5</v>
      </c>
      <c r="AT864" s="55">
        <f t="shared" si="347"/>
        <v>-4.0000000000006253E-2</v>
      </c>
      <c r="AU864" s="54">
        <f t="shared" si="348"/>
        <v>-3840.0000000006003</v>
      </c>
      <c r="AV864" s="56">
        <f t="shared" si="351"/>
        <v>-64.000000000010004</v>
      </c>
      <c r="AW864" s="57" t="s">
        <v>121</v>
      </c>
      <c r="AX864" s="153" t="s">
        <v>2682</v>
      </c>
      <c r="AY864" s="153" t="s">
        <v>2683</v>
      </c>
      <c r="AZ864" s="153" t="s">
        <v>2684</v>
      </c>
      <c r="BA864" s="153" t="s">
        <v>2685</v>
      </c>
      <c r="BB864" s="153"/>
      <c r="BC864" s="153"/>
      <c r="BD864" s="151"/>
      <c r="BE864" s="152"/>
      <c r="BF864" s="151"/>
      <c r="BG864" s="94">
        <f>SUM($AV$4:AV864)</f>
        <v>6552.6108375297135</v>
      </c>
      <c r="BH864" s="95">
        <f>SUM($AU$4:AU864)</f>
        <v>53248.423836163201</v>
      </c>
      <c r="BI864" s="80">
        <f>SUMIFS($AU$3:AU866,$Q$3:Q866,"F")</f>
        <v>30355.078121878127</v>
      </c>
      <c r="BJ864" s="80">
        <f>SUMIFS($AU$3:AU866,$Q$3:Q866,"S")</f>
        <v>26530.285714285706</v>
      </c>
      <c r="BK864" s="87">
        <f>SUMIFS($AU$3:AU866,$P$3:P866,"W")</f>
        <v>25064.143836163403</v>
      </c>
      <c r="BL864" s="87">
        <f>SUMIFS($AU$3:AU866,$P$3:P866,"R")</f>
        <v>24108.400000000325</v>
      </c>
      <c r="BM864" s="87">
        <f>SUMIFS($AU$3:AU866,$AQ$3:AQ866,"M")</f>
        <v>8875.1799999983887</v>
      </c>
      <c r="BN864" s="87">
        <f>SUMIFS($AU$3:AU866,$AQ$3:AQ866,"H")</f>
        <v>14043.200000000877</v>
      </c>
      <c r="BO864" s="87">
        <f>SUMIFS($AU$3:AU866,$AQ$3:AQ866,"D")</f>
        <v>18114.377472527347</v>
      </c>
      <c r="BP864" s="87">
        <f>SUMIFS($AS$3:AS1305,$AO$3:AO1305,"W")</f>
        <v>0</v>
      </c>
      <c r="BQ864" s="87">
        <f>SUMIFS($AU$3:AU866,$Q$3:Q866,"O")</f>
        <v>-9340.9400000006026</v>
      </c>
      <c r="BR864" s="87">
        <f>SUMIFS($AU$3:AU866,$AA$3:AA866,"*")</f>
        <v>43181.5220779214</v>
      </c>
      <c r="BS864" s="87">
        <f>SUMIFS($AU$3:AU866,$AB$3:AB866,"*")</f>
        <v>8595.8599999999715</v>
      </c>
      <c r="BT864" s="87">
        <f>SUMIFS($AU$3:AU866,$AC$3:AC866,"*")</f>
        <v>42963.078121878119</v>
      </c>
      <c r="BU864" s="87">
        <f>SUMIFS($AU$3:AU866,$AA$3:AA866,"*",$AB$3:AB866,"*")</f>
        <v>7915.9999999997544</v>
      </c>
      <c r="BV864" s="87">
        <f>SUMIFS($AU$3:AU866,$AA$3:AA866,"*",$AC$3:AC866,"*")</f>
        <v>35296.036363636529</v>
      </c>
      <c r="BW864" s="87">
        <f>SUMIFS($AU$3:AU866,$AB$3:AB866,"*",$AC$3:AC866,"*")</f>
        <v>4983.9999999999991</v>
      </c>
      <c r="BX864" s="87">
        <f>SUMIFS($AV$3:AV866,$Q$3:Q866,"F")</f>
        <v>389.44019562430162</v>
      </c>
      <c r="BY864" s="87">
        <f>SUMIFS($AV$3:AV866,$Q$3:Q866,"S")</f>
        <v>804.61134190572739</v>
      </c>
      <c r="BZ864" s="87">
        <f>SUMIFS($AV$3:AV866,$Q$3:Q866,"O")</f>
        <v>378.55929999967736</v>
      </c>
    </row>
    <row r="865" spans="1:78" ht="15.75" customHeight="1">
      <c r="A865" s="45" t="s">
        <v>2311</v>
      </c>
      <c r="B865" s="59">
        <v>45469</v>
      </c>
      <c r="C865" s="46" t="s">
        <v>147</v>
      </c>
      <c r="D865" s="46" t="s">
        <v>186</v>
      </c>
      <c r="E865" s="66"/>
      <c r="F865" s="47"/>
      <c r="G865" s="48" t="s">
        <v>2407</v>
      </c>
      <c r="H865" s="49"/>
      <c r="I865" s="49"/>
      <c r="J865" s="49"/>
      <c r="K865" s="50"/>
      <c r="L865" s="49"/>
      <c r="M865" s="49">
        <v>1</v>
      </c>
      <c r="N865" s="49"/>
      <c r="O865" s="50" t="s">
        <v>100</v>
      </c>
      <c r="P865" s="50" t="s">
        <v>101</v>
      </c>
      <c r="Q865" s="50" t="s">
        <v>102</v>
      </c>
      <c r="R865" s="50">
        <v>40</v>
      </c>
      <c r="S865" s="50">
        <v>0</v>
      </c>
      <c r="T865" s="50">
        <v>40</v>
      </c>
      <c r="U865" s="50" t="s">
        <v>102</v>
      </c>
      <c r="V865" s="50"/>
      <c r="W865" s="50"/>
      <c r="X865" s="50"/>
      <c r="Y865" s="51">
        <f t="shared" si="352"/>
        <v>0.01</v>
      </c>
      <c r="Z865" s="52">
        <f>IF(ISBLANK(O865),"",IF(O865="IB",8.63*200,IF(O865="IR",16*100,IF(O865="YT",20*100,IF(O865="YT-XT",24*200,IF(O865="TED",80*100,IF(O865="XT",29*200)))))))</f>
        <v>1600</v>
      </c>
      <c r="AA865" s="52" t="s">
        <v>1702</v>
      </c>
      <c r="AB865" s="52"/>
      <c r="AC865" s="52"/>
      <c r="AD865" s="231">
        <v>-0.125</v>
      </c>
      <c r="AE865" s="49"/>
      <c r="AF865" s="84"/>
      <c r="AG865" s="49"/>
      <c r="AH865" s="49"/>
      <c r="AI865" s="49"/>
      <c r="AJ865" s="226"/>
      <c r="AK865" s="49"/>
      <c r="AL865" s="113">
        <f t="shared" si="350"/>
        <v>-32</v>
      </c>
      <c r="AM865" s="113">
        <f t="shared" si="344"/>
        <v>-1280</v>
      </c>
      <c r="AN865" s="218"/>
      <c r="AO865" s="49"/>
      <c r="AP865" s="49"/>
      <c r="AQ865" s="84" t="s">
        <v>350</v>
      </c>
      <c r="AR865" s="49"/>
      <c r="AS865" s="55">
        <v>-0.105</v>
      </c>
      <c r="AT865" s="55">
        <f t="shared" si="347"/>
        <v>-2.0000000000000004E-2</v>
      </c>
      <c r="AU865" s="54">
        <f t="shared" si="348"/>
        <v>-1280.0000000000002</v>
      </c>
      <c r="AV865" s="56">
        <f t="shared" si="351"/>
        <v>-32.000000000000007</v>
      </c>
      <c r="AW865" s="57" t="s">
        <v>121</v>
      </c>
      <c r="AX865" s="153" t="s">
        <v>2678</v>
      </c>
      <c r="AY865" s="153"/>
      <c r="AZ865" s="153"/>
      <c r="BA865" s="153"/>
      <c r="BB865" s="153"/>
      <c r="BC865" s="153"/>
      <c r="BD865" s="151"/>
      <c r="BE865" s="152"/>
      <c r="BF865" s="151"/>
      <c r="BG865" s="94">
        <f>SUM($AV$4:AV865)</f>
        <v>6520.6108375297135</v>
      </c>
      <c r="BH865" s="95">
        <f>SUM($AU$4:AU865)</f>
        <v>51968.423836163201</v>
      </c>
      <c r="BI865" s="80">
        <f>SUMIFS($AU$3:AU867,$Q$3:Q867,"F")</f>
        <v>30355.078121878127</v>
      </c>
      <c r="BJ865" s="80">
        <f>SUMIFS($AU$3:AU867,$Q$3:Q867,"S")</f>
        <v>24130.285714285706</v>
      </c>
      <c r="BK865" s="87">
        <f>SUMIFS($AU$3:AU867,$P$3:P867,"W")</f>
        <v>22664.143836163403</v>
      </c>
      <c r="BL865" s="87">
        <f>SUMIFS($AU$3:AU867,$P$3:P867,"R")</f>
        <v>24108.400000000325</v>
      </c>
      <c r="BM865" s="87">
        <f>SUMIFS($AU$3:AU867,$AQ$3:AQ867,"M")</f>
        <v>8875.1799999983887</v>
      </c>
      <c r="BN865" s="87">
        <f>SUMIFS($AU$3:AU867,$AQ$3:AQ867,"H")</f>
        <v>11643.200000000877</v>
      </c>
      <c r="BO865" s="87">
        <f>SUMIFS($AU$3:AU867,$AQ$3:AQ867,"D")</f>
        <v>18114.377472527347</v>
      </c>
      <c r="BP865" s="87">
        <f>SUMIFS($AS$3:AS1306,$AO$3:AO1306,"W")</f>
        <v>0</v>
      </c>
      <c r="BQ865" s="87">
        <f>SUMIFS($AU$3:AU867,$Q$3:Q867,"O")</f>
        <v>-9340.9400000006026</v>
      </c>
      <c r="BR865" s="87">
        <f>SUMIFS($AU$3:AU867,$AA$3:AA867,"*")</f>
        <v>40781.5220779214</v>
      </c>
      <c r="BS865" s="87">
        <f>SUMIFS($AU$3:AU867,$AB$3:AB867,"*")</f>
        <v>8595.8599999999715</v>
      </c>
      <c r="BT865" s="87">
        <f>SUMIFS($AU$3:AU867,$AC$3:AC867,"*")</f>
        <v>40563.078121878119</v>
      </c>
      <c r="BU865" s="87">
        <f>SUMIFS($AU$3:AU867,$AA$3:AA867,"*",$AB$3:AB867,"*")</f>
        <v>7915.9999999997544</v>
      </c>
      <c r="BV865" s="87">
        <f>SUMIFS($AU$3:AU867,$AA$3:AA867,"*",$AC$3:AC867,"*")</f>
        <v>32896.036363636529</v>
      </c>
      <c r="BW865" s="87">
        <f>SUMIFS($AU$3:AU867,$AB$3:AB867,"*",$AC$3:AC867,"*")</f>
        <v>4983.9999999999991</v>
      </c>
      <c r="BX865" s="87">
        <f>SUMIFS($AV$3:AV867,$Q$3:Q867,"F")</f>
        <v>389.44019562430162</v>
      </c>
      <c r="BY865" s="87">
        <f>SUMIFS($AV$3:AV867,$Q$3:Q867,"S")</f>
        <v>772.61134190572739</v>
      </c>
      <c r="BZ865" s="87">
        <f>SUMIFS($AV$3:AV867,$Q$3:Q867,"O")</f>
        <v>378.55929999967736</v>
      </c>
    </row>
    <row r="866" spans="1:78" ht="15.75" customHeight="1">
      <c r="A866" s="45" t="s">
        <v>2311</v>
      </c>
      <c r="B866" s="59">
        <v>45469</v>
      </c>
      <c r="C866" s="46" t="s">
        <v>147</v>
      </c>
      <c r="D866" s="46" t="s">
        <v>186</v>
      </c>
      <c r="E866" s="66"/>
      <c r="F866" s="47"/>
      <c r="G866" s="48" t="s">
        <v>2686</v>
      </c>
      <c r="H866" s="49"/>
      <c r="I866" s="49"/>
      <c r="J866" s="49"/>
      <c r="K866" s="50"/>
      <c r="L866" s="49"/>
      <c r="M866" s="49">
        <v>1</v>
      </c>
      <c r="N866" s="49"/>
      <c r="O866" s="50" t="s">
        <v>100</v>
      </c>
      <c r="P866" s="50" t="s">
        <v>101</v>
      </c>
      <c r="Q866" s="50" t="s">
        <v>102</v>
      </c>
      <c r="R866" s="50">
        <v>50</v>
      </c>
      <c r="S866" s="50">
        <v>0</v>
      </c>
      <c r="T866" s="50">
        <v>50</v>
      </c>
      <c r="U866" s="50" t="s">
        <v>102</v>
      </c>
      <c r="V866" s="50"/>
      <c r="W866" s="50"/>
      <c r="X866" s="50"/>
      <c r="Y866" s="51">
        <f t="shared" si="352"/>
        <v>0.01</v>
      </c>
      <c r="Z866" s="52">
        <f>IF(ISBLANK(O866),"",IF(O866="IB",8.63*200,IF(O866="IR",16*100,IF(O866="YT",20*100,IF(O866="YT-XT",24*200,IF(O866="TED",80*100,IF(O866="XT",29*200)))))))</f>
        <v>1600</v>
      </c>
      <c r="AA866" s="52" t="s">
        <v>515</v>
      </c>
      <c r="AB866" s="52"/>
      <c r="AC866" s="52" t="s">
        <v>405</v>
      </c>
      <c r="AD866" s="231">
        <v>-0.2</v>
      </c>
      <c r="AE866" s="49"/>
      <c r="AF866" s="84"/>
      <c r="AG866" s="49"/>
      <c r="AH866" s="49"/>
      <c r="AI866" s="49"/>
      <c r="AJ866" s="226"/>
      <c r="AK866" s="49"/>
      <c r="AL866" s="113">
        <f t="shared" si="350"/>
        <v>-32</v>
      </c>
      <c r="AM866" s="113">
        <f t="shared" si="344"/>
        <v>-1600</v>
      </c>
      <c r="AN866" s="218"/>
      <c r="AO866" s="49"/>
      <c r="AP866" s="49"/>
      <c r="AQ866" s="84" t="str">
        <f>UPPER(RIGHT(Journal_Live[[#This Row],[DURATION ]]))</f>
        <v/>
      </c>
      <c r="AR866" s="49"/>
      <c r="AS866" s="55">
        <v>-0.2</v>
      </c>
      <c r="AT866" s="55">
        <f t="shared" si="347"/>
        <v>0</v>
      </c>
      <c r="AU866" s="54">
        <f t="shared" si="348"/>
        <v>0</v>
      </c>
      <c r="AV866" s="56">
        <f t="shared" si="351"/>
        <v>0</v>
      </c>
      <c r="AW866" s="57" t="s">
        <v>155</v>
      </c>
      <c r="AX866" s="153"/>
      <c r="AY866" s="153"/>
      <c r="AZ866" s="153"/>
      <c r="BA866" s="153"/>
      <c r="BB866" s="153"/>
      <c r="BC866" s="153"/>
      <c r="BD866" s="151"/>
      <c r="BE866" s="152"/>
      <c r="BF866" s="151"/>
      <c r="BG866" s="94">
        <f>SUM($AV$4:AV866)</f>
        <v>6520.6108375297135</v>
      </c>
      <c r="BH866" s="95">
        <f>SUM($AU$4:AU866)</f>
        <v>51968.423836163201</v>
      </c>
      <c r="BI866" s="80">
        <f>SUMIFS($AU$3:AU868,$Q$3:Q868,"F")</f>
        <v>30355.078121878127</v>
      </c>
      <c r="BJ866" s="80">
        <f>SUMIFS($AU$3:AU868,$Q$3:Q868,"S")</f>
        <v>24130.285714285706</v>
      </c>
      <c r="BK866" s="87">
        <f>SUMIFS($AU$3:AU868,$P$3:P868,"W")</f>
        <v>22664.143836163403</v>
      </c>
      <c r="BL866" s="87">
        <f>SUMIFS($AU$3:AU868,$P$3:P868,"R")</f>
        <v>24408.400000000325</v>
      </c>
      <c r="BM866" s="87">
        <f>SUMIFS($AU$3:AU868,$AQ$3:AQ868,"M")</f>
        <v>8875.1799999983887</v>
      </c>
      <c r="BN866" s="87">
        <f>SUMIFS($AU$3:AU868,$AQ$3:AQ868,"H")</f>
        <v>11643.200000000877</v>
      </c>
      <c r="BO866" s="87">
        <f>SUMIFS($AU$3:AU868,$AQ$3:AQ868,"D")</f>
        <v>18114.377472527347</v>
      </c>
      <c r="BP866" s="87">
        <f>SUMIFS($AS$3:AS1307,$AO$3:AO1307,"W")</f>
        <v>0</v>
      </c>
      <c r="BQ866" s="87">
        <f>SUMIFS($AU$3:AU868,$Q$3:Q868,"O")</f>
        <v>-9340.9400000006026</v>
      </c>
      <c r="BR866" s="87">
        <f>SUMIFS($AU$3:AU868,$AA$3:AA868,"*")</f>
        <v>41081.5220779214</v>
      </c>
      <c r="BS866" s="87">
        <f>SUMIFS($AU$3:AU868,$AB$3:AB868,"*")</f>
        <v>8595.8599999999715</v>
      </c>
      <c r="BT866" s="87">
        <f>SUMIFS($AU$3:AU868,$AC$3:AC868,"*")</f>
        <v>40563.078121878119</v>
      </c>
      <c r="BU866" s="87">
        <f>SUMIFS($AU$3:AU868,$AA$3:AA868,"*",$AB$3:AB868,"*")</f>
        <v>7915.9999999997544</v>
      </c>
      <c r="BV866" s="87">
        <f>SUMIFS($AU$3:AU868,$AA$3:AA868,"*",$AC$3:AC868,"*")</f>
        <v>32896.036363636529</v>
      </c>
      <c r="BW866" s="87">
        <f>SUMIFS($AU$3:AU868,$AB$3:AB868,"*",$AC$3:AC868,"*")</f>
        <v>4983.9999999999991</v>
      </c>
      <c r="BX866" s="87">
        <f>SUMIFS($AV$3:AV868,$Q$3:Q868,"F")</f>
        <v>389.44019562430162</v>
      </c>
      <c r="BY866" s="87">
        <f>SUMIFS($AV$3:AV868,$Q$3:Q868,"S")</f>
        <v>772.61134190572739</v>
      </c>
      <c r="BZ866" s="87">
        <f>SUMIFS($AV$3:AV868,$Q$3:Q868,"O")</f>
        <v>378.55929999967736</v>
      </c>
    </row>
    <row r="867" spans="1:78" ht="15.75" customHeight="1">
      <c r="A867" s="45" t="s">
        <v>2311</v>
      </c>
      <c r="B867" s="59">
        <v>45469</v>
      </c>
      <c r="C867" s="46" t="s">
        <v>147</v>
      </c>
      <c r="D867" s="46" t="s">
        <v>186</v>
      </c>
      <c r="E867" s="66"/>
      <c r="F867" s="47"/>
      <c r="G867" s="73" t="s">
        <v>527</v>
      </c>
      <c r="H867" s="49"/>
      <c r="I867" s="49"/>
      <c r="J867" s="49"/>
      <c r="K867" s="50"/>
      <c r="L867" s="49"/>
      <c r="M867" s="49">
        <v>1</v>
      </c>
      <c r="N867" s="49"/>
      <c r="O867" s="50" t="s">
        <v>100</v>
      </c>
      <c r="P867" s="50" t="s">
        <v>101</v>
      </c>
      <c r="Q867" s="50" t="s">
        <v>102</v>
      </c>
      <c r="R867" s="50">
        <v>75</v>
      </c>
      <c r="S867" s="50">
        <v>0</v>
      </c>
      <c r="T867" s="50">
        <v>75</v>
      </c>
      <c r="U867" s="50" t="s">
        <v>102</v>
      </c>
      <c r="V867" s="50"/>
      <c r="W867" s="50"/>
      <c r="X867" s="50"/>
      <c r="Y867" s="51">
        <f t="shared" si="352"/>
        <v>0.01</v>
      </c>
      <c r="Z867" s="52">
        <f>IF(ISBLANK(O867),"",IF(O867="IB",8.63*200,IF(O867="IR",16*100,IF(O867="YT",20*100,IF(O867="YT-XT",24*200,IF(O867="TED",80*100,IF(O867="XT",29*200)))))))</f>
        <v>1600</v>
      </c>
      <c r="AA867" s="52" t="s">
        <v>289</v>
      </c>
      <c r="AB867" s="52"/>
      <c r="AC867" s="52" t="s">
        <v>2687</v>
      </c>
      <c r="AD867" s="231">
        <v>7.0000000000000007E-2</v>
      </c>
      <c r="AE867" s="49"/>
      <c r="AF867" s="84"/>
      <c r="AG867" s="49"/>
      <c r="AH867" s="49"/>
      <c r="AI867" s="49"/>
      <c r="AJ867" s="226"/>
      <c r="AK867" s="49"/>
      <c r="AL867" s="113">
        <f>-0.03*Z867</f>
        <v>-48</v>
      </c>
      <c r="AM867" s="113">
        <f t="shared" si="344"/>
        <v>-3600</v>
      </c>
      <c r="AN867" s="218"/>
      <c r="AO867" s="49"/>
      <c r="AP867" s="49"/>
      <c r="AQ867" s="84" t="s">
        <v>142</v>
      </c>
      <c r="AR867" s="49"/>
      <c r="AS867" s="55">
        <v>0.09</v>
      </c>
      <c r="AT867" s="55">
        <f t="shared" si="347"/>
        <v>-1.999999999999999E-2</v>
      </c>
      <c r="AU867" s="54">
        <f t="shared" si="348"/>
        <v>-2399.9999999999991</v>
      </c>
      <c r="AV867" s="56">
        <f t="shared" si="349"/>
        <v>-31.999999999999986</v>
      </c>
      <c r="AW867" s="57" t="s">
        <v>121</v>
      </c>
      <c r="AX867" s="153" t="s">
        <v>1924</v>
      </c>
      <c r="AY867" s="153"/>
      <c r="AZ867" s="153"/>
      <c r="BA867" s="153"/>
      <c r="BB867" s="153"/>
      <c r="BC867" s="153"/>
      <c r="BD867" s="151"/>
      <c r="BE867" s="152"/>
      <c r="BF867" s="151"/>
      <c r="BG867" s="94">
        <f>SUM($AV$4:AV867)</f>
        <v>6488.6108375297135</v>
      </c>
      <c r="BH867" s="95">
        <f>SUM($AU$4:AU867)</f>
        <v>49568.423836163201</v>
      </c>
      <c r="BI867" s="80">
        <f>SUMIFS($AU$3:AU869,$Q$3:Q869,"F")</f>
        <v>30355.078121878127</v>
      </c>
      <c r="BJ867" s="80">
        <f>SUMIFS($AU$3:AU869,$Q$3:Q869,"S")</f>
        <v>20930.285714285706</v>
      </c>
      <c r="BK867" s="87">
        <f>SUMIFS($AU$3:AU869,$P$3:P869,"W")</f>
        <v>19464.143836163403</v>
      </c>
      <c r="BL867" s="87">
        <f>SUMIFS($AU$3:AU869,$P$3:P869,"R")</f>
        <v>24408.400000000325</v>
      </c>
      <c r="BM867" s="87">
        <f>SUMIFS($AU$3:AU869,$AQ$3:AQ869,"M")</f>
        <v>8875.1799999983887</v>
      </c>
      <c r="BN867" s="87">
        <f>SUMIFS($AU$3:AU869,$AQ$3:AQ869,"H")</f>
        <v>11643.200000000877</v>
      </c>
      <c r="BO867" s="87">
        <f>SUMIFS($AU$3:AU869,$AQ$3:AQ869,"D")</f>
        <v>14914.377472527349</v>
      </c>
      <c r="BP867" s="87">
        <f>SUMIFS($AS$3:AS1308,$AO$3:AO1308,"W")</f>
        <v>0</v>
      </c>
      <c r="BQ867" s="87">
        <f>SUMIFS($AU$3:AU869,$Q$3:Q869,"O")</f>
        <v>-9340.9400000006026</v>
      </c>
      <c r="BR867" s="87">
        <f>SUMIFS($AU$3:AU869,$AA$3:AA869,"*")</f>
        <v>37881.5220779214</v>
      </c>
      <c r="BS867" s="87">
        <f>SUMIFS($AU$3:AU869,$AB$3:AB869,"*")</f>
        <v>8595.8599999999715</v>
      </c>
      <c r="BT867" s="87">
        <f>SUMIFS($AU$3:AU869,$AC$3:AC869,"*")</f>
        <v>37363.078121878119</v>
      </c>
      <c r="BU867" s="87">
        <f>SUMIFS($AU$3:AU869,$AA$3:AA869,"*",$AB$3:AB869,"*")</f>
        <v>7915.9999999997544</v>
      </c>
      <c r="BV867" s="87">
        <f>SUMIFS($AU$3:AU869,$AA$3:AA869,"*",$AC$3:AC869,"*")</f>
        <v>29696.036363636529</v>
      </c>
      <c r="BW867" s="87">
        <f>SUMIFS($AU$3:AU869,$AB$3:AB869,"*",$AC$3:AC869,"*")</f>
        <v>4983.9999999999991</v>
      </c>
      <c r="BX867" s="87">
        <f>SUMIFS($AV$3:AV869,$Q$3:Q869,"F")</f>
        <v>389.44019562430162</v>
      </c>
      <c r="BY867" s="87">
        <f>SUMIFS($AV$3:AV869,$Q$3:Q869,"S")</f>
        <v>708.61134190572739</v>
      </c>
      <c r="BZ867" s="87">
        <f>SUMIFS($AV$3:AV869,$Q$3:Q869,"O")</f>
        <v>378.55929999967736</v>
      </c>
    </row>
    <row r="868" spans="1:78" ht="15.75" customHeight="1">
      <c r="A868" s="45" t="s">
        <v>2311</v>
      </c>
      <c r="B868" s="59">
        <v>45469</v>
      </c>
      <c r="C868" s="46" t="s">
        <v>147</v>
      </c>
      <c r="D868" s="46" t="s">
        <v>186</v>
      </c>
      <c r="E868" s="66"/>
      <c r="F868" s="47"/>
      <c r="G868" s="48" t="s">
        <v>377</v>
      </c>
      <c r="H868" s="49"/>
      <c r="I868" s="49"/>
      <c r="J868" s="49"/>
      <c r="K868" s="50"/>
      <c r="L868" s="49"/>
      <c r="M868" s="49">
        <v>1</v>
      </c>
      <c r="N868" s="49"/>
      <c r="O868" s="50" t="s">
        <v>740</v>
      </c>
      <c r="P868" s="50" t="s">
        <v>126</v>
      </c>
      <c r="Q868" s="50"/>
      <c r="R868" s="50">
        <v>1</v>
      </c>
      <c r="S868" s="50">
        <v>0</v>
      </c>
      <c r="T868" s="50">
        <v>1</v>
      </c>
      <c r="U868" s="50" t="s">
        <v>22</v>
      </c>
      <c r="V868" s="50"/>
      <c r="W868" s="50"/>
      <c r="X868" s="50"/>
      <c r="Y868" s="51">
        <f t="shared" si="352"/>
        <v>0.01</v>
      </c>
      <c r="Z868" s="52">
        <f>IF(ISBLANK(O868),"",IF(O868="IB",8.63*200,IF(O868="IR",16*100,IF(O868="YT",20*100,IF(O868="YT-XT",24*200,IF(O868="TED",80*100,IF(O868="IR|YT",300*100)))))))</f>
        <v>30000</v>
      </c>
      <c r="AA868" s="52" t="s">
        <v>515</v>
      </c>
      <c r="AB868" s="52"/>
      <c r="AC868" s="52"/>
      <c r="AD868" s="231">
        <v>-0.27</v>
      </c>
      <c r="AE868" s="49"/>
      <c r="AF868" s="84"/>
      <c r="AG868" s="49"/>
      <c r="AH868" s="49"/>
      <c r="AI868" s="49"/>
      <c r="AJ868" s="226"/>
      <c r="AK868" s="49"/>
      <c r="AL868" s="113">
        <f t="shared" si="346"/>
        <v>-600</v>
      </c>
      <c r="AM868" s="113">
        <f t="shared" si="344"/>
        <v>-600</v>
      </c>
      <c r="AN868" s="218"/>
      <c r="AO868" s="49"/>
      <c r="AP868" s="49"/>
      <c r="AQ868" s="84" t="str">
        <f>UPPER(RIGHT(Journal_Live[[#This Row],[DURATION ]]))</f>
        <v/>
      </c>
      <c r="AR868" s="49"/>
      <c r="AS868" s="55">
        <v>-0.26</v>
      </c>
      <c r="AT868" s="55">
        <f t="shared" si="347"/>
        <v>1.0000000000000009E-2</v>
      </c>
      <c r="AU868" s="54">
        <f t="shared" si="348"/>
        <v>300.00000000000028</v>
      </c>
      <c r="AV868" s="56">
        <f t="shared" si="349"/>
        <v>300.00000000000028</v>
      </c>
      <c r="AW868" s="57" t="s">
        <v>101</v>
      </c>
      <c r="AX868" s="153"/>
      <c r="AY868" s="153"/>
      <c r="AZ868" s="153"/>
      <c r="BA868" s="153"/>
      <c r="BB868" s="153"/>
      <c r="BC868" s="153"/>
      <c r="BD868" s="151"/>
      <c r="BE868" s="152"/>
      <c r="BF868" s="151"/>
      <c r="BG868" s="94">
        <f>SUM($AV$4:AV868)</f>
        <v>6788.6108375297135</v>
      </c>
      <c r="BH868" s="95">
        <f>SUM($AU$4:AU868)</f>
        <v>49868.423836163201</v>
      </c>
      <c r="BI868" s="80">
        <f>SUMIFS($AU$3:AU870,$Q$3:Q870,"F")</f>
        <v>30355.078121878127</v>
      </c>
      <c r="BJ868" s="80">
        <f>SUMIFS($AU$3:AU870,$Q$3:Q870,"S")</f>
        <v>19138.285714285706</v>
      </c>
      <c r="BK868" s="87">
        <f>SUMIFS($AU$3:AU870,$P$3:P870,"W")</f>
        <v>19464.143836163403</v>
      </c>
      <c r="BL868" s="87">
        <f>SUMIFS($AU$3:AU870,$P$3:P870,"R")</f>
        <v>22616.400000000325</v>
      </c>
      <c r="BM868" s="87">
        <f>SUMIFS($AU$3:AU870,$AQ$3:AQ870,"M")</f>
        <v>8875.1799999983887</v>
      </c>
      <c r="BN868" s="87">
        <f>SUMIFS($AU$3:AU870,$AQ$3:AQ870,"H")</f>
        <v>11643.200000000877</v>
      </c>
      <c r="BO868" s="87">
        <f>SUMIFS($AU$3:AU870,$AQ$3:AQ870,"D")</f>
        <v>13122.377472527351</v>
      </c>
      <c r="BP868" s="87">
        <f>SUMIFS($AS$3:AS1309,$AO$3:AO1309,"W")</f>
        <v>0</v>
      </c>
      <c r="BQ868" s="87">
        <f>SUMIFS($AU$3:AU870,$Q$3:Q870,"O")</f>
        <v>-9340.9400000006026</v>
      </c>
      <c r="BR868" s="87">
        <f>SUMIFS($AU$3:AU870,$AA$3:AA870,"*")</f>
        <v>37881.5220779214</v>
      </c>
      <c r="BS868" s="87">
        <f>SUMIFS($AU$3:AU870,$AB$3:AB870,"*")</f>
        <v>8595.8599999999715</v>
      </c>
      <c r="BT868" s="87">
        <f>SUMIFS($AU$3:AU870,$AC$3:AC870,"*")</f>
        <v>35571.078121878119</v>
      </c>
      <c r="BU868" s="87">
        <f>SUMIFS($AU$3:AU870,$AA$3:AA870,"*",$AB$3:AB870,"*")</f>
        <v>7915.9999999997544</v>
      </c>
      <c r="BV868" s="87">
        <f>SUMIFS($AU$3:AU870,$AA$3:AA870,"*",$AC$3:AC870,"*")</f>
        <v>29696.036363636529</v>
      </c>
      <c r="BW868" s="87">
        <f>SUMIFS($AU$3:AU870,$AB$3:AB870,"*",$AC$3:AC870,"*")</f>
        <v>4983.9999999999991</v>
      </c>
      <c r="BX868" s="87">
        <f>SUMIFS($AV$3:AV870,$Q$3:Q870,"F")</f>
        <v>389.44019562430162</v>
      </c>
      <c r="BY868" s="87">
        <f>SUMIFS($AV$3:AV870,$Q$3:Q870,"S")</f>
        <v>692.61134190572739</v>
      </c>
      <c r="BZ868" s="87">
        <f>SUMIFS($AV$3:AV870,$Q$3:Q870,"O")</f>
        <v>378.55929999967736</v>
      </c>
    </row>
    <row r="869" spans="1:78" ht="15.75" customHeight="1">
      <c r="A869" s="45" t="s">
        <v>2311</v>
      </c>
      <c r="B869" s="59">
        <v>45469</v>
      </c>
      <c r="C869" s="46" t="s">
        <v>147</v>
      </c>
      <c r="D869" s="46" t="s">
        <v>186</v>
      </c>
      <c r="E869" s="66"/>
      <c r="F869" s="47"/>
      <c r="G869" s="170" t="s">
        <v>2688</v>
      </c>
      <c r="H869" s="49"/>
      <c r="I869" s="49"/>
      <c r="J869" s="49"/>
      <c r="K869" s="50"/>
      <c r="L869" s="49"/>
      <c r="M869" s="49">
        <v>1</v>
      </c>
      <c r="N869" s="49"/>
      <c r="O869" s="50" t="s">
        <v>100</v>
      </c>
      <c r="P869" s="50" t="s">
        <v>101</v>
      </c>
      <c r="Q869" s="50" t="s">
        <v>102</v>
      </c>
      <c r="R869" s="50">
        <v>50</v>
      </c>
      <c r="S869" s="50">
        <v>10</v>
      </c>
      <c r="T869" s="50">
        <v>50</v>
      </c>
      <c r="U869" s="50" t="s">
        <v>22</v>
      </c>
      <c r="V869" s="50"/>
      <c r="W869" s="50"/>
      <c r="X869" s="50"/>
      <c r="Y869" s="51">
        <f t="shared" si="352"/>
        <v>0.01</v>
      </c>
      <c r="Z869" s="52">
        <f>IF(ISBLANK(O869),"",IF(O869="IB",8.63*200,IF(O869="IR",16*100,IF(O869="YT",20*100,IF(O869="YT-XT",24*200,IF(O869="TED",80*100,IF(O869="IR|YT",300*100)))))))</f>
        <v>1600</v>
      </c>
      <c r="AA869" s="52" t="s">
        <v>2689</v>
      </c>
      <c r="AB869" s="52"/>
      <c r="AC869" s="52" t="s">
        <v>2690</v>
      </c>
      <c r="AD869" s="231">
        <v>-0.28000000000000003</v>
      </c>
      <c r="AE869" s="49"/>
      <c r="AF869" s="84"/>
      <c r="AG869" s="49"/>
      <c r="AH869" s="49"/>
      <c r="AI869" s="49"/>
      <c r="AJ869" s="226"/>
      <c r="AK869" s="49"/>
      <c r="AL869" s="113">
        <f>-0.03*Z869</f>
        <v>-48</v>
      </c>
      <c r="AM869" s="113">
        <f t="shared" si="344"/>
        <v>-1920</v>
      </c>
      <c r="AN869" s="218"/>
      <c r="AO869" s="49"/>
      <c r="AP869" s="49" t="s">
        <v>183</v>
      </c>
      <c r="AQ869" s="84" t="s">
        <v>155</v>
      </c>
      <c r="AR869" s="74">
        <v>45471</v>
      </c>
      <c r="AS869" s="55">
        <f>((-0.32*20)+(-0.32*30))/50</f>
        <v>-0.32</v>
      </c>
      <c r="AT869" s="55">
        <f t="shared" si="347"/>
        <v>-3.999999999999998E-2</v>
      </c>
      <c r="AU869" s="54">
        <f t="shared" si="348"/>
        <v>-3199.9999999999986</v>
      </c>
      <c r="AV869" s="56">
        <f t="shared" si="349"/>
        <v>-63.999999999999972</v>
      </c>
      <c r="AW869" s="57" t="s">
        <v>121</v>
      </c>
      <c r="AX869" s="153" t="s">
        <v>2691</v>
      </c>
      <c r="AY869" s="153" t="s">
        <v>2692</v>
      </c>
      <c r="AZ869" s="153"/>
      <c r="BA869" s="153"/>
      <c r="BB869" s="153"/>
      <c r="BC869" s="153"/>
      <c r="BD869" s="151" t="s">
        <v>2693</v>
      </c>
      <c r="BE869" s="152"/>
      <c r="BF869" s="151"/>
      <c r="BG869" s="94">
        <f>SUM($AV$4:AV869)</f>
        <v>6724.6108375297135</v>
      </c>
      <c r="BH869" s="95">
        <f>SUM($AU$4:AU869)</f>
        <v>46668.423836163201</v>
      </c>
      <c r="BI869" s="80">
        <f>SUMIFS($AU$3:AU871,$Q$3:Q871,"F")</f>
        <v>30355.078121878127</v>
      </c>
      <c r="BJ869" s="80">
        <f>SUMIFS($AU$3:AU871,$Q$3:Q871,"S")</f>
        <v>19138.285714285706</v>
      </c>
      <c r="BK869" s="87">
        <f>SUMIFS($AU$3:AU871,$P$3:P871,"W")</f>
        <v>19464.143836163403</v>
      </c>
      <c r="BL869" s="87">
        <f>SUMIFS($AU$3:AU871,$P$3:P871,"R")</f>
        <v>22616.400000000325</v>
      </c>
      <c r="BM869" s="87">
        <f>SUMIFS($AU$3:AU871,$AQ$3:AQ871,"M")</f>
        <v>8875.1799999983887</v>
      </c>
      <c r="BN869" s="87">
        <f>SUMIFS($AU$3:AU871,$AQ$3:AQ871,"H")</f>
        <v>11643.200000000877</v>
      </c>
      <c r="BO869" s="87">
        <f>SUMIFS($AU$3:AU871,$AQ$3:AQ871,"D")</f>
        <v>13122.377472527351</v>
      </c>
      <c r="BP869" s="87">
        <f>SUMIFS($AS$3:AS1310,$AO$3:AO1310,"W")</f>
        <v>0</v>
      </c>
      <c r="BQ869" s="87">
        <f>SUMIFS($AU$3:AU871,$Q$3:Q871,"O")</f>
        <v>-9340.9400000006026</v>
      </c>
      <c r="BR869" s="87">
        <f>SUMIFS($AU$3:AU871,$AA$3:AA871,"*")</f>
        <v>37881.5220779214</v>
      </c>
      <c r="BS869" s="87">
        <f>SUMIFS($AU$3:AU871,$AB$3:AB871,"*")</f>
        <v>8595.8599999999715</v>
      </c>
      <c r="BT869" s="87">
        <f>SUMIFS($AU$3:AU871,$AC$3:AC871,"*")</f>
        <v>35571.078121878119</v>
      </c>
      <c r="BU869" s="87">
        <f>SUMIFS($AU$3:AU871,$AA$3:AA871,"*",$AB$3:AB871,"*")</f>
        <v>7915.9999999997544</v>
      </c>
      <c r="BV869" s="87">
        <f>SUMIFS($AU$3:AU871,$AA$3:AA871,"*",$AC$3:AC871,"*")</f>
        <v>29696.036363636529</v>
      </c>
      <c r="BW869" s="87">
        <f>SUMIFS($AU$3:AU871,$AB$3:AB871,"*",$AC$3:AC871,"*")</f>
        <v>4983.9999999999991</v>
      </c>
      <c r="BX869" s="87">
        <f>SUMIFS($AV$3:AV871,$Q$3:Q871,"F")</f>
        <v>389.44019562430162</v>
      </c>
      <c r="BY869" s="87">
        <f>SUMIFS($AV$3:AV871,$Q$3:Q871,"S")</f>
        <v>692.61134190572739</v>
      </c>
      <c r="BZ869" s="87">
        <f>SUMIFS($AV$3:AV871,$Q$3:Q871,"O")</f>
        <v>378.55929999967736</v>
      </c>
    </row>
    <row r="870" spans="1:78" ht="15.75" customHeight="1">
      <c r="A870" s="45" t="s">
        <v>2311</v>
      </c>
      <c r="B870" s="59">
        <v>45469</v>
      </c>
      <c r="C870" s="46" t="s">
        <v>147</v>
      </c>
      <c r="D870" s="46" t="s">
        <v>186</v>
      </c>
      <c r="E870" s="66"/>
      <c r="F870" s="47"/>
      <c r="G870" s="170" t="s">
        <v>2694</v>
      </c>
      <c r="H870" s="49"/>
      <c r="I870" s="49"/>
      <c r="J870" s="49"/>
      <c r="K870" s="50"/>
      <c r="L870" s="49"/>
      <c r="M870" s="49">
        <v>1</v>
      </c>
      <c r="N870" s="49"/>
      <c r="O870" s="50" t="s">
        <v>100</v>
      </c>
      <c r="P870" s="50" t="s">
        <v>126</v>
      </c>
      <c r="Q870" s="50" t="s">
        <v>102</v>
      </c>
      <c r="R870" s="50">
        <v>112</v>
      </c>
      <c r="S870" s="50">
        <v>46</v>
      </c>
      <c r="T870" s="50">
        <v>112</v>
      </c>
      <c r="U870" s="50" t="s">
        <v>22</v>
      </c>
      <c r="V870" s="50"/>
      <c r="W870" s="50"/>
      <c r="X870" s="50"/>
      <c r="Y870" s="51">
        <f t="shared" si="352"/>
        <v>0.01</v>
      </c>
      <c r="Z870" s="52">
        <f>IF(ISBLANK(O870),"",IF(O870="IB",8.63*200,IF(O870="IR",16*100,IF(O870="YT",20*100,IF(O870="YT-XT",24*200,IF(O870="TED",80*100,IF(O870="IR|YT",300*100)))))))</f>
        <v>1600</v>
      </c>
      <c r="AA870" s="52"/>
      <c r="AB870" s="52"/>
      <c r="AC870" s="52" t="s">
        <v>2695</v>
      </c>
      <c r="AD870" s="231">
        <v>-0.1</v>
      </c>
      <c r="AE870" s="49"/>
      <c r="AF870" s="84">
        <v>-0.12</v>
      </c>
      <c r="AG870" s="49"/>
      <c r="AH870" s="49"/>
      <c r="AI870" s="49"/>
      <c r="AJ870" s="226"/>
      <c r="AK870" s="49"/>
      <c r="AL870" s="113">
        <f>-0.02*Z870</f>
        <v>-32</v>
      </c>
      <c r="AM870" s="113">
        <f t="shared" si="344"/>
        <v>-2112</v>
      </c>
      <c r="AN870" s="218" t="s">
        <v>186</v>
      </c>
      <c r="AO870" s="49"/>
      <c r="AP870" s="49" t="s">
        <v>1338</v>
      </c>
      <c r="AQ870" s="84" t="s">
        <v>155</v>
      </c>
      <c r="AR870" s="74">
        <v>45474</v>
      </c>
      <c r="AS870" s="55">
        <v>-0.11</v>
      </c>
      <c r="AT870" s="55">
        <f t="shared" si="347"/>
        <v>-9.999999999999995E-3</v>
      </c>
      <c r="AU870" s="54">
        <f t="shared" si="348"/>
        <v>-1791.9999999999991</v>
      </c>
      <c r="AV870" s="56">
        <f t="shared" si="349"/>
        <v>-15.999999999999993</v>
      </c>
      <c r="AW870" s="57" t="s">
        <v>121</v>
      </c>
      <c r="AX870" s="153"/>
      <c r="AY870" s="153"/>
      <c r="AZ870" s="153"/>
      <c r="BA870" s="153"/>
      <c r="BB870" s="153"/>
      <c r="BC870" s="153"/>
      <c r="BD870" s="151"/>
      <c r="BE870" s="152"/>
      <c r="BF870" s="151"/>
      <c r="BG870" s="94">
        <f>SUM($AV$4:AV870)</f>
        <v>6708.6108375297135</v>
      </c>
      <c r="BH870" s="95">
        <f>SUM($AU$4:AU870)</f>
        <v>44876.423836163201</v>
      </c>
      <c r="BI870" s="80">
        <f>SUMIFS($AU$3:AU882,$Q$3:Q882,"F")</f>
        <v>29235.078121878127</v>
      </c>
      <c r="BJ870" s="80">
        <f>SUMIFS($AU$3:AU882,$Q$3:Q882,"S")</f>
        <v>17938.285714285706</v>
      </c>
      <c r="BK870" s="87">
        <f>SUMIFS($AU$3:AU882,$P$3:P882,"W")</f>
        <v>17144.143836163403</v>
      </c>
      <c r="BL870" s="87">
        <f>SUMIFS($AU$3:AU882,$P$3:P882,"R")</f>
        <v>22616.400000000325</v>
      </c>
      <c r="BM870" s="87">
        <f>SUMIFS($AU$3:AU882,$AQ$3:AQ882,"M")</f>
        <v>8875.1799999983887</v>
      </c>
      <c r="BN870" s="87">
        <f>SUMIFS($AU$3:AU882,$AQ$3:AQ882,"H")</f>
        <v>11643.200000000877</v>
      </c>
      <c r="BO870" s="87">
        <f>SUMIFS($AU$3:AU882,$AQ$3:AQ882,"D")</f>
        <v>13122.377472527351</v>
      </c>
      <c r="BP870" s="87">
        <f>SUMIFS($AS$3:AS1311,$AO$3:AO1311,"W")</f>
        <v>0</v>
      </c>
      <c r="BQ870" s="87">
        <f>SUMIFS($AU$3:AU882,$Q$3:Q882,"O")</f>
        <v>-9340.9400000006026</v>
      </c>
      <c r="BR870" s="87">
        <f>SUMIFS($AU$3:AU882,$AA$3:AA882,"*")</f>
        <v>37881.5220779214</v>
      </c>
      <c r="BS870" s="87">
        <f>SUMIFS($AU$3:AU882,$AB$3:AB882,"*")</f>
        <v>7475.8599999999715</v>
      </c>
      <c r="BT870" s="87">
        <f>SUMIFS($AU$3:AU882,$AC$3:AC882,"*")</f>
        <v>33251.078121878119</v>
      </c>
      <c r="BU870" s="87">
        <f>SUMIFS($AU$3:AU882,$AA$3:AA882,"*",$AB$3:AB882,"*")</f>
        <v>7915.9999999997544</v>
      </c>
      <c r="BV870" s="87">
        <f>SUMIFS($AU$3:AU882,$AA$3:AA882,"*",$AC$3:AC882,"*")</f>
        <v>29696.036363636529</v>
      </c>
      <c r="BW870" s="87">
        <f>SUMIFS($AU$3:AU882,$AB$3:AB882,"*",$AC$3:AC882,"*")</f>
        <v>3863.9999999999991</v>
      </c>
      <c r="BX870" s="87">
        <f>SUMIFS($AV$3:AV882,$Q$3:Q882,"F")</f>
        <v>383.04019562430165</v>
      </c>
      <c r="BY870" s="87">
        <f>SUMIFS($AV$3:AV882,$Q$3:Q882,"S")</f>
        <v>676.61134190572739</v>
      </c>
      <c r="BZ870" s="87">
        <f>SUMIFS($AV$3:AV882,$Q$3:Q882,"O")</f>
        <v>378.55929999967736</v>
      </c>
    </row>
    <row r="871" spans="1:78" ht="15.75" customHeight="1">
      <c r="A871" s="45" t="s">
        <v>2311</v>
      </c>
      <c r="B871" s="59">
        <v>45469</v>
      </c>
      <c r="C871" s="46" t="s">
        <v>147</v>
      </c>
      <c r="D871" s="46" t="s">
        <v>186</v>
      </c>
      <c r="E871" s="66"/>
      <c r="F871" s="47"/>
      <c r="G871" s="48" t="s">
        <v>2694</v>
      </c>
      <c r="H871" s="49"/>
      <c r="I871" s="49"/>
      <c r="J871" s="49"/>
      <c r="K871" s="50"/>
      <c r="L871" s="49"/>
      <c r="M871" s="49"/>
      <c r="N871" s="49"/>
      <c r="O871" s="50"/>
      <c r="P871" s="50"/>
      <c r="Q871" s="50"/>
      <c r="R871" s="50"/>
      <c r="S871" s="50"/>
      <c r="T871" s="50"/>
      <c r="U871" s="50"/>
      <c r="V871" s="50"/>
      <c r="W871" s="50"/>
      <c r="X871" s="50"/>
      <c r="Y871" s="51"/>
      <c r="Z871" s="52"/>
      <c r="AA871" s="52"/>
      <c r="AB871" s="52"/>
      <c r="AC871" s="52"/>
      <c r="AD871" s="231"/>
      <c r="AE871" s="49"/>
      <c r="AF871" s="84"/>
      <c r="AG871" s="49"/>
      <c r="AH871" s="49"/>
      <c r="AI871" s="49"/>
      <c r="AJ871" s="226"/>
      <c r="AK871" s="49"/>
      <c r="AL871" s="113">
        <f>0*Z871</f>
        <v>0</v>
      </c>
      <c r="AM871" s="113">
        <f t="shared" si="344"/>
        <v>0</v>
      </c>
      <c r="AN871" s="218"/>
      <c r="AO871" s="49"/>
      <c r="AP871" s="49"/>
      <c r="AQ871" s="84" t="str">
        <f>UPPER(RIGHT(Journal_Live[[#This Row],[DURATION ]]))</f>
        <v/>
      </c>
      <c r="AR871" s="49"/>
      <c r="AS871" s="55"/>
      <c r="AT871" s="55">
        <f t="shared" si="347"/>
        <v>0</v>
      </c>
      <c r="AU871" s="54">
        <f t="shared" si="348"/>
        <v>0</v>
      </c>
      <c r="AV871" s="56">
        <f t="shared" ref="AV871" si="353">IF(ISBLANK(AS871),,(AT871*Z871))</f>
        <v>0</v>
      </c>
      <c r="AW871" s="57"/>
      <c r="AX871" s="153" t="s">
        <v>2696</v>
      </c>
      <c r="AY871" s="151"/>
      <c r="AZ871" s="153"/>
      <c r="BA871" s="153"/>
      <c r="BB871" s="153"/>
      <c r="BC871" s="153"/>
      <c r="BD871" s="151"/>
      <c r="BE871" s="152"/>
      <c r="BF871" s="151"/>
      <c r="BG871" s="94">
        <f>SUM($AV$4:AV871)</f>
        <v>6708.6108375297135</v>
      </c>
      <c r="BH871" s="95">
        <f>SUM($AU$4:AU871)</f>
        <v>44876.423836163201</v>
      </c>
      <c r="BI871" s="80">
        <f>SUMIFS($AU$3:AU892,$Q$3:Q892,"F")</f>
        <v>29235.078121878127</v>
      </c>
      <c r="BJ871" s="80">
        <f>SUMIFS($AU$3:AU892,$Q$3:Q892,"S")</f>
        <v>17938.285714285706</v>
      </c>
      <c r="BK871" s="87">
        <f>SUMIFS($AU$3:AU892,$P$3:P892,"W")</f>
        <v>17144.143836163403</v>
      </c>
      <c r="BL871" s="87">
        <f>SUMIFS($AU$3:AU892,$P$3:P892,"R")</f>
        <v>22616.400000000325</v>
      </c>
      <c r="BM871" s="87">
        <f>SUMIFS($AU$3:AU892,$AQ$3:AQ892,"M")</f>
        <v>8875.1799999983887</v>
      </c>
      <c r="BN871" s="87">
        <f>SUMIFS($AU$3:AU892,$AQ$3:AQ892,"H")</f>
        <v>11643.200000000877</v>
      </c>
      <c r="BO871" s="87">
        <f>SUMIFS($AU$3:AU892,$AQ$3:AQ892,"D")</f>
        <v>13122.377472527351</v>
      </c>
      <c r="BP871" s="87">
        <f>SUMIFS($AS$3:AS1312,$AO$3:AO1312,"W")</f>
        <v>0</v>
      </c>
      <c r="BQ871" s="87">
        <f>SUMIFS($AU$3:AU892,$Q$3:Q892,"O")</f>
        <v>-9340.9400000006026</v>
      </c>
      <c r="BR871" s="87">
        <f>SUMIFS($AU$3:AU892,$AA$3:AA892,"*")</f>
        <v>37881.5220779214</v>
      </c>
      <c r="BS871" s="87">
        <f>SUMIFS($AU$3:AU892,$AB$3:AB892,"*")</f>
        <v>7475.8599999999715</v>
      </c>
      <c r="BT871" s="87">
        <f>SUMIFS($AU$3:AU892,$AC$3:AC892,"*")</f>
        <v>33251.078121878119</v>
      </c>
      <c r="BU871" s="87">
        <f>SUMIFS($AU$3:AU892,$AA$3:AA892,"*",$AB$3:AB892,"*")</f>
        <v>7915.9999999997544</v>
      </c>
      <c r="BV871" s="87">
        <f>SUMIFS($AU$3:AU892,$AA$3:AA892,"*",$AC$3:AC892,"*")</f>
        <v>29696.036363636529</v>
      </c>
      <c r="BW871" s="87">
        <f>SUMIFS($AU$3:AU892,$AB$3:AB892,"*",$AC$3:AC892,"*")</f>
        <v>3863.9999999999991</v>
      </c>
      <c r="BX871" s="87">
        <f>SUMIFS($AV$3:AV892,$Q$3:Q892,"F")</f>
        <v>383.04019562430165</v>
      </c>
      <c r="BY871" s="87">
        <f>SUMIFS($AV$3:AV892,$Q$3:Q892,"S")</f>
        <v>676.61134190572739</v>
      </c>
      <c r="BZ871" s="87">
        <f>SUMIFS($AV$3:AV892,$Q$3:Q892,"O")</f>
        <v>378.55929999967736</v>
      </c>
    </row>
    <row r="872" spans="1:78" ht="15.75" customHeight="1">
      <c r="A872" s="45" t="s">
        <v>2311</v>
      </c>
      <c r="B872" s="59"/>
      <c r="C872" s="46"/>
      <c r="D872" s="46"/>
      <c r="E872" s="66"/>
      <c r="F872" s="47"/>
      <c r="G872" s="48"/>
      <c r="H872" s="49"/>
      <c r="I872" s="49"/>
      <c r="J872" s="49"/>
      <c r="K872" s="50"/>
      <c r="L872" s="49"/>
      <c r="M872" s="49"/>
      <c r="N872" s="49"/>
      <c r="O872" s="50"/>
      <c r="P872" s="50"/>
      <c r="Q872" s="50"/>
      <c r="R872" s="50"/>
      <c r="S872" s="50"/>
      <c r="T872" s="50"/>
      <c r="U872" s="50"/>
      <c r="V872" s="50"/>
      <c r="W872" s="50"/>
      <c r="X872" s="50"/>
      <c r="Y872" s="51"/>
      <c r="Z872" s="52"/>
      <c r="AA872" s="52"/>
      <c r="AB872" s="52"/>
      <c r="AC872" s="52"/>
      <c r="AD872" s="231"/>
      <c r="AE872" s="49"/>
      <c r="AF872" s="84"/>
      <c r="AG872" s="49"/>
      <c r="AH872" s="49"/>
      <c r="AI872" s="49"/>
      <c r="AJ872" s="226"/>
      <c r="AK872" s="49"/>
      <c r="AL872" s="113">
        <f t="shared" ref="AL872:AL878" si="354">-0.02*Z872</f>
        <v>0</v>
      </c>
      <c r="AM872" s="113">
        <f t="shared" si="344"/>
        <v>0</v>
      </c>
      <c r="AN872" s="218"/>
      <c r="AO872" s="49"/>
      <c r="AP872" s="49"/>
      <c r="AQ872" s="84" t="str">
        <f>UPPER(RIGHT(Journal_Live[[#This Row],[DURATION ]]))</f>
        <v/>
      </c>
      <c r="AR872" s="49"/>
      <c r="AS872" s="55"/>
      <c r="AT872" s="55">
        <f t="shared" si="347"/>
        <v>0</v>
      </c>
      <c r="AU872" s="54">
        <f t="shared" si="348"/>
        <v>0</v>
      </c>
      <c r="AV872" s="56">
        <f t="shared" ref="AV872:AV877" si="355">IF(ISBLANK(AS872),,(AT872*Z872))</f>
        <v>0</v>
      </c>
      <c r="AW872" s="57"/>
      <c r="AX872" s="153" t="s">
        <v>2697</v>
      </c>
      <c r="AY872" s="151" t="s">
        <v>2698</v>
      </c>
      <c r="AZ872" s="153" t="s">
        <v>2699</v>
      </c>
      <c r="BA872" s="153" t="s">
        <v>2700</v>
      </c>
      <c r="BB872" s="151" t="s">
        <v>2701</v>
      </c>
      <c r="BC872" s="153"/>
      <c r="BD872" s="151" t="s">
        <v>2702</v>
      </c>
      <c r="BE872" s="152"/>
      <c r="BF872" s="151"/>
      <c r="BG872" s="94">
        <f>SUM($AV$4:AV872)</f>
        <v>6708.6108375297135</v>
      </c>
      <c r="BH872" s="95">
        <f>SUM($AU$4:AU872)</f>
        <v>44876.423836163201</v>
      </c>
      <c r="BI872" s="80">
        <f>SUMIFS($AU$3:AU874,$Q$3:Q874,"F")</f>
        <v>30355.078121878127</v>
      </c>
      <c r="BJ872" s="80">
        <f>SUMIFS($AU$3:AU874,$Q$3:Q874,"S")</f>
        <v>19138.285714285706</v>
      </c>
      <c r="BK872" s="87">
        <f>SUMIFS($AU$3:AU874,$P$3:P874,"W")</f>
        <v>19464.143836163403</v>
      </c>
      <c r="BL872" s="87">
        <f>SUMIFS($AU$3:AU874,$P$3:P874,"R")</f>
        <v>22616.400000000325</v>
      </c>
      <c r="BM872" s="87">
        <f>SUMIFS($AU$3:AU874,$AQ$3:AQ874,"M")</f>
        <v>8875.1799999983887</v>
      </c>
      <c r="BN872" s="87">
        <f>SUMIFS($AU$3:AU874,$AQ$3:AQ874,"H")</f>
        <v>11643.200000000877</v>
      </c>
      <c r="BO872" s="87">
        <f>SUMIFS($AU$3:AU874,$AQ$3:AQ874,"D")</f>
        <v>13122.377472527351</v>
      </c>
      <c r="BP872" s="87">
        <f>SUMIFS($AS$3:AS1303,$AO$3:AO1303,"W")</f>
        <v>0</v>
      </c>
      <c r="BQ872" s="87">
        <f>SUMIFS($AU$3:AU874,$Q$3:Q874,"O")</f>
        <v>-9340.9400000006026</v>
      </c>
      <c r="BR872" s="87">
        <f>SUMIFS($AU$3:AU874,$AA$3:AA874,"*")</f>
        <v>37881.5220779214</v>
      </c>
      <c r="BS872" s="87">
        <f>SUMIFS($AU$3:AU874,$AB$3:AB874,"*")</f>
        <v>8595.8599999999715</v>
      </c>
      <c r="BT872" s="87">
        <f>SUMIFS($AU$3:AU874,$AC$3:AC874,"*")</f>
        <v>35571.078121878119</v>
      </c>
      <c r="BU872" s="87">
        <f>SUMIFS($AU$3:AU874,$AA$3:AA874,"*",$AB$3:AB874,"*")</f>
        <v>7915.9999999997544</v>
      </c>
      <c r="BV872" s="87">
        <f>SUMIFS($AU$3:AU874,$AA$3:AA874,"*",$AC$3:AC874,"*")</f>
        <v>29696.036363636529</v>
      </c>
      <c r="BW872" s="87">
        <f>SUMIFS($AU$3:AU874,$AB$3:AB874,"*",$AC$3:AC874,"*")</f>
        <v>4983.9999999999991</v>
      </c>
      <c r="BX872" s="87">
        <f>SUMIFS($AV$3:AV874,$Q$3:Q874,"F")</f>
        <v>389.44019562430162</v>
      </c>
      <c r="BY872" s="87">
        <f>SUMIFS($AV$3:AV874,$Q$3:Q874,"S")</f>
        <v>692.61134190572739</v>
      </c>
      <c r="BZ872" s="87">
        <f>SUMIFS($AV$3:AV874,$Q$3:Q874,"O")</f>
        <v>378.55929999967736</v>
      </c>
    </row>
    <row r="873" spans="1:78" ht="15.75" customHeight="1">
      <c r="A873" s="45" t="s">
        <v>2311</v>
      </c>
      <c r="B873" s="59">
        <v>45469</v>
      </c>
      <c r="C873" s="46" t="s">
        <v>147</v>
      </c>
      <c r="D873" s="46" t="s">
        <v>186</v>
      </c>
      <c r="E873" s="66"/>
      <c r="F873" s="47"/>
      <c r="G873" s="48" t="s">
        <v>227</v>
      </c>
      <c r="H873" s="49"/>
      <c r="I873" s="49"/>
      <c r="J873" s="49"/>
      <c r="K873" s="50"/>
      <c r="L873" s="49"/>
      <c r="M873" s="49"/>
      <c r="N873" s="49"/>
      <c r="O873" s="50"/>
      <c r="P873" s="50"/>
      <c r="Q873" s="50"/>
      <c r="R873" s="50"/>
      <c r="S873" s="50"/>
      <c r="T873" s="50"/>
      <c r="U873" s="50"/>
      <c r="V873" s="50"/>
      <c r="W873" s="50"/>
      <c r="X873" s="50"/>
      <c r="Y873" s="51"/>
      <c r="Z873" s="52"/>
      <c r="AA873" s="52"/>
      <c r="AB873" s="52"/>
      <c r="AC873" s="52"/>
      <c r="AD873" s="231"/>
      <c r="AE873" s="49"/>
      <c r="AF873" s="84"/>
      <c r="AG873" s="49"/>
      <c r="AH873" s="49"/>
      <c r="AI873" s="49"/>
      <c r="AJ873" s="226"/>
      <c r="AK873" s="49"/>
      <c r="AL873" s="113">
        <f t="shared" si="354"/>
        <v>0</v>
      </c>
      <c r="AM873" s="113">
        <f t="shared" si="344"/>
        <v>0</v>
      </c>
      <c r="AN873" s="218"/>
      <c r="AO873" s="49"/>
      <c r="AP873" s="49"/>
      <c r="AQ873" s="84" t="str">
        <f>UPPER(RIGHT(Journal_Live[[#This Row],[DURATION ]]))</f>
        <v/>
      </c>
      <c r="AR873" s="49"/>
      <c r="AS873" s="55"/>
      <c r="AT873" s="55">
        <f t="shared" si="347"/>
        <v>0</v>
      </c>
      <c r="AU873" s="54">
        <f t="shared" si="348"/>
        <v>0</v>
      </c>
      <c r="AV873" s="56">
        <f t="shared" si="355"/>
        <v>0</v>
      </c>
      <c r="AW873" s="57"/>
      <c r="AX873" s="153"/>
      <c r="AY873" s="153"/>
      <c r="AZ873" s="153"/>
      <c r="BA873" s="153"/>
      <c r="BB873" s="153"/>
      <c r="BC873" s="153"/>
      <c r="BD873" s="151"/>
      <c r="BE873" s="152"/>
      <c r="BF873" s="151"/>
      <c r="BG873" s="94">
        <f>SUM($AV$4:AV873)</f>
        <v>6708.6108375297135</v>
      </c>
      <c r="BH873" s="95">
        <f>SUM($AU$4:AU873)</f>
        <v>44876.423836163201</v>
      </c>
      <c r="BI873" s="80">
        <f>SUMIFS($AU$3:AU875,$Q$3:Q875,"F")</f>
        <v>30355.078121878127</v>
      </c>
      <c r="BJ873" s="80">
        <f>SUMIFS($AU$3:AU875,$Q$3:Q875,"S")</f>
        <v>19138.285714285706</v>
      </c>
      <c r="BK873" s="87">
        <f>SUMIFS($AU$3:AU875,$P$3:P875,"W")</f>
        <v>19464.143836163403</v>
      </c>
      <c r="BL873" s="87">
        <f>SUMIFS($AU$3:AU875,$P$3:P875,"R")</f>
        <v>22616.400000000325</v>
      </c>
      <c r="BM873" s="87">
        <f>SUMIFS($AU$3:AU875,$AQ$3:AQ875,"M")</f>
        <v>8875.1799999983887</v>
      </c>
      <c r="BN873" s="87">
        <f>SUMIFS($AU$3:AU875,$AQ$3:AQ875,"H")</f>
        <v>11643.200000000877</v>
      </c>
      <c r="BO873" s="87">
        <f>SUMIFS($AU$3:AU875,$AQ$3:AQ875,"D")</f>
        <v>13122.377472527351</v>
      </c>
      <c r="BP873" s="87">
        <f>SUMIFS($AS$3:AS1304,$AO$3:AO1304,"W")</f>
        <v>0</v>
      </c>
      <c r="BQ873" s="87">
        <f>SUMIFS($AU$3:AU875,$Q$3:Q875,"O")</f>
        <v>-9340.9400000006026</v>
      </c>
      <c r="BR873" s="87">
        <f>SUMIFS($AU$3:AU875,$AA$3:AA875,"*")</f>
        <v>37881.5220779214</v>
      </c>
      <c r="BS873" s="87">
        <f>SUMIFS($AU$3:AU875,$AB$3:AB875,"*")</f>
        <v>8595.8599999999715</v>
      </c>
      <c r="BT873" s="87">
        <f>SUMIFS($AU$3:AU875,$AC$3:AC875,"*")</f>
        <v>35571.078121878119</v>
      </c>
      <c r="BU873" s="87">
        <f>SUMIFS($AU$3:AU875,$AA$3:AA875,"*",$AB$3:AB875,"*")</f>
        <v>7915.9999999997544</v>
      </c>
      <c r="BV873" s="87">
        <f>SUMIFS($AU$3:AU875,$AA$3:AA875,"*",$AC$3:AC875,"*")</f>
        <v>29696.036363636529</v>
      </c>
      <c r="BW873" s="87">
        <f>SUMIFS($AU$3:AU875,$AB$3:AB875,"*",$AC$3:AC875,"*")</f>
        <v>4983.9999999999991</v>
      </c>
      <c r="BX873" s="87">
        <f>SUMIFS($AV$3:AV875,$Q$3:Q875,"F")</f>
        <v>389.44019562430162</v>
      </c>
      <c r="BY873" s="87">
        <f>SUMIFS($AV$3:AV875,$Q$3:Q875,"S")</f>
        <v>692.61134190572739</v>
      </c>
      <c r="BZ873" s="87">
        <f>SUMIFS($AV$3:AV875,$Q$3:Q875,"O")</f>
        <v>378.55929999967736</v>
      </c>
    </row>
    <row r="874" spans="1:78" ht="15.75" customHeight="1">
      <c r="A874" s="45" t="s">
        <v>2311</v>
      </c>
      <c r="B874" s="59"/>
      <c r="C874" s="46"/>
      <c r="D874" s="46"/>
      <c r="E874" s="66"/>
      <c r="F874" s="47"/>
      <c r="G874" s="48"/>
      <c r="H874" s="49"/>
      <c r="I874" s="49"/>
      <c r="J874" s="49"/>
      <c r="K874" s="50"/>
      <c r="L874" s="49"/>
      <c r="M874" s="49"/>
      <c r="N874" s="49"/>
      <c r="O874" s="50"/>
      <c r="P874" s="50"/>
      <c r="Q874" s="50"/>
      <c r="R874" s="50"/>
      <c r="S874" s="50"/>
      <c r="T874" s="50"/>
      <c r="U874" s="50"/>
      <c r="V874" s="50"/>
      <c r="W874" s="50"/>
      <c r="X874" s="50"/>
      <c r="Y874" s="51"/>
      <c r="Z874" s="52"/>
      <c r="AA874" s="52"/>
      <c r="AB874" s="52"/>
      <c r="AC874" s="52"/>
      <c r="AD874" s="231"/>
      <c r="AE874" s="49"/>
      <c r="AF874" s="84"/>
      <c r="AG874" s="49"/>
      <c r="AH874" s="49"/>
      <c r="AI874" s="49"/>
      <c r="AJ874" s="226"/>
      <c r="AK874" s="49"/>
      <c r="AL874" s="113">
        <f t="shared" si="354"/>
        <v>0</v>
      </c>
      <c r="AM874" s="113">
        <f t="shared" si="344"/>
        <v>0</v>
      </c>
      <c r="AN874" s="218"/>
      <c r="AO874" s="49"/>
      <c r="AP874" s="49"/>
      <c r="AQ874" s="84" t="str">
        <f>UPPER(RIGHT(Journal_Live[[#This Row],[DURATION ]]))</f>
        <v/>
      </c>
      <c r="AR874" s="49"/>
      <c r="AS874" s="55"/>
      <c r="AT874" s="55">
        <f t="shared" si="347"/>
        <v>0</v>
      </c>
      <c r="AU874" s="54">
        <f t="shared" si="348"/>
        <v>0</v>
      </c>
      <c r="AV874" s="56">
        <f t="shared" si="355"/>
        <v>0</v>
      </c>
      <c r="AW874" s="57"/>
      <c r="AX874" s="153" t="s">
        <v>2703</v>
      </c>
      <c r="AY874" s="153" t="s">
        <v>2704</v>
      </c>
      <c r="AZ874" s="153" t="s">
        <v>2705</v>
      </c>
      <c r="BA874" s="153" t="s">
        <v>2706</v>
      </c>
      <c r="BB874" s="153" t="s">
        <v>2707</v>
      </c>
      <c r="BC874" s="153"/>
      <c r="BD874" s="151"/>
      <c r="BE874" s="152"/>
      <c r="BF874" s="151"/>
      <c r="BG874" s="94">
        <f>SUM($AV$4:AV874)</f>
        <v>6708.6108375297135</v>
      </c>
      <c r="BH874" s="95">
        <f>SUM($AU$4:AU874)</f>
        <v>44876.423836163201</v>
      </c>
      <c r="BI874" s="80">
        <f>SUMIFS($AU$3:AU876,$Q$3:Q876,"F")</f>
        <v>30355.078121878127</v>
      </c>
      <c r="BJ874" s="80">
        <f>SUMIFS($AU$3:AU876,$Q$3:Q876,"S")</f>
        <v>17938.285714285706</v>
      </c>
      <c r="BK874" s="87">
        <f>SUMIFS($AU$3:AU876,$P$3:P876,"W")</f>
        <v>18264.143836163403</v>
      </c>
      <c r="BL874" s="87">
        <f>SUMIFS($AU$3:AU876,$P$3:P876,"R")</f>
        <v>22616.400000000325</v>
      </c>
      <c r="BM874" s="87">
        <f>SUMIFS($AU$3:AU876,$AQ$3:AQ876,"M")</f>
        <v>8875.1799999983887</v>
      </c>
      <c r="BN874" s="87">
        <f>SUMIFS($AU$3:AU876,$AQ$3:AQ876,"H")</f>
        <v>11643.200000000877</v>
      </c>
      <c r="BO874" s="87">
        <f>SUMIFS($AU$3:AU876,$AQ$3:AQ876,"D")</f>
        <v>13122.377472527351</v>
      </c>
      <c r="BP874" s="87">
        <f>SUMIFS($AS$3:AS1305,$AO$3:AO1305,"W")</f>
        <v>0</v>
      </c>
      <c r="BQ874" s="87">
        <f>SUMIFS($AU$3:AU876,$Q$3:Q876,"O")</f>
        <v>-9340.9400000006026</v>
      </c>
      <c r="BR874" s="87">
        <f>SUMIFS($AU$3:AU876,$AA$3:AA876,"*")</f>
        <v>37881.5220779214</v>
      </c>
      <c r="BS874" s="87">
        <f>SUMIFS($AU$3:AU876,$AB$3:AB876,"*")</f>
        <v>8595.8599999999715</v>
      </c>
      <c r="BT874" s="87">
        <f>SUMIFS($AU$3:AU876,$AC$3:AC876,"*")</f>
        <v>34371.078121878119</v>
      </c>
      <c r="BU874" s="87">
        <f>SUMIFS($AU$3:AU876,$AA$3:AA876,"*",$AB$3:AB876,"*")</f>
        <v>7915.9999999997544</v>
      </c>
      <c r="BV874" s="87">
        <f>SUMIFS($AU$3:AU876,$AA$3:AA876,"*",$AC$3:AC876,"*")</f>
        <v>29696.036363636529</v>
      </c>
      <c r="BW874" s="87">
        <f>SUMIFS($AU$3:AU876,$AB$3:AB876,"*",$AC$3:AC876,"*")</f>
        <v>4983.9999999999991</v>
      </c>
      <c r="BX874" s="87">
        <f>SUMIFS($AV$3:AV876,$Q$3:Q876,"F")</f>
        <v>389.44019562430162</v>
      </c>
      <c r="BY874" s="87">
        <f>SUMIFS($AV$3:AV876,$Q$3:Q876,"S")</f>
        <v>676.61134190572739</v>
      </c>
      <c r="BZ874" s="87">
        <f>SUMIFS($AV$3:AV876,$Q$3:Q876,"O")</f>
        <v>378.55929999967736</v>
      </c>
    </row>
    <row r="875" spans="1:78" ht="15.75" customHeight="1">
      <c r="A875" s="45" t="s">
        <v>2311</v>
      </c>
      <c r="B875" s="59"/>
      <c r="C875" s="46"/>
      <c r="D875" s="46"/>
      <c r="E875" s="66"/>
      <c r="F875" s="47"/>
      <c r="G875" s="48"/>
      <c r="H875" s="49"/>
      <c r="I875" s="49"/>
      <c r="J875" s="49"/>
      <c r="K875" s="50"/>
      <c r="L875" s="49"/>
      <c r="M875" s="49"/>
      <c r="N875" s="49"/>
      <c r="O875" s="50"/>
      <c r="P875" s="50"/>
      <c r="Q875" s="50"/>
      <c r="R875" s="50"/>
      <c r="S875" s="50"/>
      <c r="T875" s="50"/>
      <c r="U875" s="50"/>
      <c r="V875" s="50"/>
      <c r="W875" s="50"/>
      <c r="X875" s="50"/>
      <c r="Y875" s="51"/>
      <c r="Z875" s="52"/>
      <c r="AA875" s="52"/>
      <c r="AB875" s="52"/>
      <c r="AC875" s="52"/>
      <c r="AD875" s="231"/>
      <c r="AE875" s="49"/>
      <c r="AF875" s="84"/>
      <c r="AG875" s="49"/>
      <c r="AH875" s="49"/>
      <c r="AI875" s="49"/>
      <c r="AJ875" s="226"/>
      <c r="AK875" s="49"/>
      <c r="AL875" s="113">
        <f t="shared" si="354"/>
        <v>0</v>
      </c>
      <c r="AM875" s="113">
        <f t="shared" si="344"/>
        <v>0</v>
      </c>
      <c r="AN875" s="218"/>
      <c r="AO875" s="49"/>
      <c r="AP875" s="49"/>
      <c r="AQ875" s="84" t="str">
        <f>UPPER(RIGHT(Journal_Live[[#This Row],[DURATION ]]))</f>
        <v/>
      </c>
      <c r="AR875" s="49"/>
      <c r="AS875" s="55"/>
      <c r="AT875" s="55">
        <f t="shared" si="347"/>
        <v>0</v>
      </c>
      <c r="AU875" s="54">
        <f t="shared" si="348"/>
        <v>0</v>
      </c>
      <c r="AV875" s="56">
        <f t="shared" si="355"/>
        <v>0</v>
      </c>
      <c r="AW875" s="57"/>
      <c r="AX875" s="153" t="s">
        <v>2708</v>
      </c>
      <c r="AY875" s="153" t="s">
        <v>2709</v>
      </c>
      <c r="AZ875" s="153" t="s">
        <v>2710</v>
      </c>
      <c r="BA875" s="153" t="s">
        <v>2711</v>
      </c>
      <c r="BB875" s="153"/>
      <c r="BC875" s="153"/>
      <c r="BD875" s="151"/>
      <c r="BE875" s="152"/>
      <c r="BF875" s="151"/>
      <c r="BG875" s="94">
        <f>SUM($AV$4:AV875)</f>
        <v>6708.6108375297135</v>
      </c>
      <c r="BH875" s="95">
        <f>SUM($AU$4:AU875)</f>
        <v>44876.423836163201</v>
      </c>
      <c r="BI875" s="80">
        <f>SUMIFS($AU$3:AU877,$Q$3:Q877,"F")</f>
        <v>29235.078121878127</v>
      </c>
      <c r="BJ875" s="80">
        <f>SUMIFS($AU$3:AU877,$Q$3:Q877,"S")</f>
        <v>17938.285714285706</v>
      </c>
      <c r="BK875" s="87">
        <f>SUMIFS($AU$3:AU877,$P$3:P877,"W")</f>
        <v>17144.143836163403</v>
      </c>
      <c r="BL875" s="87">
        <f>SUMIFS($AU$3:AU877,$P$3:P877,"R")</f>
        <v>22616.400000000325</v>
      </c>
      <c r="BM875" s="87">
        <f>SUMIFS($AU$3:AU877,$AQ$3:AQ877,"M")</f>
        <v>8875.1799999983887</v>
      </c>
      <c r="BN875" s="87">
        <f>SUMIFS($AU$3:AU877,$AQ$3:AQ877,"H")</f>
        <v>11643.200000000877</v>
      </c>
      <c r="BO875" s="87">
        <f>SUMIFS($AU$3:AU877,$AQ$3:AQ877,"D")</f>
        <v>13122.377472527351</v>
      </c>
      <c r="BP875" s="87">
        <f>SUMIFS($AS$3:AS1306,$AO$3:AO1306,"W")</f>
        <v>0</v>
      </c>
      <c r="BQ875" s="87">
        <f>SUMIFS($AU$3:AU877,$Q$3:Q877,"O")</f>
        <v>-9340.9400000006026</v>
      </c>
      <c r="BR875" s="87">
        <f>SUMIFS($AU$3:AU877,$AA$3:AA877,"*")</f>
        <v>37881.5220779214</v>
      </c>
      <c r="BS875" s="87">
        <f>SUMIFS($AU$3:AU877,$AB$3:AB877,"*")</f>
        <v>7475.8599999999715</v>
      </c>
      <c r="BT875" s="87">
        <f>SUMIFS($AU$3:AU877,$AC$3:AC877,"*")</f>
        <v>33251.078121878119</v>
      </c>
      <c r="BU875" s="87">
        <f>SUMIFS($AU$3:AU877,$AA$3:AA877,"*",$AB$3:AB877,"*")</f>
        <v>7915.9999999997544</v>
      </c>
      <c r="BV875" s="87">
        <f>SUMIFS($AU$3:AU877,$AA$3:AA877,"*",$AC$3:AC877,"*")</f>
        <v>29696.036363636529</v>
      </c>
      <c r="BW875" s="87">
        <f>SUMIFS($AU$3:AU877,$AB$3:AB877,"*",$AC$3:AC877,"*")</f>
        <v>3863.9999999999991</v>
      </c>
      <c r="BX875" s="87">
        <f>SUMIFS($AV$3:AV877,$Q$3:Q877,"F")</f>
        <v>383.04019562430165</v>
      </c>
      <c r="BY875" s="87">
        <f>SUMIFS($AV$3:AV877,$Q$3:Q877,"S")</f>
        <v>676.61134190572739</v>
      </c>
      <c r="BZ875" s="87">
        <f>SUMIFS($AV$3:AV877,$Q$3:Q877,"O")</f>
        <v>378.55929999967736</v>
      </c>
    </row>
    <row r="876" spans="1:78" ht="15.75" customHeight="1">
      <c r="A876" s="45" t="s">
        <v>2311</v>
      </c>
      <c r="B876" s="59">
        <v>45469</v>
      </c>
      <c r="C876" s="46" t="s">
        <v>2069</v>
      </c>
      <c r="D876" s="46" t="s">
        <v>186</v>
      </c>
      <c r="E876" s="66"/>
      <c r="F876" s="47"/>
      <c r="G876" s="114" t="s">
        <v>2712</v>
      </c>
      <c r="H876" s="49"/>
      <c r="I876" s="49"/>
      <c r="J876" s="49"/>
      <c r="K876" s="50"/>
      <c r="L876" s="49"/>
      <c r="M876" s="49">
        <v>1</v>
      </c>
      <c r="N876" s="49"/>
      <c r="O876" s="50" t="s">
        <v>100</v>
      </c>
      <c r="P876" s="50" t="s">
        <v>101</v>
      </c>
      <c r="Q876" s="50" t="s">
        <v>102</v>
      </c>
      <c r="R876" s="50">
        <v>75</v>
      </c>
      <c r="S876" s="50">
        <v>75</v>
      </c>
      <c r="T876" s="50">
        <v>175</v>
      </c>
      <c r="U876" s="50" t="s">
        <v>22</v>
      </c>
      <c r="V876" s="50"/>
      <c r="W876" s="50"/>
      <c r="X876" s="50"/>
      <c r="Y876" s="51">
        <f>IF(ISBLANK(O876),"",(IF(O876=UPPER("IB"),0.005,0.01)))</f>
        <v>0.01</v>
      </c>
      <c r="Z876" s="52">
        <f>IF(ISBLANK(O876),"",IF(O876="IB",8.63*200,IF(O876="IR",16*100,IF(O876="YT",20*100,IF(O876="YT-XT",24*200,IF(O876="TED",80*100,IF(O876="IR|YT",300*100)))))))</f>
        <v>1600</v>
      </c>
      <c r="AA876" s="52"/>
      <c r="AB876" s="52"/>
      <c r="AC876" s="52" t="s">
        <v>2581</v>
      </c>
      <c r="AD876" s="231">
        <f>-0.19</f>
        <v>-0.19</v>
      </c>
      <c r="AE876" s="49"/>
      <c r="AF876" s="84"/>
      <c r="AG876" s="49"/>
      <c r="AH876" s="49"/>
      <c r="AI876" s="49"/>
      <c r="AJ876" s="226"/>
      <c r="AK876" s="49"/>
      <c r="AL876" s="113">
        <f t="shared" si="354"/>
        <v>-32</v>
      </c>
      <c r="AM876" s="113">
        <f t="shared" si="344"/>
        <v>0</v>
      </c>
      <c r="AN876" s="218"/>
      <c r="AO876" s="49"/>
      <c r="AP876" s="49"/>
      <c r="AQ876" s="84" t="str">
        <f>UPPER(RIGHT(Journal_Live[[#This Row],[DURATION ]]))</f>
        <v/>
      </c>
      <c r="AR876" s="49"/>
      <c r="AS876" s="55">
        <v>-0.2</v>
      </c>
      <c r="AT876" s="55">
        <f t="shared" si="347"/>
        <v>-1.0000000000000009E-2</v>
      </c>
      <c r="AU876" s="54">
        <f t="shared" si="348"/>
        <v>-1200.0000000000011</v>
      </c>
      <c r="AV876" s="56">
        <f t="shared" si="355"/>
        <v>-16.000000000000014</v>
      </c>
      <c r="AW876" s="57" t="s">
        <v>121</v>
      </c>
      <c r="AX876" s="176" t="s">
        <v>2713</v>
      </c>
      <c r="AY876" s="153" t="s">
        <v>2714</v>
      </c>
      <c r="AZ876" s="153" t="s">
        <v>2715</v>
      </c>
      <c r="BA876" s="153"/>
      <c r="BB876" s="153"/>
      <c r="BC876" s="153"/>
      <c r="BD876" s="151"/>
      <c r="BE876" s="152"/>
      <c r="BF876" s="151"/>
      <c r="BG876" s="94">
        <f>SUM($AV$4:AV876)</f>
        <v>6692.6108375297135</v>
      </c>
      <c r="BH876" s="95">
        <f>SUM($AU$4:AU876)</f>
        <v>43676.423836163201</v>
      </c>
      <c r="BI876" s="80">
        <f>SUMIFS($AU$3:AU878,$Q$3:Q878,"F")</f>
        <v>29235.078121878127</v>
      </c>
      <c r="BJ876" s="80">
        <f>SUMIFS($AU$3:AU878,$Q$3:Q878,"S")</f>
        <v>17938.285714285706</v>
      </c>
      <c r="BK876" s="87">
        <f>SUMIFS($AU$3:AU878,$P$3:P878,"W")</f>
        <v>17144.143836163403</v>
      </c>
      <c r="BL876" s="87">
        <f>SUMIFS($AU$3:AU878,$P$3:P878,"R")</f>
        <v>22616.400000000325</v>
      </c>
      <c r="BM876" s="87">
        <f>SUMIFS($AU$3:AU878,$AQ$3:AQ878,"M")</f>
        <v>8875.1799999983887</v>
      </c>
      <c r="BN876" s="87">
        <f>SUMIFS($AU$3:AU878,$AQ$3:AQ878,"H")</f>
        <v>11643.200000000877</v>
      </c>
      <c r="BO876" s="87">
        <f>SUMIFS($AU$3:AU878,$AQ$3:AQ878,"D")</f>
        <v>13122.377472527351</v>
      </c>
      <c r="BP876" s="87">
        <f>SUMIFS($AS$3:AS1307,$AO$3:AO1307,"W")</f>
        <v>0</v>
      </c>
      <c r="BQ876" s="87">
        <f>SUMIFS($AU$3:AU878,$Q$3:Q878,"O")</f>
        <v>-9340.9400000006026</v>
      </c>
      <c r="BR876" s="87">
        <f>SUMIFS($AU$3:AU878,$AA$3:AA878,"*")</f>
        <v>37881.5220779214</v>
      </c>
      <c r="BS876" s="87">
        <f>SUMIFS($AU$3:AU878,$AB$3:AB878,"*")</f>
        <v>7475.8599999999715</v>
      </c>
      <c r="BT876" s="87">
        <f>SUMIFS($AU$3:AU878,$AC$3:AC878,"*")</f>
        <v>33251.078121878119</v>
      </c>
      <c r="BU876" s="87">
        <f>SUMIFS($AU$3:AU878,$AA$3:AA878,"*",$AB$3:AB878,"*")</f>
        <v>7915.9999999997544</v>
      </c>
      <c r="BV876" s="87">
        <f>SUMIFS($AU$3:AU878,$AA$3:AA878,"*",$AC$3:AC878,"*")</f>
        <v>29696.036363636529</v>
      </c>
      <c r="BW876" s="87">
        <f>SUMIFS($AU$3:AU878,$AB$3:AB878,"*",$AC$3:AC878,"*")</f>
        <v>3863.9999999999991</v>
      </c>
      <c r="BX876" s="87">
        <f>SUMIFS($AV$3:AV878,$Q$3:Q878,"F")</f>
        <v>383.04019562430165</v>
      </c>
      <c r="BY876" s="87">
        <f>SUMIFS($AV$3:AV878,$Q$3:Q878,"S")</f>
        <v>676.61134190572739</v>
      </c>
      <c r="BZ876" s="87">
        <f>SUMIFS($AV$3:AV878,$Q$3:Q878,"O")</f>
        <v>378.55929999967736</v>
      </c>
    </row>
    <row r="877" spans="1:78" ht="15.75" customHeight="1">
      <c r="A877" s="45" t="s">
        <v>2311</v>
      </c>
      <c r="B877" s="59">
        <v>45471</v>
      </c>
      <c r="C877" s="46" t="s">
        <v>493</v>
      </c>
      <c r="D877" s="46" t="s">
        <v>115</v>
      </c>
      <c r="E877" s="66"/>
      <c r="F877" s="47"/>
      <c r="G877" s="155" t="s">
        <v>2716</v>
      </c>
      <c r="H877" s="49"/>
      <c r="I877" s="49"/>
      <c r="J877" s="49"/>
      <c r="K877" s="50"/>
      <c r="L877" s="49"/>
      <c r="M877" s="49">
        <v>1</v>
      </c>
      <c r="N877" s="49"/>
      <c r="O877" s="50" t="s">
        <v>100</v>
      </c>
      <c r="P877" s="50" t="s">
        <v>101</v>
      </c>
      <c r="Q877" s="50" t="s">
        <v>127</v>
      </c>
      <c r="R877" s="50">
        <v>175</v>
      </c>
      <c r="S877" s="50">
        <v>140</v>
      </c>
      <c r="T877" s="50">
        <v>75</v>
      </c>
      <c r="U877" s="50" t="s">
        <v>102</v>
      </c>
      <c r="V877" s="50"/>
      <c r="W877" s="50"/>
      <c r="X877" s="50"/>
      <c r="Y877" s="51">
        <f>IF(ISBLANK(O877),"",(IF(O877=UPPER("IB"),0.005,0.01)))</f>
        <v>0.01</v>
      </c>
      <c r="Z877" s="52">
        <f>IF(ISBLANK(O877),"",IF(O877="IB",8.63*200,IF(O877="IR",16*100,IF(O877="YT",20*100,IF(O877="YT-XT",24*200,IF(O877="TED",80*100,IF(O877="IR|YT",300*100)))))))</f>
        <v>1600</v>
      </c>
      <c r="AA877" s="52"/>
      <c r="AB877" s="52" t="s">
        <v>2717</v>
      </c>
      <c r="AC877" s="52" t="s">
        <v>2298</v>
      </c>
      <c r="AD877" s="231">
        <v>-0.01</v>
      </c>
      <c r="AE877" s="49"/>
      <c r="AF877" s="84">
        <v>0</v>
      </c>
      <c r="AG877" s="49"/>
      <c r="AH877" s="49" t="s">
        <v>2718</v>
      </c>
      <c r="AI877" s="49"/>
      <c r="AJ877" s="226"/>
      <c r="AK877" s="49"/>
      <c r="AL877" s="113">
        <f t="shared" si="354"/>
        <v>-32</v>
      </c>
      <c r="AM877" s="113">
        <f t="shared" si="344"/>
        <v>-1120</v>
      </c>
      <c r="AN877" s="218" t="s">
        <v>186</v>
      </c>
      <c r="AO877" s="49"/>
      <c r="AP877" s="49"/>
      <c r="AQ877" s="84" t="str">
        <f>UPPER(RIGHT(Journal_Live[[#This Row],[DURATION ]]))</f>
        <v/>
      </c>
      <c r="AR877" s="49"/>
      <c r="AS877" s="55">
        <f>((-0.01*105)+(0*12)+(0*58))/175</f>
        <v>-6.0000000000000001E-3</v>
      </c>
      <c r="AT877" s="55">
        <f t="shared" si="347"/>
        <v>-4.0000000000000001E-3</v>
      </c>
      <c r="AU877" s="54">
        <f t="shared" si="348"/>
        <v>-1120</v>
      </c>
      <c r="AV877" s="56">
        <f t="shared" si="355"/>
        <v>-6.4</v>
      </c>
      <c r="AW877" s="57" t="s">
        <v>121</v>
      </c>
      <c r="AX877" s="153" t="s">
        <v>2719</v>
      </c>
      <c r="AY877" s="153" t="s">
        <v>2720</v>
      </c>
      <c r="AZ877" s="153" t="s">
        <v>2721</v>
      </c>
      <c r="BA877" s="151" t="s">
        <v>2722</v>
      </c>
      <c r="BB877" s="151" t="s">
        <v>2723</v>
      </c>
      <c r="BC877" s="151" t="s">
        <v>2724</v>
      </c>
      <c r="BD877" s="151" t="s">
        <v>2725</v>
      </c>
      <c r="BE877" s="152"/>
      <c r="BF877" s="151"/>
      <c r="BG877" s="94">
        <f>SUM($AV$4:AV877)</f>
        <v>6686.2108375297139</v>
      </c>
      <c r="BH877" s="95">
        <f>SUM($AU$4:AU877)</f>
        <v>42556.423836163201</v>
      </c>
      <c r="BI877" s="80">
        <f>SUMIFS($AU$3:AU879,$Q$3:Q879,"F")</f>
        <v>29235.078121878127</v>
      </c>
      <c r="BJ877" s="80">
        <f>SUMIFS($AU$3:AU879,$Q$3:Q879,"S")</f>
        <v>17938.285714285706</v>
      </c>
      <c r="BK877" s="87">
        <f>SUMIFS($AU$3:AU879,$P$3:P879,"W")</f>
        <v>17144.143836163403</v>
      </c>
      <c r="BL877" s="87">
        <f>SUMIFS($AU$3:AU879,$P$3:P879,"R")</f>
        <v>22616.400000000325</v>
      </c>
      <c r="BM877" s="87">
        <f>SUMIFS($AU$3:AU879,$AQ$3:AQ879,"M")</f>
        <v>8875.1799999983887</v>
      </c>
      <c r="BN877" s="87">
        <f>SUMIFS($AU$3:AU879,$AQ$3:AQ879,"H")</f>
        <v>11643.200000000877</v>
      </c>
      <c r="BO877" s="87">
        <f>SUMIFS($AU$3:AU879,$AQ$3:AQ879,"D")</f>
        <v>13122.377472527351</v>
      </c>
      <c r="BP877" s="87">
        <f>SUMIFS($AS$3:AS1308,$AO$3:AO1308,"W")</f>
        <v>0</v>
      </c>
      <c r="BQ877" s="87">
        <f>SUMIFS($AU$3:AU879,$Q$3:Q879,"O")</f>
        <v>-9340.9400000006026</v>
      </c>
      <c r="BR877" s="87">
        <f>SUMIFS($AU$3:AU879,$AA$3:AA879,"*")</f>
        <v>37881.5220779214</v>
      </c>
      <c r="BS877" s="87">
        <f>SUMIFS($AU$3:AU879,$AB$3:AB879,"*")</f>
        <v>7475.8599999999715</v>
      </c>
      <c r="BT877" s="87">
        <f>SUMIFS($AU$3:AU879,$AC$3:AC879,"*")</f>
        <v>33251.078121878119</v>
      </c>
      <c r="BU877" s="87">
        <f>SUMIFS($AU$3:AU879,$AA$3:AA879,"*",$AB$3:AB879,"*")</f>
        <v>7915.9999999997544</v>
      </c>
      <c r="BV877" s="87">
        <f>SUMIFS($AU$3:AU879,$AA$3:AA879,"*",$AC$3:AC879,"*")</f>
        <v>29696.036363636529</v>
      </c>
      <c r="BW877" s="87">
        <f>SUMIFS($AU$3:AU879,$AB$3:AB879,"*",$AC$3:AC879,"*")</f>
        <v>3863.9999999999991</v>
      </c>
      <c r="BX877" s="87">
        <f>SUMIFS($AV$3:AV879,$Q$3:Q879,"F")</f>
        <v>383.04019562430165</v>
      </c>
      <c r="BY877" s="87">
        <f>SUMIFS($AV$3:AV879,$Q$3:Q879,"S")</f>
        <v>676.61134190572739</v>
      </c>
      <c r="BZ877" s="87">
        <f>SUMIFS($AV$3:AV879,$Q$3:Q879,"O")</f>
        <v>378.55929999967736</v>
      </c>
    </row>
    <row r="878" spans="1:78" ht="15.75" customHeight="1">
      <c r="A878" s="45" t="s">
        <v>2311</v>
      </c>
      <c r="B878" s="59"/>
      <c r="C878" s="46"/>
      <c r="D878" s="46"/>
      <c r="E878" s="66"/>
      <c r="F878" s="47"/>
      <c r="G878" s="48"/>
      <c r="H878" s="49"/>
      <c r="I878" s="49"/>
      <c r="J878" s="49"/>
      <c r="K878" s="50"/>
      <c r="L878" s="49"/>
      <c r="M878" s="49"/>
      <c r="N878" s="49"/>
      <c r="O878" s="50"/>
      <c r="P878" s="50"/>
      <c r="Q878" s="50"/>
      <c r="R878" s="50"/>
      <c r="S878" s="50"/>
      <c r="T878" s="50"/>
      <c r="U878" s="50"/>
      <c r="V878" s="50"/>
      <c r="W878" s="50"/>
      <c r="X878" s="50"/>
      <c r="Y878" s="50"/>
      <c r="Z878" s="50"/>
      <c r="AA878" s="52"/>
      <c r="AB878" s="52"/>
      <c r="AC878" s="52"/>
      <c r="AD878" s="231"/>
      <c r="AE878" s="49"/>
      <c r="AF878" s="84"/>
      <c r="AG878" s="49"/>
      <c r="AH878" s="49"/>
      <c r="AI878" s="49"/>
      <c r="AJ878" s="226"/>
      <c r="AK878" s="49"/>
      <c r="AL878" s="113">
        <f t="shared" si="354"/>
        <v>0</v>
      </c>
      <c r="AM878" s="113">
        <f t="shared" si="344"/>
        <v>0</v>
      </c>
      <c r="AN878" s="218"/>
      <c r="AO878" s="49"/>
      <c r="AP878" s="49"/>
      <c r="AQ878" s="84" t="str">
        <f>UPPER(RIGHT(Journal_Live[[#This Row],[DURATION ]]))</f>
        <v/>
      </c>
      <c r="AR878" s="49"/>
      <c r="AS878" s="55"/>
      <c r="AT878" s="55"/>
      <c r="AU878" s="54"/>
      <c r="AV878" s="56"/>
      <c r="AW878" s="57"/>
      <c r="AX878" s="153" t="s">
        <v>2726</v>
      </c>
      <c r="AY878" s="153" t="s">
        <v>2727</v>
      </c>
      <c r="AZ878" s="153" t="s">
        <v>2728</v>
      </c>
      <c r="BA878" s="153" t="s">
        <v>2729</v>
      </c>
      <c r="BB878" s="153" t="s">
        <v>2730</v>
      </c>
      <c r="BC878" s="151" t="s">
        <v>2731</v>
      </c>
      <c r="BD878" s="151" t="s">
        <v>2732</v>
      </c>
      <c r="BE878" s="152" t="s">
        <v>2733</v>
      </c>
      <c r="BF878" s="151" t="s">
        <v>2734</v>
      </c>
      <c r="BG878" s="94">
        <f>SUM($AV$4:AV878)</f>
        <v>6686.2108375297139</v>
      </c>
      <c r="BH878" s="95">
        <f>SUM($AU$4:AU878)</f>
        <v>42556.423836163201</v>
      </c>
      <c r="BI878" s="80">
        <f>SUMIFS($AU$3:AU880,$Q$3:Q880,"F")</f>
        <v>29235.078121878127</v>
      </c>
      <c r="BJ878" s="80">
        <f>SUMIFS($AU$3:AU880,$Q$3:Q880,"S")</f>
        <v>17938.285714285706</v>
      </c>
      <c r="BK878" s="87">
        <f>SUMIFS($AU$3:AU880,$P$3:P880,"W")</f>
        <v>17144.143836163403</v>
      </c>
      <c r="BL878" s="87">
        <f>SUMIFS($AU$3:AU880,$P$3:P880,"R")</f>
        <v>22616.400000000325</v>
      </c>
      <c r="BM878" s="87">
        <f>SUMIFS($AU$3:AU880,$AQ$3:AQ880,"M")</f>
        <v>8875.1799999983887</v>
      </c>
      <c r="BN878" s="87">
        <f>SUMIFS($AU$3:AU880,$AQ$3:AQ880,"H")</f>
        <v>11643.200000000877</v>
      </c>
      <c r="BO878" s="87">
        <f>SUMIFS($AU$3:AU880,$AQ$3:AQ880,"D")</f>
        <v>13122.377472527351</v>
      </c>
      <c r="BP878" s="87">
        <f>SUMIFS($AS$3:AS1309,$AO$3:AO1309,"W")</f>
        <v>0</v>
      </c>
      <c r="BQ878" s="87">
        <f>SUMIFS($AU$3:AU880,$Q$3:Q880,"O")</f>
        <v>-9340.9400000006026</v>
      </c>
      <c r="BR878" s="87">
        <f>SUMIFS($AU$3:AU880,$AA$3:AA880,"*")</f>
        <v>37881.5220779214</v>
      </c>
      <c r="BS878" s="87">
        <f>SUMIFS($AU$3:AU880,$AB$3:AB880,"*")</f>
        <v>7475.8599999999715</v>
      </c>
      <c r="BT878" s="87">
        <f>SUMIFS($AU$3:AU880,$AC$3:AC880,"*")</f>
        <v>33251.078121878119</v>
      </c>
      <c r="BU878" s="87">
        <f>SUMIFS($AU$3:AU880,$AA$3:AA880,"*",$AB$3:AB880,"*")</f>
        <v>7915.9999999997544</v>
      </c>
      <c r="BV878" s="87">
        <f>SUMIFS($AU$3:AU880,$AA$3:AA880,"*",$AC$3:AC880,"*")</f>
        <v>29696.036363636529</v>
      </c>
      <c r="BW878" s="87">
        <f>SUMIFS($AU$3:AU880,$AB$3:AB880,"*",$AC$3:AC880,"*")</f>
        <v>3863.9999999999991</v>
      </c>
      <c r="BX878" s="87">
        <f>SUMIFS($AV$3:AV880,$Q$3:Q880,"F")</f>
        <v>383.04019562430165</v>
      </c>
      <c r="BY878" s="87">
        <f>SUMIFS($AV$3:AV880,$Q$3:Q880,"S")</f>
        <v>676.61134190572739</v>
      </c>
      <c r="BZ878" s="87">
        <f>SUMIFS($AV$3:AV880,$Q$3:Q880,"O")</f>
        <v>378.55929999967736</v>
      </c>
    </row>
    <row r="879" spans="1:78" ht="15.75" customHeight="1">
      <c r="A879" s="45" t="s">
        <v>2311</v>
      </c>
      <c r="B879" s="59"/>
      <c r="C879" s="46"/>
      <c r="D879" s="46"/>
      <c r="E879" s="66"/>
      <c r="F879" s="47"/>
      <c r="G879" s="48"/>
      <c r="H879" s="49"/>
      <c r="I879" s="49"/>
      <c r="J879" s="49"/>
      <c r="K879" s="50"/>
      <c r="L879" s="49"/>
      <c r="M879" s="49"/>
      <c r="N879" s="49"/>
      <c r="O879" s="50"/>
      <c r="P879" s="50"/>
      <c r="Q879" s="50"/>
      <c r="R879" s="50"/>
      <c r="S879" s="50"/>
      <c r="T879" s="50"/>
      <c r="U879" s="50"/>
      <c r="V879" s="50"/>
      <c r="W879" s="50"/>
      <c r="X879" s="50"/>
      <c r="Y879" s="50"/>
      <c r="Z879" s="50"/>
      <c r="AA879" s="52"/>
      <c r="AB879" s="52"/>
      <c r="AC879" s="52"/>
      <c r="AD879" s="231"/>
      <c r="AE879" s="49"/>
      <c r="AF879" s="84"/>
      <c r="AG879" s="49"/>
      <c r="AH879" s="49"/>
      <c r="AI879" s="49"/>
      <c r="AJ879" s="226"/>
      <c r="AK879" s="49"/>
      <c r="AL879" s="113">
        <f t="shared" si="345"/>
        <v>0</v>
      </c>
      <c r="AM879" s="113">
        <f t="shared" ref="AM879:AM895" si="356">AL879*(R879-S879)</f>
        <v>0</v>
      </c>
      <c r="AN879" s="218"/>
      <c r="AO879" s="49"/>
      <c r="AP879" s="49"/>
      <c r="AQ879" s="84" t="str">
        <f>UPPER(RIGHT(Journal_Live[[#This Row],[DURATION ]]))</f>
        <v/>
      </c>
      <c r="AR879" s="49"/>
      <c r="AS879" s="55"/>
      <c r="AT879" s="55"/>
      <c r="AU879" s="54"/>
      <c r="AV879" s="56"/>
      <c r="AW879" s="57"/>
      <c r="AX879" s="153" t="s">
        <v>2735</v>
      </c>
      <c r="AY879" s="153" t="s">
        <v>2736</v>
      </c>
      <c r="AZ879" s="153" t="s">
        <v>2737</v>
      </c>
      <c r="BA879" s="153" t="s">
        <v>2738</v>
      </c>
      <c r="BB879" s="153" t="s">
        <v>2739</v>
      </c>
      <c r="BC879" s="153" t="s">
        <v>2740</v>
      </c>
      <c r="BD879" s="151"/>
      <c r="BE879" s="152"/>
      <c r="BF879" s="151"/>
      <c r="BG879" s="94">
        <f>SUM($AV$4:AV879)</f>
        <v>6686.2108375297139</v>
      </c>
      <c r="BH879" s="95">
        <f>SUM($AU$4:AU879)</f>
        <v>42556.423836163201</v>
      </c>
      <c r="BI879" s="80">
        <f>SUMIFS($AU$3:AU881,$Q$3:Q881,"F")</f>
        <v>29235.078121878127</v>
      </c>
      <c r="BJ879" s="80">
        <f>SUMIFS($AU$3:AU881,$Q$3:Q881,"S")</f>
        <v>17938.285714285706</v>
      </c>
      <c r="BK879" s="87">
        <f>SUMIFS($AU$3:AU881,$P$3:P881,"W")</f>
        <v>17144.143836163403</v>
      </c>
      <c r="BL879" s="87">
        <f>SUMIFS($AU$3:AU881,$P$3:P881,"R")</f>
        <v>22616.400000000325</v>
      </c>
      <c r="BM879" s="87">
        <f>SUMIFS($AU$3:AU881,$AQ$3:AQ881,"M")</f>
        <v>8875.1799999983887</v>
      </c>
      <c r="BN879" s="87">
        <f>SUMIFS($AU$3:AU881,$AQ$3:AQ881,"H")</f>
        <v>11643.200000000877</v>
      </c>
      <c r="BO879" s="87">
        <f>SUMIFS($AU$3:AU881,$AQ$3:AQ881,"D")</f>
        <v>13122.377472527351</v>
      </c>
      <c r="BP879" s="87">
        <f>SUMIFS($AS$3:AS1310,$AO$3:AO1310,"W")</f>
        <v>0</v>
      </c>
      <c r="BQ879" s="87">
        <f>SUMIFS($AU$3:AU881,$Q$3:Q881,"O")</f>
        <v>-9340.9400000006026</v>
      </c>
      <c r="BR879" s="87">
        <f>SUMIFS($AU$3:AU881,$AA$3:AA881,"*")</f>
        <v>37881.5220779214</v>
      </c>
      <c r="BS879" s="87">
        <f>SUMIFS($AU$3:AU881,$AB$3:AB881,"*")</f>
        <v>7475.8599999999715</v>
      </c>
      <c r="BT879" s="87">
        <f>SUMIFS($AU$3:AU881,$AC$3:AC881,"*")</f>
        <v>33251.078121878119</v>
      </c>
      <c r="BU879" s="87">
        <f>SUMIFS($AU$3:AU881,$AA$3:AA881,"*",$AB$3:AB881,"*")</f>
        <v>7915.9999999997544</v>
      </c>
      <c r="BV879" s="87">
        <f>SUMIFS($AU$3:AU881,$AA$3:AA881,"*",$AC$3:AC881,"*")</f>
        <v>29696.036363636529</v>
      </c>
      <c r="BW879" s="87">
        <f>SUMIFS($AU$3:AU881,$AB$3:AB881,"*",$AC$3:AC881,"*")</f>
        <v>3863.9999999999991</v>
      </c>
      <c r="BX879" s="87">
        <f>SUMIFS($AV$3:AV881,$Q$3:Q881,"F")</f>
        <v>383.04019562430165</v>
      </c>
      <c r="BY879" s="87">
        <f>SUMIFS($AV$3:AV881,$Q$3:Q881,"S")</f>
        <v>676.61134190572739</v>
      </c>
      <c r="BZ879" s="87">
        <f>SUMIFS($AV$3:AV881,$Q$3:Q881,"O")</f>
        <v>378.55929999967736</v>
      </c>
    </row>
    <row r="880" spans="1:78" ht="15.75" customHeight="1">
      <c r="A880" s="45" t="s">
        <v>2311</v>
      </c>
      <c r="B880" s="59"/>
      <c r="C880" s="46"/>
      <c r="D880" s="46"/>
      <c r="E880" s="66"/>
      <c r="F880" s="47"/>
      <c r="G880" s="48"/>
      <c r="H880" s="49"/>
      <c r="I880" s="49"/>
      <c r="J880" s="49"/>
      <c r="K880" s="50"/>
      <c r="L880" s="49"/>
      <c r="M880" s="49"/>
      <c r="N880" s="49"/>
      <c r="O880" s="50"/>
      <c r="P880" s="50"/>
      <c r="Q880" s="50"/>
      <c r="R880" s="50"/>
      <c r="S880" s="50"/>
      <c r="T880" s="50"/>
      <c r="U880" s="50"/>
      <c r="V880" s="50"/>
      <c r="W880" s="50"/>
      <c r="X880" s="50"/>
      <c r="Y880" s="50"/>
      <c r="Z880" s="50"/>
      <c r="AA880" s="52"/>
      <c r="AB880" s="52"/>
      <c r="AC880" s="52"/>
      <c r="AD880" s="231"/>
      <c r="AE880" s="49"/>
      <c r="AF880" s="84"/>
      <c r="AG880" s="49"/>
      <c r="AH880" s="49"/>
      <c r="AI880" s="49"/>
      <c r="AJ880" s="226"/>
      <c r="AK880" s="49"/>
      <c r="AL880" s="113">
        <f t="shared" si="345"/>
        <v>0</v>
      </c>
      <c r="AM880" s="113">
        <f t="shared" si="356"/>
        <v>0</v>
      </c>
      <c r="AN880" s="218"/>
      <c r="AO880" s="49"/>
      <c r="AP880" s="49"/>
      <c r="AQ880" s="84" t="str">
        <f>UPPER(RIGHT(Journal_Live[[#This Row],[DURATION ]]))</f>
        <v/>
      </c>
      <c r="AR880" s="49"/>
      <c r="AS880" s="55"/>
      <c r="AT880" s="55"/>
      <c r="AU880" s="54"/>
      <c r="AV880" s="56"/>
      <c r="AW880" s="57"/>
      <c r="AX880" s="153" t="s">
        <v>2741</v>
      </c>
      <c r="AY880" s="151" t="s">
        <v>2742</v>
      </c>
      <c r="AZ880" s="153" t="s">
        <v>2743</v>
      </c>
      <c r="BA880" s="153"/>
      <c r="BB880" s="153"/>
      <c r="BC880" s="153"/>
      <c r="BD880" s="151"/>
      <c r="BE880" s="152"/>
      <c r="BF880" s="151"/>
      <c r="BG880" s="94">
        <f>SUM($AV$4:AV880)</f>
        <v>6686.2108375297139</v>
      </c>
      <c r="BH880" s="95">
        <f>SUM($AU$4:AU880)</f>
        <v>42556.423836163201</v>
      </c>
      <c r="BI880" s="80">
        <f>SUMIFS($AU$3:AU882,$Q$3:Q882,"F")</f>
        <v>29235.078121878127</v>
      </c>
      <c r="BJ880" s="80">
        <f>SUMIFS($AU$3:AU882,$Q$3:Q882,"S")</f>
        <v>17938.285714285706</v>
      </c>
      <c r="BK880" s="87">
        <f>SUMIFS($AU$3:AU882,$P$3:P882,"W")</f>
        <v>17144.143836163403</v>
      </c>
      <c r="BL880" s="87">
        <f>SUMIFS($AU$3:AU882,$P$3:P882,"R")</f>
        <v>22616.400000000325</v>
      </c>
      <c r="BM880" s="87">
        <f>SUMIFS($AU$3:AU882,$AQ$3:AQ882,"M")</f>
        <v>8875.1799999983887</v>
      </c>
      <c r="BN880" s="87">
        <f>SUMIFS($AU$3:AU882,$AQ$3:AQ882,"H")</f>
        <v>11643.200000000877</v>
      </c>
      <c r="BO880" s="87">
        <f>SUMIFS($AU$3:AU882,$AQ$3:AQ882,"D")</f>
        <v>13122.377472527351</v>
      </c>
      <c r="BP880" s="87">
        <f>SUMIFS($AS$3:AS1311,$AO$3:AO1311,"W")</f>
        <v>0</v>
      </c>
      <c r="BQ880" s="87">
        <f>SUMIFS($AU$3:AU882,$Q$3:Q882,"O")</f>
        <v>-9340.9400000006026</v>
      </c>
      <c r="BR880" s="87">
        <f>SUMIFS($AU$3:AU882,$AA$3:AA882,"*")</f>
        <v>37881.5220779214</v>
      </c>
      <c r="BS880" s="87">
        <f>SUMIFS($AU$3:AU882,$AB$3:AB882,"*")</f>
        <v>7475.8599999999715</v>
      </c>
      <c r="BT880" s="87">
        <f>SUMIFS($AU$3:AU882,$AC$3:AC882,"*")</f>
        <v>33251.078121878119</v>
      </c>
      <c r="BU880" s="87">
        <f>SUMIFS($AU$3:AU882,$AA$3:AA882,"*",$AB$3:AB882,"*")</f>
        <v>7915.9999999997544</v>
      </c>
      <c r="BV880" s="87">
        <f>SUMIFS($AU$3:AU882,$AA$3:AA882,"*",$AC$3:AC882,"*")</f>
        <v>29696.036363636529</v>
      </c>
      <c r="BW880" s="87">
        <f>SUMIFS($AU$3:AU882,$AB$3:AB882,"*",$AC$3:AC882,"*")</f>
        <v>3863.9999999999991</v>
      </c>
      <c r="BX880" s="87">
        <f>SUMIFS($AV$3:AV882,$Q$3:Q882,"F")</f>
        <v>383.04019562430165</v>
      </c>
      <c r="BY880" s="87">
        <f>SUMIFS($AV$3:AV882,$Q$3:Q882,"S")</f>
        <v>676.61134190572739</v>
      </c>
      <c r="BZ880" s="87">
        <f>SUMIFS($AV$3:AV882,$Q$3:Q882,"O")</f>
        <v>378.55929999967736</v>
      </c>
    </row>
    <row r="881" spans="1:78" ht="15.75" customHeight="1">
      <c r="A881" s="45" t="s">
        <v>2311</v>
      </c>
      <c r="B881" s="59"/>
      <c r="C881" s="46"/>
      <c r="D881" s="46"/>
      <c r="E881" s="66"/>
      <c r="F881" s="47"/>
      <c r="G881" s="48"/>
      <c r="H881" s="49"/>
      <c r="I881" s="49"/>
      <c r="J881" s="49"/>
      <c r="K881" s="50"/>
      <c r="L881" s="49"/>
      <c r="M881" s="49"/>
      <c r="N881" s="49"/>
      <c r="O881" s="50"/>
      <c r="P881" s="50"/>
      <c r="Q881" s="50"/>
      <c r="R881" s="50"/>
      <c r="S881" s="50"/>
      <c r="T881" s="50"/>
      <c r="U881" s="50"/>
      <c r="V881" s="50"/>
      <c r="W881" s="50"/>
      <c r="X881" s="50"/>
      <c r="Y881" s="50"/>
      <c r="Z881" s="50"/>
      <c r="AA881" s="52"/>
      <c r="AB881" s="52"/>
      <c r="AC881" s="52"/>
      <c r="AD881" s="231"/>
      <c r="AE881" s="49"/>
      <c r="AF881" s="84"/>
      <c r="AG881" s="49"/>
      <c r="AH881" s="49"/>
      <c r="AI881" s="49"/>
      <c r="AJ881" s="226"/>
      <c r="AK881" s="49"/>
      <c r="AL881" s="113">
        <f t="shared" si="345"/>
        <v>0</v>
      </c>
      <c r="AM881" s="113">
        <f t="shared" si="356"/>
        <v>0</v>
      </c>
      <c r="AN881" s="218"/>
      <c r="AO881" s="49"/>
      <c r="AP881" s="49"/>
      <c r="AQ881" s="84" t="str">
        <f>UPPER(RIGHT(Journal_Live[[#This Row],[DURATION ]]))</f>
        <v/>
      </c>
      <c r="AR881" s="49"/>
      <c r="AS881" s="55"/>
      <c r="AT881" s="55"/>
      <c r="AU881" s="54"/>
      <c r="AV881" s="56"/>
      <c r="AW881" s="57"/>
      <c r="AX881" s="151" t="s">
        <v>2744</v>
      </c>
      <c r="AY881" s="151" t="s">
        <v>2745</v>
      </c>
      <c r="AZ881" s="151" t="s">
        <v>2746</v>
      </c>
      <c r="BA881" s="151" t="s">
        <v>2747</v>
      </c>
      <c r="BB881" s="153" t="s">
        <v>2748</v>
      </c>
      <c r="BC881" s="153"/>
      <c r="BD881" s="151"/>
      <c r="BE881" s="152"/>
      <c r="BF881" s="151"/>
      <c r="BG881" s="94">
        <f>SUM($AV$4:AV881)</f>
        <v>6686.2108375297139</v>
      </c>
      <c r="BH881" s="95">
        <f>SUM($AU$4:AU881)</f>
        <v>42556.423836163201</v>
      </c>
      <c r="BI881" s="80">
        <f>SUMIFS($AU$3:AU892,$Q$3:Q892,"F")</f>
        <v>29235.078121878127</v>
      </c>
      <c r="BJ881" s="80">
        <f>SUMIFS($AU$3:AU892,$Q$3:Q892,"S")</f>
        <v>17938.285714285706</v>
      </c>
      <c r="BK881" s="87">
        <f>SUMIFS($AU$3:AU892,$P$3:P892,"W")</f>
        <v>17144.143836163403</v>
      </c>
      <c r="BL881" s="87">
        <f>SUMIFS($AU$3:AU892,$P$3:P892,"R")</f>
        <v>22616.400000000325</v>
      </c>
      <c r="BM881" s="87">
        <f>SUMIFS($AU$3:AU892,$AQ$3:AQ892,"M")</f>
        <v>8875.1799999983887</v>
      </c>
      <c r="BN881" s="87">
        <f>SUMIFS($AU$3:AU892,$AQ$3:AQ892,"H")</f>
        <v>11643.200000000877</v>
      </c>
      <c r="BO881" s="87">
        <f>SUMIFS($AU$3:AU892,$AQ$3:AQ892,"D")</f>
        <v>13122.377472527351</v>
      </c>
      <c r="BP881" s="87">
        <f>SUMIFS($AS$3:AS1312,$AO$3:AO1312,"W")</f>
        <v>0</v>
      </c>
      <c r="BQ881" s="87">
        <f>SUMIFS($AU$3:AU892,$Q$3:Q892,"O")</f>
        <v>-9340.9400000006026</v>
      </c>
      <c r="BR881" s="87">
        <f>SUMIFS($AU$3:AU892,$AA$3:AA892,"*")</f>
        <v>37881.5220779214</v>
      </c>
      <c r="BS881" s="87">
        <f>SUMIFS($AU$3:AU892,$AB$3:AB892,"*")</f>
        <v>7475.8599999999715</v>
      </c>
      <c r="BT881" s="87">
        <f>SUMIFS($AU$3:AU892,$AC$3:AC892,"*")</f>
        <v>33251.078121878119</v>
      </c>
      <c r="BU881" s="87">
        <f>SUMIFS($AU$3:AU892,$AA$3:AA892,"*",$AB$3:AB892,"*")</f>
        <v>7915.9999999997544</v>
      </c>
      <c r="BV881" s="87">
        <f>SUMIFS($AU$3:AU892,$AA$3:AA892,"*",$AC$3:AC892,"*")</f>
        <v>29696.036363636529</v>
      </c>
      <c r="BW881" s="87">
        <f>SUMIFS($AU$3:AU892,$AB$3:AB892,"*",$AC$3:AC892,"*")</f>
        <v>3863.9999999999991</v>
      </c>
      <c r="BX881" s="87">
        <f>SUMIFS($AV$3:AV892,$Q$3:Q892,"F")</f>
        <v>383.04019562430165</v>
      </c>
      <c r="BY881" s="87">
        <f>SUMIFS($AV$3:AV892,$Q$3:Q892,"S")</f>
        <v>676.61134190572739</v>
      </c>
      <c r="BZ881" s="87">
        <f>SUMIFS($AV$3:AV892,$Q$3:Q892,"O")</f>
        <v>378.55929999967736</v>
      </c>
    </row>
    <row r="882" spans="1:78" ht="15.75" customHeight="1">
      <c r="A882" s="45" t="s">
        <v>2311</v>
      </c>
      <c r="B882" s="59"/>
      <c r="C882" s="46"/>
      <c r="D882" s="46"/>
      <c r="E882" s="66"/>
      <c r="F882" s="47"/>
      <c r="G882" s="48"/>
      <c r="H882" s="49"/>
      <c r="I882" s="49"/>
      <c r="J882" s="49"/>
      <c r="K882" s="50"/>
      <c r="L882" s="49"/>
      <c r="M882" s="49"/>
      <c r="N882" s="49"/>
      <c r="O882" s="50"/>
      <c r="P882" s="50"/>
      <c r="Q882" s="50"/>
      <c r="R882" s="50"/>
      <c r="S882" s="50"/>
      <c r="T882" s="50"/>
      <c r="U882" s="50"/>
      <c r="V882" s="50"/>
      <c r="W882" s="50"/>
      <c r="X882" s="50"/>
      <c r="Y882" s="50"/>
      <c r="Z882" s="50"/>
      <c r="AA882" s="52"/>
      <c r="AB882" s="52"/>
      <c r="AC882" s="52"/>
      <c r="AD882" s="231"/>
      <c r="AE882" s="49"/>
      <c r="AF882" s="84"/>
      <c r="AG882" s="49"/>
      <c r="AH882" s="49"/>
      <c r="AI882" s="49"/>
      <c r="AJ882" s="226"/>
      <c r="AK882" s="49"/>
      <c r="AL882" s="113">
        <f t="shared" si="342"/>
        <v>0</v>
      </c>
      <c r="AM882" s="113">
        <f t="shared" si="356"/>
        <v>0</v>
      </c>
      <c r="AN882" s="218"/>
      <c r="AO882" s="49"/>
      <c r="AP882" s="49"/>
      <c r="AQ882" s="84" t="str">
        <f>UPPER(RIGHT(Journal_Live[[#This Row],[DURATION ]]))</f>
        <v/>
      </c>
      <c r="AR882" s="49"/>
      <c r="AS882" s="55"/>
      <c r="AT882" s="55"/>
      <c r="AU882" s="54"/>
      <c r="AV882" s="56"/>
      <c r="AW882" s="57"/>
      <c r="AX882" s="151" t="s">
        <v>2749</v>
      </c>
      <c r="AY882" s="151" t="s">
        <v>2750</v>
      </c>
      <c r="AZ882" s="151" t="s">
        <v>2751</v>
      </c>
      <c r="BA882" s="153" t="s">
        <v>2752</v>
      </c>
      <c r="BB882" s="151" t="s">
        <v>2753</v>
      </c>
      <c r="BC882" s="153"/>
      <c r="BD882" s="151"/>
      <c r="BE882" s="152"/>
      <c r="BF882" s="151"/>
      <c r="BG882" s="94">
        <f>SUM($AV$4:AV882)</f>
        <v>6686.2108375297139</v>
      </c>
      <c r="BH882" s="95">
        <f>SUM($AU$4:AU882)</f>
        <v>42556.423836163201</v>
      </c>
      <c r="BI882" s="80">
        <f>SUMIFS($AU$3:AU893,$Q$3:Q893,"F")</f>
        <v>29235.078121878127</v>
      </c>
      <c r="BJ882" s="80">
        <f>SUMIFS($AU$3:AU893,$Q$3:Q893,"S")</f>
        <v>17938.285714285706</v>
      </c>
      <c r="BK882" s="87">
        <f>SUMIFS($AU$3:AU893,$P$3:P893,"W")</f>
        <v>17144.143836163403</v>
      </c>
      <c r="BL882" s="87">
        <f>SUMIFS($AU$3:AU893,$P$3:P893,"R")</f>
        <v>22616.400000000325</v>
      </c>
      <c r="BM882" s="87">
        <f>SUMIFS($AU$3:AU893,$AQ$3:AQ893,"M")</f>
        <v>8875.1799999983887</v>
      </c>
      <c r="BN882" s="87">
        <f>SUMIFS($AU$3:AU893,$AQ$3:AQ893,"H")</f>
        <v>11643.200000000877</v>
      </c>
      <c r="BO882" s="87">
        <f>SUMIFS($AU$3:AU893,$AQ$3:AQ893,"D")</f>
        <v>13122.377472527351</v>
      </c>
      <c r="BP882" s="87">
        <f>SUMIFS($AS$3:AS1313,$AO$3:AO1313,"W")</f>
        <v>0</v>
      </c>
      <c r="BQ882" s="87">
        <f>SUMIFS($AU$3:AU893,$Q$3:Q893,"O")</f>
        <v>-9340.9400000006026</v>
      </c>
      <c r="BR882" s="87">
        <f>SUMIFS($AU$3:AU893,$AA$3:AA893,"*")</f>
        <v>37881.5220779214</v>
      </c>
      <c r="BS882" s="87">
        <f>SUMIFS($AU$3:AU893,$AB$3:AB893,"*")</f>
        <v>7475.8599999999715</v>
      </c>
      <c r="BT882" s="87">
        <f>SUMIFS($AU$3:AU893,$AC$3:AC893,"*")</f>
        <v>33251.078121878119</v>
      </c>
      <c r="BU882" s="87">
        <f>SUMIFS($AU$3:AU893,$AA$3:AA893,"*",$AB$3:AB893,"*")</f>
        <v>7915.9999999997544</v>
      </c>
      <c r="BV882" s="87">
        <f>SUMIFS($AU$3:AU893,$AA$3:AA893,"*",$AC$3:AC893,"*")</f>
        <v>29696.036363636529</v>
      </c>
      <c r="BW882" s="87">
        <f>SUMIFS($AU$3:AU893,$AB$3:AB893,"*",$AC$3:AC893,"*")</f>
        <v>3863.9999999999991</v>
      </c>
      <c r="BX882" s="87">
        <f>SUMIFS($AV$3:AV893,$Q$3:Q893,"F")</f>
        <v>383.04019562430165</v>
      </c>
      <c r="BY882" s="87">
        <f>SUMIFS($AV$3:AV893,$Q$3:Q893,"S")</f>
        <v>676.61134190572739</v>
      </c>
      <c r="BZ882" s="87">
        <f>SUMIFS($AV$3:AV893,$Q$3:Q893,"O")</f>
        <v>378.55929999967736</v>
      </c>
    </row>
    <row r="883" spans="1:78" ht="15.75" customHeight="1">
      <c r="A883" s="45" t="s">
        <v>2311</v>
      </c>
      <c r="B883" s="59"/>
      <c r="C883" s="46"/>
      <c r="D883" s="46"/>
      <c r="E883" s="66"/>
      <c r="F883" s="47"/>
      <c r="G883" s="48"/>
      <c r="H883" s="49"/>
      <c r="I883" s="49"/>
      <c r="J883" s="49"/>
      <c r="K883" s="50"/>
      <c r="L883" s="49"/>
      <c r="M883" s="49"/>
      <c r="N883" s="49"/>
      <c r="O883" s="50"/>
      <c r="P883" s="50"/>
      <c r="Q883" s="50"/>
      <c r="R883" s="50"/>
      <c r="S883" s="50"/>
      <c r="T883" s="50"/>
      <c r="U883" s="50"/>
      <c r="V883" s="50"/>
      <c r="W883" s="50"/>
      <c r="X883" s="50"/>
      <c r="Y883" s="51"/>
      <c r="Z883" s="52"/>
      <c r="AA883" s="52"/>
      <c r="AB883" s="52"/>
      <c r="AC883" s="52"/>
      <c r="AD883" s="231"/>
      <c r="AE883" s="49"/>
      <c r="AF883" s="84"/>
      <c r="AG883" s="49"/>
      <c r="AH883" s="49"/>
      <c r="AI883" s="49"/>
      <c r="AJ883" s="226"/>
      <c r="AK883" s="49"/>
      <c r="AL883" s="113">
        <f t="shared" si="342"/>
        <v>0</v>
      </c>
      <c r="AM883" s="113">
        <f t="shared" si="356"/>
        <v>0</v>
      </c>
      <c r="AN883" s="218"/>
      <c r="AO883" s="49"/>
      <c r="AP883" s="49"/>
      <c r="AQ883" s="84" t="str">
        <f>UPPER(RIGHT(Journal_Live[[#This Row],[DURATION ]]))</f>
        <v/>
      </c>
      <c r="AR883" s="49"/>
      <c r="AS883" s="55"/>
      <c r="AT883" s="55"/>
      <c r="AU883" s="54"/>
      <c r="AV883" s="56"/>
      <c r="AW883" s="57"/>
      <c r="AX883" s="153"/>
      <c r="AY883" s="153"/>
      <c r="AZ883" s="153"/>
      <c r="BA883" s="153"/>
      <c r="BB883" s="153"/>
      <c r="BC883" s="153"/>
      <c r="BD883" s="151"/>
      <c r="BE883" s="152"/>
      <c r="BF883" s="151"/>
      <c r="BG883" s="94">
        <f>SUM($AV$4:AV883)</f>
        <v>6686.2108375297139</v>
      </c>
      <c r="BH883" s="95">
        <f>SUM($AU$4:AU883)</f>
        <v>42556.423836163201</v>
      </c>
      <c r="BI883" s="80">
        <f>SUMIFS($AU$3:AU885,$Q$3:Q885,"F")</f>
        <v>29235.078121878127</v>
      </c>
      <c r="BJ883" s="80">
        <f>SUMIFS($AU$3:AU885,$Q$3:Q885,"S")</f>
        <v>17938.285714285706</v>
      </c>
      <c r="BK883" s="87">
        <f>SUMIFS($AU$3:AU885,$P$3:P885,"W")</f>
        <v>17144.143836163403</v>
      </c>
      <c r="BL883" s="87">
        <f>SUMIFS($AU$3:AU885,$P$3:P885,"R")</f>
        <v>22616.400000000325</v>
      </c>
      <c r="BM883" s="87">
        <f>SUMIFS($AU$3:AU885,$AQ$3:AQ885,"M")</f>
        <v>8875.1799999983887</v>
      </c>
      <c r="BN883" s="87">
        <f>SUMIFS($AU$3:AU885,$AQ$3:AQ885,"H")</f>
        <v>11643.200000000877</v>
      </c>
      <c r="BO883" s="87">
        <f>SUMIFS($AU$3:AU885,$AQ$3:AQ885,"D")</f>
        <v>13122.377472527351</v>
      </c>
      <c r="BP883" s="87">
        <f>SUMIFS($AS$3:AS1305,$AO$3:AO1305,"W")</f>
        <v>0</v>
      </c>
      <c r="BQ883" s="87">
        <f>SUMIFS($AU$3:AU885,$Q$3:Q885,"O")</f>
        <v>-9340.9400000006026</v>
      </c>
      <c r="BR883" s="87">
        <f>SUMIFS($AU$3:AU885,$AA$3:AA885,"*")</f>
        <v>37881.5220779214</v>
      </c>
      <c r="BS883" s="87">
        <f>SUMIFS($AU$3:AU885,$AB$3:AB885,"*")</f>
        <v>7475.8599999999715</v>
      </c>
      <c r="BT883" s="87">
        <f>SUMIFS($AU$3:AU885,$AC$3:AC885,"*")</f>
        <v>33251.078121878119</v>
      </c>
      <c r="BU883" s="87">
        <f>SUMIFS($AU$3:AU885,$AA$3:AA885,"*",$AB$3:AB885,"*")</f>
        <v>7915.9999999997544</v>
      </c>
      <c r="BV883" s="87">
        <f>SUMIFS($AU$3:AU885,$AA$3:AA885,"*",$AC$3:AC885,"*")</f>
        <v>29696.036363636529</v>
      </c>
      <c r="BW883" s="87">
        <f>SUMIFS($AU$3:AU885,$AB$3:AB885,"*",$AC$3:AC885,"*")</f>
        <v>3863.9999999999991</v>
      </c>
      <c r="BX883" s="87">
        <f>SUMIFS($AV$3:AV885,$Q$3:Q885,"F")</f>
        <v>383.04019562430165</v>
      </c>
      <c r="BY883" s="87">
        <f>SUMIFS($AV$3:AV885,$Q$3:Q885,"S")</f>
        <v>676.61134190572739</v>
      </c>
      <c r="BZ883" s="87">
        <f>SUMIFS($AV$3:AV885,$Q$3:Q885,"O")</f>
        <v>378.55929999967736</v>
      </c>
    </row>
    <row r="884" spans="1:78" ht="15.75" customHeight="1">
      <c r="A884" s="45" t="s">
        <v>2311</v>
      </c>
      <c r="B884" s="59">
        <v>45471</v>
      </c>
      <c r="C884" s="46"/>
      <c r="D884" s="46" t="s">
        <v>115</v>
      </c>
      <c r="E884" s="66"/>
      <c r="F884" s="47"/>
      <c r="G884" s="48" t="s">
        <v>2754</v>
      </c>
      <c r="H884" s="49"/>
      <c r="I884" s="49"/>
      <c r="J884" s="49"/>
      <c r="K884" s="50"/>
      <c r="L884" s="49"/>
      <c r="M884" s="49"/>
      <c r="N884" s="49"/>
      <c r="O884" s="50"/>
      <c r="P884" s="50"/>
      <c r="Q884" s="50"/>
      <c r="R884" s="50"/>
      <c r="S884" s="50"/>
      <c r="T884" s="50"/>
      <c r="U884" s="50"/>
      <c r="V884" s="50"/>
      <c r="W884" s="50"/>
      <c r="X884" s="50"/>
      <c r="Y884" s="51"/>
      <c r="Z884" s="52"/>
      <c r="AA884" s="52"/>
      <c r="AB884" s="52"/>
      <c r="AC884" s="52"/>
      <c r="AD884" s="231"/>
      <c r="AE884" s="49"/>
      <c r="AF884" s="84">
        <v>2</v>
      </c>
      <c r="AG884" s="49"/>
      <c r="AH884" s="49"/>
      <c r="AI884" s="49"/>
      <c r="AJ884" s="226"/>
      <c r="AK884" s="49"/>
      <c r="AL884" s="113">
        <f>-0.02*Z884</f>
        <v>0</v>
      </c>
      <c r="AM884" s="113">
        <f t="shared" si="356"/>
        <v>0</v>
      </c>
      <c r="AN884" s="218" t="s">
        <v>186</v>
      </c>
      <c r="AO884" s="49"/>
      <c r="AP884" s="49"/>
      <c r="AQ884" s="84" t="str">
        <f>UPPER(RIGHT(Journal_Live[[#This Row],[DURATION ]]))</f>
        <v/>
      </c>
      <c r="AR884" s="49"/>
      <c r="AS884" s="55"/>
      <c r="AT884" s="55"/>
      <c r="AU884" s="54"/>
      <c r="AV884" s="56"/>
      <c r="AW884" s="57"/>
      <c r="AX884" s="153" t="s">
        <v>2755</v>
      </c>
      <c r="AY884" s="153"/>
      <c r="AZ884" s="153"/>
      <c r="BA884" s="153"/>
      <c r="BB884" s="153"/>
      <c r="BC884" s="153"/>
      <c r="BD884" s="151"/>
      <c r="BE884" s="152"/>
      <c r="BF884" s="151"/>
      <c r="BG884" s="94">
        <f>SUM($AV$4:AV884)</f>
        <v>6686.2108375297139</v>
      </c>
      <c r="BH884" s="95">
        <f>SUM($AU$4:AU884)</f>
        <v>42556.423836163201</v>
      </c>
      <c r="BI884" s="80">
        <f>SUMIFS($AU$3:AU886,$Q$3:Q886,"F")</f>
        <v>29235.078121878127</v>
      </c>
      <c r="BJ884" s="80">
        <f>SUMIFS($AU$3:AU886,$Q$3:Q886,"S")</f>
        <v>17938.285714285706</v>
      </c>
      <c r="BK884" s="87">
        <f>SUMIFS($AU$3:AU886,$P$3:P886,"W")</f>
        <v>17144.143836163403</v>
      </c>
      <c r="BL884" s="87">
        <f>SUMIFS($AU$3:AU886,$P$3:P886,"R")</f>
        <v>22616.400000000325</v>
      </c>
      <c r="BM884" s="87">
        <f>SUMIFS($AU$3:AU886,$AQ$3:AQ886,"M")</f>
        <v>8875.1799999983887</v>
      </c>
      <c r="BN884" s="87">
        <f>SUMIFS($AU$3:AU886,$AQ$3:AQ886,"H")</f>
        <v>11643.200000000877</v>
      </c>
      <c r="BO884" s="87">
        <f>SUMIFS($AU$3:AU886,$AQ$3:AQ886,"D")</f>
        <v>13122.377472527351</v>
      </c>
      <c r="BP884" s="87">
        <f>SUMIFS($AS$3:AS1306,$AO$3:AO1306,"W")</f>
        <v>0</v>
      </c>
      <c r="BQ884" s="87">
        <f>SUMIFS($AU$3:AU886,$Q$3:Q886,"O")</f>
        <v>-9340.9400000006026</v>
      </c>
      <c r="BR884" s="87">
        <f>SUMIFS($AU$3:AU886,$AA$3:AA886,"*")</f>
        <v>37881.5220779214</v>
      </c>
      <c r="BS884" s="87">
        <f>SUMIFS($AU$3:AU886,$AB$3:AB886,"*")</f>
        <v>7475.8599999999715</v>
      </c>
      <c r="BT884" s="87">
        <f>SUMIFS($AU$3:AU886,$AC$3:AC886,"*")</f>
        <v>33251.078121878119</v>
      </c>
      <c r="BU884" s="87">
        <f>SUMIFS($AU$3:AU886,$AA$3:AA886,"*",$AB$3:AB886,"*")</f>
        <v>7915.9999999997544</v>
      </c>
      <c r="BV884" s="87">
        <f>SUMIFS($AU$3:AU886,$AA$3:AA886,"*",$AC$3:AC886,"*")</f>
        <v>29696.036363636529</v>
      </c>
      <c r="BW884" s="87">
        <f>SUMIFS($AU$3:AU886,$AB$3:AB886,"*",$AC$3:AC886,"*")</f>
        <v>3863.9999999999991</v>
      </c>
      <c r="BX884" s="87">
        <f>SUMIFS($AV$3:AV886,$Q$3:Q886,"F")</f>
        <v>383.04019562430165</v>
      </c>
      <c r="BY884" s="87">
        <f>SUMIFS($AV$3:AV886,$Q$3:Q886,"S")</f>
        <v>676.61134190572739</v>
      </c>
      <c r="BZ884" s="87">
        <f>SUMIFS($AV$3:AV886,$Q$3:Q886,"O")</f>
        <v>378.55929999967736</v>
      </c>
    </row>
    <row r="885" spans="1:78" ht="15.75" customHeight="1">
      <c r="A885" s="45" t="s">
        <v>2311</v>
      </c>
      <c r="B885" s="59"/>
      <c r="C885" s="46"/>
      <c r="D885" s="46"/>
      <c r="E885" s="66"/>
      <c r="F885" s="47"/>
      <c r="G885" s="48" t="s">
        <v>2756</v>
      </c>
      <c r="H885" s="49"/>
      <c r="I885" s="49"/>
      <c r="J885" s="49"/>
      <c r="K885" s="50"/>
      <c r="L885" s="49"/>
      <c r="M885" s="49"/>
      <c r="N885" s="49"/>
      <c r="O885" s="50"/>
      <c r="P885" s="50"/>
      <c r="Q885" s="50"/>
      <c r="R885" s="50"/>
      <c r="S885" s="50"/>
      <c r="T885" s="50"/>
      <c r="U885" s="50"/>
      <c r="V885" s="50"/>
      <c r="W885" s="50"/>
      <c r="X885" s="50"/>
      <c r="Y885" s="51"/>
      <c r="Z885" s="52"/>
      <c r="AA885" s="52"/>
      <c r="AB885" s="52"/>
      <c r="AC885" s="52"/>
      <c r="AD885" s="231"/>
      <c r="AE885" s="49"/>
      <c r="AF885" s="84">
        <v>0</v>
      </c>
      <c r="AG885" s="49"/>
      <c r="AH885" s="49"/>
      <c r="AI885" s="49"/>
      <c r="AJ885" s="226"/>
      <c r="AK885" s="49"/>
      <c r="AL885" s="113">
        <f>-0.02*Z885</f>
        <v>0</v>
      </c>
      <c r="AM885" s="113">
        <f t="shared" si="356"/>
        <v>0</v>
      </c>
      <c r="AN885" s="218" t="s">
        <v>186</v>
      </c>
      <c r="AO885" s="49"/>
      <c r="AP885" s="49"/>
      <c r="AQ885" s="84" t="str">
        <f>UPPER(RIGHT(Journal_Live[[#This Row],[DURATION ]]))</f>
        <v/>
      </c>
      <c r="AR885" s="49"/>
      <c r="AS885" s="55"/>
      <c r="AT885" s="55"/>
      <c r="AU885" s="54"/>
      <c r="AV885" s="56"/>
      <c r="AW885" s="57"/>
      <c r="AX885" s="153"/>
      <c r="AY885" s="153"/>
      <c r="AZ885" s="153"/>
      <c r="BA885" s="153"/>
      <c r="BB885" s="153"/>
      <c r="BC885" s="153"/>
      <c r="BD885" s="151"/>
      <c r="BE885" s="152"/>
      <c r="BF885" s="151"/>
      <c r="BG885" s="94">
        <f>SUM($AV$4:AV885)</f>
        <v>6686.2108375297139</v>
      </c>
      <c r="BH885" s="95">
        <f>SUM($AU$4:AU885)</f>
        <v>42556.423836163201</v>
      </c>
      <c r="BI885" s="80">
        <f>SUMIFS($AU$3:AU887,$Q$3:Q887,"F")</f>
        <v>29235.078121878127</v>
      </c>
      <c r="BJ885" s="80">
        <f>SUMIFS($AU$3:AU887,$Q$3:Q887,"S")</f>
        <v>17938.285714285706</v>
      </c>
      <c r="BK885" s="87">
        <f>SUMIFS($AU$3:AU887,$P$3:P887,"W")</f>
        <v>17144.143836163403</v>
      </c>
      <c r="BL885" s="87">
        <f>SUMIFS($AU$3:AU887,$P$3:P887,"R")</f>
        <v>22616.400000000325</v>
      </c>
      <c r="BM885" s="87">
        <f>SUMIFS($AU$3:AU887,$AQ$3:AQ887,"M")</f>
        <v>8875.1799999983887</v>
      </c>
      <c r="BN885" s="87">
        <f>SUMIFS($AU$3:AU887,$AQ$3:AQ887,"H")</f>
        <v>11643.200000000877</v>
      </c>
      <c r="BO885" s="87">
        <f>SUMIFS($AU$3:AU887,$AQ$3:AQ887,"D")</f>
        <v>13122.377472527351</v>
      </c>
      <c r="BP885" s="87">
        <f>SUMIFS($AS$3:AS1307,$AO$3:AO1307,"W")</f>
        <v>0</v>
      </c>
      <c r="BQ885" s="87">
        <f>SUMIFS($AU$3:AU887,$Q$3:Q887,"O")</f>
        <v>-9340.9400000006026</v>
      </c>
      <c r="BR885" s="87">
        <f>SUMIFS($AU$3:AU887,$AA$3:AA887,"*")</f>
        <v>37881.5220779214</v>
      </c>
      <c r="BS885" s="87">
        <f>SUMIFS($AU$3:AU887,$AB$3:AB887,"*")</f>
        <v>7475.8599999999715</v>
      </c>
      <c r="BT885" s="87">
        <f>SUMIFS($AU$3:AU887,$AC$3:AC887,"*")</f>
        <v>33251.078121878119</v>
      </c>
      <c r="BU885" s="87">
        <f>SUMIFS($AU$3:AU887,$AA$3:AA887,"*",$AB$3:AB887,"*")</f>
        <v>7915.9999999997544</v>
      </c>
      <c r="BV885" s="87">
        <f>SUMIFS($AU$3:AU887,$AA$3:AA887,"*",$AC$3:AC887,"*")</f>
        <v>29696.036363636529</v>
      </c>
      <c r="BW885" s="87">
        <f>SUMIFS($AU$3:AU887,$AB$3:AB887,"*",$AC$3:AC887,"*")</f>
        <v>3863.9999999999991</v>
      </c>
      <c r="BX885" s="87">
        <f>SUMIFS($AV$3:AV887,$Q$3:Q887,"F")</f>
        <v>383.04019562430165</v>
      </c>
      <c r="BY885" s="87">
        <f>SUMIFS($AV$3:AV887,$Q$3:Q887,"S")</f>
        <v>676.61134190572739</v>
      </c>
      <c r="BZ885" s="87">
        <f>SUMIFS($AV$3:AV887,$Q$3:Q887,"O")</f>
        <v>378.55929999967736</v>
      </c>
    </row>
    <row r="886" spans="1:78" ht="15.75" customHeight="1">
      <c r="A886" s="45" t="s">
        <v>2311</v>
      </c>
      <c r="B886" s="59"/>
      <c r="C886" s="46"/>
      <c r="D886" s="46"/>
      <c r="E886" s="66"/>
      <c r="F886" s="47"/>
      <c r="G886" s="48"/>
      <c r="H886" s="49"/>
      <c r="I886" s="49"/>
      <c r="J886" s="49"/>
      <c r="K886" s="50"/>
      <c r="L886" s="49"/>
      <c r="M886" s="49"/>
      <c r="N886" s="49"/>
      <c r="O886" s="50"/>
      <c r="P886" s="50"/>
      <c r="Q886" s="50"/>
      <c r="R886" s="50"/>
      <c r="S886" s="50"/>
      <c r="T886" s="50"/>
      <c r="U886" s="50"/>
      <c r="V886" s="50"/>
      <c r="W886" s="50"/>
      <c r="X886" s="50"/>
      <c r="Y886" s="51"/>
      <c r="Z886" s="52"/>
      <c r="AA886" s="52"/>
      <c r="AB886" s="52"/>
      <c r="AC886" s="52"/>
      <c r="AD886" s="231"/>
      <c r="AE886" s="49"/>
      <c r="AF886" s="84"/>
      <c r="AG886" s="49"/>
      <c r="AH886" s="49"/>
      <c r="AI886" s="49"/>
      <c r="AJ886" s="226"/>
      <c r="AK886" s="49"/>
      <c r="AL886" s="113">
        <f t="shared" si="342"/>
        <v>0</v>
      </c>
      <c r="AM886" s="113">
        <f t="shared" si="356"/>
        <v>0</v>
      </c>
      <c r="AN886" s="218"/>
      <c r="AO886" s="49"/>
      <c r="AP886" s="49"/>
      <c r="AQ886" s="84" t="str">
        <f>UPPER(RIGHT(Journal_Live[[#This Row],[DURATION ]]))</f>
        <v/>
      </c>
      <c r="AR886" s="49"/>
      <c r="AS886" s="55"/>
      <c r="AT886" s="55"/>
      <c r="AU886" s="54"/>
      <c r="AV886" s="56"/>
      <c r="AW886" s="57"/>
      <c r="AX886" s="151" t="s">
        <v>2757</v>
      </c>
      <c r="AY886" s="151" t="s">
        <v>2758</v>
      </c>
      <c r="AZ886" s="151" t="s">
        <v>2759</v>
      </c>
      <c r="BA886" s="153" t="s">
        <v>2760</v>
      </c>
      <c r="BB886" s="153" t="s">
        <v>2761</v>
      </c>
      <c r="BC886" s="151" t="s">
        <v>2762</v>
      </c>
      <c r="BD886" s="151"/>
      <c r="BE886" s="152"/>
      <c r="BF886" s="151"/>
      <c r="BG886" s="94">
        <f>SUM($AV$4:AV886)</f>
        <v>6686.2108375297139</v>
      </c>
      <c r="BH886" s="95">
        <f>SUM($AU$4:AU886)</f>
        <v>42556.423836163201</v>
      </c>
      <c r="BI886" s="80">
        <f>SUMIFS($AU$3:AU888,$Q$3:Q888,"F")</f>
        <v>29235.078121878127</v>
      </c>
      <c r="BJ886" s="80">
        <f>SUMIFS($AU$3:AU888,$Q$3:Q888,"S")</f>
        <v>17938.285714285706</v>
      </c>
      <c r="BK886" s="87">
        <f>SUMIFS($AU$3:AU888,$P$3:P888,"W")</f>
        <v>17144.143836163403</v>
      </c>
      <c r="BL886" s="87">
        <f>SUMIFS($AU$3:AU888,$P$3:P888,"R")</f>
        <v>22616.400000000325</v>
      </c>
      <c r="BM886" s="87">
        <f>SUMIFS($AU$3:AU888,$AQ$3:AQ888,"M")</f>
        <v>8875.1799999983887</v>
      </c>
      <c r="BN886" s="87">
        <f>SUMIFS($AU$3:AU888,$AQ$3:AQ888,"H")</f>
        <v>11643.200000000877</v>
      </c>
      <c r="BO886" s="87">
        <f>SUMIFS($AU$3:AU888,$AQ$3:AQ888,"D")</f>
        <v>13122.377472527351</v>
      </c>
      <c r="BP886" s="87">
        <f>SUMIFS($AS$3:AS1308,$AO$3:AO1308,"W")</f>
        <v>0</v>
      </c>
      <c r="BQ886" s="87">
        <f>SUMIFS($AU$3:AU888,$Q$3:Q888,"O")</f>
        <v>-9340.9400000006026</v>
      </c>
      <c r="BR886" s="87">
        <f>SUMIFS($AU$3:AU888,$AA$3:AA888,"*")</f>
        <v>37881.5220779214</v>
      </c>
      <c r="BS886" s="87">
        <f>SUMIFS($AU$3:AU888,$AB$3:AB888,"*")</f>
        <v>7475.8599999999715</v>
      </c>
      <c r="BT886" s="87">
        <f>SUMIFS($AU$3:AU888,$AC$3:AC888,"*")</f>
        <v>33251.078121878119</v>
      </c>
      <c r="BU886" s="87">
        <f>SUMIFS($AU$3:AU888,$AA$3:AA888,"*",$AB$3:AB888,"*")</f>
        <v>7915.9999999997544</v>
      </c>
      <c r="BV886" s="87">
        <f>SUMIFS($AU$3:AU888,$AA$3:AA888,"*",$AC$3:AC888,"*")</f>
        <v>29696.036363636529</v>
      </c>
      <c r="BW886" s="87">
        <f>SUMIFS($AU$3:AU888,$AB$3:AB888,"*",$AC$3:AC888,"*")</f>
        <v>3863.9999999999991</v>
      </c>
      <c r="BX886" s="87">
        <f>SUMIFS($AV$3:AV888,$Q$3:Q888,"F")</f>
        <v>383.04019562430165</v>
      </c>
      <c r="BY886" s="87">
        <f>SUMIFS($AV$3:AV888,$Q$3:Q888,"S")</f>
        <v>676.61134190572739</v>
      </c>
      <c r="BZ886" s="87">
        <f>SUMIFS($AV$3:AV888,$Q$3:Q888,"O")</f>
        <v>378.55929999967736</v>
      </c>
    </row>
    <row r="887" spans="1:78" ht="15.75" customHeight="1">
      <c r="A887" s="45" t="s">
        <v>2763</v>
      </c>
      <c r="B887" s="59"/>
      <c r="C887" s="46"/>
      <c r="D887" s="46"/>
      <c r="E887" s="66"/>
      <c r="F887" s="47"/>
      <c r="G887" s="48"/>
      <c r="H887" s="49"/>
      <c r="I887" s="49"/>
      <c r="J887" s="49"/>
      <c r="K887" s="50"/>
      <c r="L887" s="49"/>
      <c r="M887" s="49"/>
      <c r="N887" s="49"/>
      <c r="O887" s="50"/>
      <c r="P887" s="50"/>
      <c r="Q887" s="50"/>
      <c r="R887" s="50"/>
      <c r="S887" s="50"/>
      <c r="T887" s="50"/>
      <c r="U887" s="50"/>
      <c r="V887" s="50"/>
      <c r="W887" s="50"/>
      <c r="X887" s="50"/>
      <c r="Y887" s="51"/>
      <c r="Z887" s="52"/>
      <c r="AA887" s="52"/>
      <c r="AB887" s="52"/>
      <c r="AC887" s="52"/>
      <c r="AD887" s="231"/>
      <c r="AE887" s="49"/>
      <c r="AF887" s="84"/>
      <c r="AG887" s="49"/>
      <c r="AH887" s="49"/>
      <c r="AI887" s="49"/>
      <c r="AJ887" s="226"/>
      <c r="AK887" s="49"/>
      <c r="AL887" s="113">
        <f t="shared" si="342"/>
        <v>0</v>
      </c>
      <c r="AM887" s="113">
        <f t="shared" si="356"/>
        <v>0</v>
      </c>
      <c r="AN887" s="218"/>
      <c r="AO887" s="49"/>
      <c r="AP887" s="49"/>
      <c r="AQ887" s="84" t="str">
        <f>UPPER(RIGHT(Journal_Live[[#This Row],[DURATION ]]))</f>
        <v/>
      </c>
      <c r="AR887" s="49"/>
      <c r="AS887" s="55"/>
      <c r="AT887" s="55"/>
      <c r="AU887" s="54"/>
      <c r="AV887" s="56"/>
      <c r="AW887" s="57"/>
      <c r="AX887" s="197" t="s">
        <v>2764</v>
      </c>
      <c r="AY887" s="153"/>
      <c r="AZ887" s="153"/>
      <c r="BA887" s="153"/>
      <c r="BB887" s="153"/>
      <c r="BC887" s="153"/>
      <c r="BD887" s="151"/>
      <c r="BE887" s="152"/>
      <c r="BF887" s="151"/>
      <c r="BG887" s="94">
        <f>SUM($AV$4:AV887)</f>
        <v>6686.2108375297139</v>
      </c>
      <c r="BH887" s="95">
        <f>SUM($AU$4:AU887)</f>
        <v>42556.423836163201</v>
      </c>
      <c r="BI887" s="80">
        <f>SUMIFS($AU$3:AU889,$Q$3:Q889,"F")</f>
        <v>29235.078121878127</v>
      </c>
      <c r="BJ887" s="80">
        <f>SUMIFS($AU$3:AU889,$Q$3:Q889,"S")</f>
        <v>17938.285714285706</v>
      </c>
      <c r="BK887" s="87">
        <f>SUMIFS($AU$3:AU889,$P$3:P889,"W")</f>
        <v>17144.143836163403</v>
      </c>
      <c r="BL887" s="87">
        <f>SUMIFS($AU$3:AU889,$P$3:P889,"R")</f>
        <v>22616.400000000325</v>
      </c>
      <c r="BM887" s="87">
        <f>SUMIFS($AU$3:AU889,$AQ$3:AQ889,"M")</f>
        <v>8875.1799999983887</v>
      </c>
      <c r="BN887" s="87">
        <f>SUMIFS($AU$3:AU889,$AQ$3:AQ889,"H")</f>
        <v>11643.200000000877</v>
      </c>
      <c r="BO887" s="87">
        <f>SUMIFS($AU$3:AU889,$AQ$3:AQ889,"D")</f>
        <v>13122.377472527351</v>
      </c>
      <c r="BP887" s="87">
        <f>SUMIFS($AS$3:AS1309,$AO$3:AO1309,"W")</f>
        <v>0</v>
      </c>
      <c r="BQ887" s="87">
        <f>SUMIFS($AU$3:AU889,$Q$3:Q889,"O")</f>
        <v>-9340.9400000006026</v>
      </c>
      <c r="BR887" s="87">
        <f>SUMIFS($AU$3:AU889,$AA$3:AA889,"*")</f>
        <v>37881.5220779214</v>
      </c>
      <c r="BS887" s="87">
        <f>SUMIFS($AU$3:AU889,$AB$3:AB889,"*")</f>
        <v>7475.8599999999715</v>
      </c>
      <c r="BT887" s="87">
        <f>SUMIFS($AU$3:AU889,$AC$3:AC889,"*")</f>
        <v>33251.078121878119</v>
      </c>
      <c r="BU887" s="87">
        <f>SUMIFS($AU$3:AU889,$AA$3:AA889,"*",$AB$3:AB889,"*")</f>
        <v>7915.9999999997544</v>
      </c>
      <c r="BV887" s="87">
        <f>SUMIFS($AU$3:AU889,$AA$3:AA889,"*",$AC$3:AC889,"*")</f>
        <v>29696.036363636529</v>
      </c>
      <c r="BW887" s="87">
        <f>SUMIFS($AU$3:AU889,$AB$3:AB889,"*",$AC$3:AC889,"*")</f>
        <v>3863.9999999999991</v>
      </c>
      <c r="BX887" s="87">
        <f>SUMIFS($AV$3:AV889,$Q$3:Q889,"F")</f>
        <v>383.04019562430165</v>
      </c>
      <c r="BY887" s="87">
        <f>SUMIFS($AV$3:AV889,$Q$3:Q889,"S")</f>
        <v>676.61134190572739</v>
      </c>
      <c r="BZ887" s="87">
        <f>SUMIFS($AV$3:AV889,$Q$3:Q889,"O")</f>
        <v>378.55929999967736</v>
      </c>
    </row>
    <row r="888" spans="1:78" ht="15.75" customHeight="1">
      <c r="A888" s="45" t="s">
        <v>2311</v>
      </c>
      <c r="B888" s="59"/>
      <c r="C888" s="46"/>
      <c r="D888" s="46"/>
      <c r="E888" s="66"/>
      <c r="F888" s="47"/>
      <c r="G888" s="48"/>
      <c r="H888" s="49"/>
      <c r="I888" s="49"/>
      <c r="J888" s="49"/>
      <c r="K888" s="50"/>
      <c r="L888" s="49"/>
      <c r="M888" s="49"/>
      <c r="N888" s="49"/>
      <c r="O888" s="50"/>
      <c r="P888" s="50"/>
      <c r="Q888" s="50"/>
      <c r="R888" s="50"/>
      <c r="S888" s="50"/>
      <c r="T888" s="50"/>
      <c r="U888" s="50"/>
      <c r="V888" s="50"/>
      <c r="W888" s="50"/>
      <c r="X888" s="50"/>
      <c r="Y888" s="51"/>
      <c r="Z888" s="52"/>
      <c r="AA888" s="52"/>
      <c r="AB888" s="52"/>
      <c r="AC888" s="52"/>
      <c r="AD888" s="231"/>
      <c r="AE888" s="49"/>
      <c r="AF888" s="84"/>
      <c r="AG888" s="49"/>
      <c r="AH888" s="49"/>
      <c r="AI888" s="49"/>
      <c r="AJ888" s="226"/>
      <c r="AK888" s="49"/>
      <c r="AL888" s="113">
        <f t="shared" ref="AL888" si="357">-0.02*Z888</f>
        <v>0</v>
      </c>
      <c r="AM888" s="113">
        <f t="shared" si="356"/>
        <v>0</v>
      </c>
      <c r="AN888" s="218"/>
      <c r="AO888" s="49"/>
      <c r="AP888" s="49"/>
      <c r="AQ888" s="84" t="str">
        <f>UPPER(RIGHT(Journal_Live[[#This Row],[DURATION ]]))</f>
        <v/>
      </c>
      <c r="AR888" s="49"/>
      <c r="AS888" s="55"/>
      <c r="AT888" s="55"/>
      <c r="AU888" s="54"/>
      <c r="AV888" s="56"/>
      <c r="AW888" s="57"/>
      <c r="AX888" s="195" t="s">
        <v>2765</v>
      </c>
      <c r="AY888" s="195" t="s">
        <v>2766</v>
      </c>
      <c r="AZ888" s="195" t="s">
        <v>2767</v>
      </c>
      <c r="BA888" s="195" t="s">
        <v>2768</v>
      </c>
      <c r="BB888" s="195" t="s">
        <v>2769</v>
      </c>
      <c r="BC888" s="195" t="s">
        <v>2770</v>
      </c>
      <c r="BD888" s="195" t="s">
        <v>2771</v>
      </c>
      <c r="BE888" s="196" t="s">
        <v>2772</v>
      </c>
      <c r="BF888" s="196" t="s">
        <v>2773</v>
      </c>
      <c r="BG888" s="94">
        <f>SUM($AV$4:AV888)</f>
        <v>6686.2108375297139</v>
      </c>
      <c r="BH888" s="95">
        <f>SUM($AU$4:AU888)</f>
        <v>42556.423836163201</v>
      </c>
      <c r="BI888" s="80">
        <f>SUMIFS($AU$3:AU890,$Q$3:Q890,"F")</f>
        <v>29235.078121878127</v>
      </c>
      <c r="BJ888" s="80">
        <f>SUMIFS($AU$3:AU890,$Q$3:Q890,"S")</f>
        <v>17938.285714285706</v>
      </c>
      <c r="BK888" s="87">
        <f>SUMIFS($AU$3:AU890,$P$3:P890,"W")</f>
        <v>17144.143836163403</v>
      </c>
      <c r="BL888" s="87">
        <f>SUMIFS($AU$3:AU890,$P$3:P890,"R")</f>
        <v>22616.400000000325</v>
      </c>
      <c r="BM888" s="87">
        <f>SUMIFS($AU$3:AU890,$AQ$3:AQ890,"M")</f>
        <v>8875.1799999983887</v>
      </c>
      <c r="BN888" s="87">
        <f>SUMIFS($AU$3:AU890,$AQ$3:AQ890,"H")</f>
        <v>11643.200000000877</v>
      </c>
      <c r="BO888" s="87">
        <f>SUMIFS($AU$3:AU890,$AQ$3:AQ890,"D")</f>
        <v>13122.377472527351</v>
      </c>
      <c r="BP888" s="87">
        <f>SUMIFS($AS$3:AS1310,$AO$3:AO1310,"W")</f>
        <v>0</v>
      </c>
      <c r="BQ888" s="87">
        <f>SUMIFS($AU$3:AU890,$Q$3:Q890,"O")</f>
        <v>-9340.9400000006026</v>
      </c>
      <c r="BR888" s="87">
        <f>SUMIFS($AU$3:AU890,$AA$3:AA890,"*")</f>
        <v>37881.5220779214</v>
      </c>
      <c r="BS888" s="87">
        <f>SUMIFS($AU$3:AU890,$AB$3:AB890,"*")</f>
        <v>7475.8599999999715</v>
      </c>
      <c r="BT888" s="87">
        <f>SUMIFS($AU$3:AU890,$AC$3:AC890,"*")</f>
        <v>33251.078121878119</v>
      </c>
      <c r="BU888" s="87">
        <f>SUMIFS($AU$3:AU890,$AA$3:AA890,"*",$AB$3:AB890,"*")</f>
        <v>7915.9999999997544</v>
      </c>
      <c r="BV888" s="87">
        <f>SUMIFS($AU$3:AU890,$AA$3:AA890,"*",$AC$3:AC890,"*")</f>
        <v>29696.036363636529</v>
      </c>
      <c r="BW888" s="87">
        <f>SUMIFS($AU$3:AU890,$AB$3:AB890,"*",$AC$3:AC890,"*")</f>
        <v>3863.9999999999991</v>
      </c>
      <c r="BX888" s="87">
        <f>SUMIFS($AV$3:AV890,$Q$3:Q890,"F")</f>
        <v>383.04019562430165</v>
      </c>
      <c r="BY888" s="87">
        <f>SUMIFS($AV$3:AV890,$Q$3:Q890,"S")</f>
        <v>676.61134190572739</v>
      </c>
      <c r="BZ888" s="87">
        <f>SUMIFS($AV$3:AV890,$Q$3:Q890,"O")</f>
        <v>378.55929999967736</v>
      </c>
    </row>
    <row r="889" spans="1:78" ht="15.75" customHeight="1">
      <c r="A889" s="45" t="s">
        <v>2311</v>
      </c>
      <c r="B889" s="59"/>
      <c r="C889" s="46"/>
      <c r="D889" s="46"/>
      <c r="E889" s="66"/>
      <c r="F889" s="47"/>
      <c r="G889" s="48"/>
      <c r="H889" s="49"/>
      <c r="I889" s="49"/>
      <c r="J889" s="49"/>
      <c r="K889" s="50"/>
      <c r="L889" s="49"/>
      <c r="M889" s="49"/>
      <c r="N889" s="49"/>
      <c r="O889" s="50"/>
      <c r="P889" s="50"/>
      <c r="Q889" s="50"/>
      <c r="R889" s="50"/>
      <c r="S889" s="50"/>
      <c r="T889" s="50"/>
      <c r="U889" s="50"/>
      <c r="V889" s="50"/>
      <c r="W889" s="50"/>
      <c r="X889" s="50"/>
      <c r="Y889" s="51"/>
      <c r="Z889" s="52"/>
      <c r="AA889" s="52"/>
      <c r="AB889" s="52"/>
      <c r="AC889" s="52"/>
      <c r="AD889" s="231"/>
      <c r="AE889" s="49"/>
      <c r="AF889" s="84"/>
      <c r="AG889" s="49"/>
      <c r="AH889" s="49"/>
      <c r="AI889" s="49"/>
      <c r="AJ889" s="226"/>
      <c r="AK889" s="49"/>
      <c r="AL889" s="113">
        <f t="shared" si="342"/>
        <v>0</v>
      </c>
      <c r="AM889" s="113">
        <f t="shared" si="356"/>
        <v>0</v>
      </c>
      <c r="AN889" s="218"/>
      <c r="AO889" s="49"/>
      <c r="AP889" s="49"/>
      <c r="AQ889" s="84" t="str">
        <f>UPPER(RIGHT(Journal_Live[[#This Row],[DURATION ]]))</f>
        <v/>
      </c>
      <c r="AR889" s="49"/>
      <c r="AS889" s="55"/>
      <c r="AT889" s="55"/>
      <c r="AU889" s="54"/>
      <c r="AV889" s="56"/>
      <c r="AW889" s="57"/>
      <c r="AX889" s="153"/>
      <c r="AY889" s="195" t="s">
        <v>2774</v>
      </c>
      <c r="AZ889" s="195" t="s">
        <v>2775</v>
      </c>
      <c r="BA889" s="195" t="s">
        <v>2776</v>
      </c>
      <c r="BB889" s="195" t="s">
        <v>2777</v>
      </c>
      <c r="BC889" s="195" t="s">
        <v>2778</v>
      </c>
      <c r="BD889" s="195" t="s">
        <v>2779</v>
      </c>
      <c r="BE889" s="152"/>
      <c r="BF889" s="151"/>
      <c r="BG889" s="94">
        <f>SUM($AV$4:AV889)</f>
        <v>6686.2108375297139</v>
      </c>
      <c r="BH889" s="95">
        <f>SUM($AU$4:AU889)</f>
        <v>42556.423836163201</v>
      </c>
      <c r="BI889" s="80">
        <f>SUMIFS($AU$3:AU891,$Q$3:Q891,"F")</f>
        <v>29235.078121878127</v>
      </c>
      <c r="BJ889" s="80">
        <f>SUMIFS($AU$3:AU891,$Q$3:Q891,"S")</f>
        <v>17938.285714285706</v>
      </c>
      <c r="BK889" s="87">
        <f>SUMIFS($AU$3:AU891,$P$3:P891,"W")</f>
        <v>17144.143836163403</v>
      </c>
      <c r="BL889" s="87">
        <f>SUMIFS($AU$3:AU891,$P$3:P891,"R")</f>
        <v>22616.400000000325</v>
      </c>
      <c r="BM889" s="87">
        <f>SUMIFS($AU$3:AU891,$AQ$3:AQ891,"M")</f>
        <v>8875.1799999983887</v>
      </c>
      <c r="BN889" s="87">
        <f>SUMIFS($AU$3:AU891,$AQ$3:AQ891,"H")</f>
        <v>11643.200000000877</v>
      </c>
      <c r="BO889" s="87">
        <f>SUMIFS($AU$3:AU891,$AQ$3:AQ891,"D")</f>
        <v>13122.377472527351</v>
      </c>
      <c r="BP889" s="87">
        <f>SUMIFS($AS$3:AS1311,$AO$3:AO1311,"W")</f>
        <v>0</v>
      </c>
      <c r="BQ889" s="87">
        <f>SUMIFS($AU$3:AU891,$Q$3:Q891,"O")</f>
        <v>-9340.9400000006026</v>
      </c>
      <c r="BR889" s="87">
        <f>SUMIFS($AU$3:AU891,$AA$3:AA891,"*")</f>
        <v>37881.5220779214</v>
      </c>
      <c r="BS889" s="87">
        <f>SUMIFS($AU$3:AU891,$AB$3:AB891,"*")</f>
        <v>7475.8599999999715</v>
      </c>
      <c r="BT889" s="87">
        <f>SUMIFS($AU$3:AU891,$AC$3:AC891,"*")</f>
        <v>33251.078121878119</v>
      </c>
      <c r="BU889" s="87">
        <f>SUMIFS($AU$3:AU891,$AA$3:AA891,"*",$AB$3:AB891,"*")</f>
        <v>7915.9999999997544</v>
      </c>
      <c r="BV889" s="87">
        <f>SUMIFS($AU$3:AU891,$AA$3:AA891,"*",$AC$3:AC891,"*")</f>
        <v>29696.036363636529</v>
      </c>
      <c r="BW889" s="87">
        <f>SUMIFS($AU$3:AU891,$AB$3:AB891,"*",$AC$3:AC891,"*")</f>
        <v>3863.9999999999991</v>
      </c>
      <c r="BX889" s="87">
        <f>SUMIFS($AV$3:AV891,$Q$3:Q891,"F")</f>
        <v>383.04019562430165</v>
      </c>
      <c r="BY889" s="87">
        <f>SUMIFS($AV$3:AV891,$Q$3:Q891,"S")</f>
        <v>676.61134190572739</v>
      </c>
      <c r="BZ889" s="87">
        <f>SUMIFS($AV$3:AV891,$Q$3:Q891,"O")</f>
        <v>378.55929999967736</v>
      </c>
    </row>
    <row r="890" spans="1:78" ht="15.75" customHeight="1">
      <c r="A890" s="45" t="s">
        <v>2311</v>
      </c>
      <c r="B890" s="59"/>
      <c r="C890" s="46"/>
      <c r="D890" s="46"/>
      <c r="E890" s="66"/>
      <c r="F890" s="47"/>
      <c r="G890" s="48"/>
      <c r="H890" s="49"/>
      <c r="I890" s="49"/>
      <c r="J890" s="49"/>
      <c r="K890" s="50"/>
      <c r="L890" s="49"/>
      <c r="M890" s="49"/>
      <c r="N890" s="49"/>
      <c r="O890" s="50"/>
      <c r="P890" s="50"/>
      <c r="Q890" s="50"/>
      <c r="R890" s="50"/>
      <c r="S890" s="50"/>
      <c r="T890" s="50"/>
      <c r="U890" s="50"/>
      <c r="V890" s="50"/>
      <c r="W890" s="50"/>
      <c r="X890" s="50"/>
      <c r="Y890" s="51"/>
      <c r="Z890" s="52"/>
      <c r="AA890" s="52"/>
      <c r="AB890" s="52"/>
      <c r="AC890" s="52"/>
      <c r="AD890" s="231"/>
      <c r="AE890" s="49"/>
      <c r="AF890" s="84"/>
      <c r="AG890" s="49"/>
      <c r="AH890" s="49"/>
      <c r="AI890" s="49"/>
      <c r="AJ890" s="226"/>
      <c r="AK890" s="49"/>
      <c r="AL890" s="113">
        <f t="shared" ref="AL890" si="358">-0.02*Z890</f>
        <v>0</v>
      </c>
      <c r="AM890" s="113">
        <f t="shared" si="356"/>
        <v>0</v>
      </c>
      <c r="AN890" s="218"/>
      <c r="AO890" s="49"/>
      <c r="AP890" s="49"/>
      <c r="AQ890" s="84" t="str">
        <f>UPPER(RIGHT(Journal_Live[[#This Row],[DURATION ]]))</f>
        <v/>
      </c>
      <c r="AR890" s="49"/>
      <c r="AS890" s="55"/>
      <c r="AT890" s="55"/>
      <c r="AU890" s="54"/>
      <c r="AV890" s="56"/>
      <c r="AW890" s="57"/>
      <c r="AX890" s="151" t="s">
        <v>2780</v>
      </c>
      <c r="AY890" s="151" t="s">
        <v>2781</v>
      </c>
      <c r="AZ890" s="151" t="s">
        <v>2782</v>
      </c>
      <c r="BA890" s="151" t="s">
        <v>2783</v>
      </c>
      <c r="BB890" s="151" t="s">
        <v>2784</v>
      </c>
      <c r="BC890" s="151" t="s">
        <v>2785</v>
      </c>
      <c r="BD890" s="151" t="s">
        <v>2786</v>
      </c>
      <c r="BE890" s="152" t="s">
        <v>2787</v>
      </c>
      <c r="BF890" s="151" t="s">
        <v>2788</v>
      </c>
      <c r="BG890" s="94">
        <f>SUM($AV$4:AV890)</f>
        <v>6686.2108375297139</v>
      </c>
      <c r="BH890" s="95">
        <f>SUM($AU$4:AU890)</f>
        <v>42556.423836163201</v>
      </c>
      <c r="BI890" s="80">
        <f>SUMIFS($AU$3:AU892,$Q$3:Q892,"F")</f>
        <v>29235.078121878127</v>
      </c>
      <c r="BJ890" s="80">
        <f>SUMIFS($AU$3:AU892,$Q$3:Q892,"S")</f>
        <v>17938.285714285706</v>
      </c>
      <c r="BK890" s="87">
        <f>SUMIFS($AU$3:AU892,$P$3:P892,"W")</f>
        <v>17144.143836163403</v>
      </c>
      <c r="BL890" s="87">
        <f>SUMIFS($AU$3:AU892,$P$3:P892,"R")</f>
        <v>22616.400000000325</v>
      </c>
      <c r="BM890" s="87">
        <f>SUMIFS($AU$3:AU892,$AQ$3:AQ892,"M")</f>
        <v>8875.1799999983887</v>
      </c>
      <c r="BN890" s="87">
        <f>SUMIFS($AU$3:AU892,$AQ$3:AQ892,"H")</f>
        <v>11643.200000000877</v>
      </c>
      <c r="BO890" s="87">
        <f>SUMIFS($AU$3:AU892,$AQ$3:AQ892,"D")</f>
        <v>13122.377472527351</v>
      </c>
      <c r="BP890" s="87">
        <f>SUMIFS($AS$3:AS1312,$AO$3:AO1312,"W")</f>
        <v>0</v>
      </c>
      <c r="BQ890" s="87">
        <f>SUMIFS($AU$3:AU892,$Q$3:Q892,"O")</f>
        <v>-9340.9400000006026</v>
      </c>
      <c r="BR890" s="87">
        <f>SUMIFS($AU$3:AU892,$AA$3:AA892,"*")</f>
        <v>37881.5220779214</v>
      </c>
      <c r="BS890" s="87">
        <f>SUMIFS($AU$3:AU892,$AB$3:AB892,"*")</f>
        <v>7475.8599999999715</v>
      </c>
      <c r="BT890" s="87">
        <f>SUMIFS($AU$3:AU892,$AC$3:AC892,"*")</f>
        <v>33251.078121878119</v>
      </c>
      <c r="BU890" s="87">
        <f>SUMIFS($AU$3:AU892,$AA$3:AA892,"*",$AB$3:AB892,"*")</f>
        <v>7915.9999999997544</v>
      </c>
      <c r="BV890" s="87">
        <f>SUMIFS($AU$3:AU892,$AA$3:AA892,"*",$AC$3:AC892,"*")</f>
        <v>29696.036363636529</v>
      </c>
      <c r="BW890" s="87">
        <f>SUMIFS($AU$3:AU892,$AB$3:AB892,"*",$AC$3:AC892,"*")</f>
        <v>3863.9999999999991</v>
      </c>
      <c r="BX890" s="87">
        <f>SUMIFS($AV$3:AV892,$Q$3:Q892,"F")</f>
        <v>383.04019562430165</v>
      </c>
      <c r="BY890" s="87">
        <f>SUMIFS($AV$3:AV892,$Q$3:Q892,"S")</f>
        <v>676.61134190572739</v>
      </c>
      <c r="BZ890" s="87">
        <f>SUMIFS($AV$3:AV892,$Q$3:Q892,"O")</f>
        <v>378.55929999967736</v>
      </c>
    </row>
    <row r="891" spans="1:78" ht="15.75" customHeight="1">
      <c r="A891" s="45" t="s">
        <v>2311</v>
      </c>
      <c r="B891" s="59"/>
      <c r="C891" s="46"/>
      <c r="D891" s="46"/>
      <c r="E891" s="66"/>
      <c r="F891" s="47"/>
      <c r="G891" s="48"/>
      <c r="H891" s="49"/>
      <c r="I891" s="49"/>
      <c r="J891" s="49"/>
      <c r="K891" s="50"/>
      <c r="L891" s="49"/>
      <c r="M891" s="49"/>
      <c r="N891" s="49"/>
      <c r="O891" s="50"/>
      <c r="P891" s="50"/>
      <c r="Q891" s="50"/>
      <c r="R891" s="50"/>
      <c r="S891" s="50"/>
      <c r="T891" s="50"/>
      <c r="U891" s="50"/>
      <c r="V891" s="50"/>
      <c r="W891" s="50"/>
      <c r="X891" s="50"/>
      <c r="Y891" s="51"/>
      <c r="Z891" s="52"/>
      <c r="AA891" s="52"/>
      <c r="AB891" s="52"/>
      <c r="AC891" s="52"/>
      <c r="AD891" s="231"/>
      <c r="AE891" s="49"/>
      <c r="AF891" s="84"/>
      <c r="AG891" s="49"/>
      <c r="AH891" s="49"/>
      <c r="AI891" s="49"/>
      <c r="AJ891" s="226"/>
      <c r="AK891" s="49"/>
      <c r="AL891" s="113">
        <f t="shared" si="342"/>
        <v>0</v>
      </c>
      <c r="AM891" s="113">
        <f t="shared" si="356"/>
        <v>0</v>
      </c>
      <c r="AN891" s="218"/>
      <c r="AO891" s="49"/>
      <c r="AP891" s="49"/>
      <c r="AQ891" s="84" t="str">
        <f>UPPER(RIGHT(Journal_Live[[#This Row],[DURATION ]]))</f>
        <v/>
      </c>
      <c r="AR891" s="49"/>
      <c r="AS891" s="55"/>
      <c r="AT891" s="55"/>
      <c r="AU891" s="54"/>
      <c r="AV891" s="56"/>
      <c r="AW891" s="57"/>
      <c r="AX891" s="153"/>
      <c r="AY891" s="151" t="s">
        <v>2789</v>
      </c>
      <c r="AZ891" s="153" t="s">
        <v>2790</v>
      </c>
      <c r="BA891" s="153"/>
      <c r="BB891" s="153"/>
      <c r="BC891" s="153"/>
      <c r="BD891" s="151"/>
      <c r="BE891" s="152"/>
      <c r="BF891" s="151"/>
      <c r="BG891" s="94">
        <f>SUM($AV$4:AV891)</f>
        <v>6686.2108375297139</v>
      </c>
      <c r="BH891" s="95">
        <f>SUM($AU$4:AU891)</f>
        <v>42556.423836163201</v>
      </c>
      <c r="BI891" s="80">
        <f>SUMIFS($AU$3:AU893,$Q$3:Q893,"F")</f>
        <v>29235.078121878127</v>
      </c>
      <c r="BJ891" s="80">
        <f>SUMIFS($AU$3:AU893,$Q$3:Q893,"S")</f>
        <v>17938.285714285706</v>
      </c>
      <c r="BK891" s="87">
        <f>SUMIFS($AU$3:AU893,$P$3:P893,"W")</f>
        <v>17144.143836163403</v>
      </c>
      <c r="BL891" s="87">
        <f>SUMIFS($AU$3:AU893,$P$3:P893,"R")</f>
        <v>22616.400000000325</v>
      </c>
      <c r="BM891" s="87">
        <f>SUMIFS($AU$3:AU893,$AQ$3:AQ893,"M")</f>
        <v>8875.1799999983887</v>
      </c>
      <c r="BN891" s="87">
        <f>SUMIFS($AU$3:AU893,$AQ$3:AQ893,"H")</f>
        <v>11643.200000000877</v>
      </c>
      <c r="BO891" s="87">
        <f>SUMIFS($AU$3:AU893,$AQ$3:AQ893,"D")</f>
        <v>13122.377472527351</v>
      </c>
      <c r="BP891" s="87">
        <f>SUMIFS($AS$3:AS1313,$AO$3:AO1313,"W")</f>
        <v>0</v>
      </c>
      <c r="BQ891" s="87">
        <f>SUMIFS($AU$3:AU893,$Q$3:Q893,"O")</f>
        <v>-9340.9400000006026</v>
      </c>
      <c r="BR891" s="87">
        <f>SUMIFS($AU$3:AU893,$AA$3:AA893,"*")</f>
        <v>37881.5220779214</v>
      </c>
      <c r="BS891" s="87">
        <f>SUMIFS($AU$3:AU893,$AB$3:AB893,"*")</f>
        <v>7475.8599999999715</v>
      </c>
      <c r="BT891" s="87">
        <f>SUMIFS($AU$3:AU893,$AC$3:AC893,"*")</f>
        <v>33251.078121878119</v>
      </c>
      <c r="BU891" s="87">
        <f>SUMIFS($AU$3:AU893,$AA$3:AA893,"*",$AB$3:AB893,"*")</f>
        <v>7915.9999999997544</v>
      </c>
      <c r="BV891" s="87">
        <f>SUMIFS($AU$3:AU893,$AA$3:AA893,"*",$AC$3:AC893,"*")</f>
        <v>29696.036363636529</v>
      </c>
      <c r="BW891" s="87">
        <f>SUMIFS($AU$3:AU893,$AB$3:AB893,"*",$AC$3:AC893,"*")</f>
        <v>3863.9999999999991</v>
      </c>
      <c r="BX891" s="87">
        <f>SUMIFS($AV$3:AV893,$Q$3:Q893,"F")</f>
        <v>383.04019562430165</v>
      </c>
      <c r="BY891" s="87">
        <f>SUMIFS($AV$3:AV893,$Q$3:Q893,"S")</f>
        <v>676.61134190572739</v>
      </c>
      <c r="BZ891" s="87">
        <f>SUMIFS($AV$3:AV893,$Q$3:Q893,"O")</f>
        <v>378.55929999967736</v>
      </c>
    </row>
    <row r="892" spans="1:78" ht="15.75" customHeight="1">
      <c r="A892" s="45" t="s">
        <v>2311</v>
      </c>
      <c r="B892" s="59"/>
      <c r="C892" s="46"/>
      <c r="D892" s="46"/>
      <c r="E892" s="66"/>
      <c r="F892" s="47"/>
      <c r="G892" s="48"/>
      <c r="H892" s="49"/>
      <c r="I892" s="49"/>
      <c r="J892" s="49"/>
      <c r="K892" s="50"/>
      <c r="L892" s="49"/>
      <c r="M892" s="49"/>
      <c r="N892" s="49"/>
      <c r="O892" s="50"/>
      <c r="P892" s="50"/>
      <c r="Q892" s="50"/>
      <c r="R892" s="50"/>
      <c r="S892" s="50"/>
      <c r="T892" s="50"/>
      <c r="U892" s="50"/>
      <c r="V892" s="50"/>
      <c r="W892" s="50"/>
      <c r="X892" s="50"/>
      <c r="Y892" s="51"/>
      <c r="Z892" s="52"/>
      <c r="AA892" s="52"/>
      <c r="AB892" s="52"/>
      <c r="AC892" s="52"/>
      <c r="AD892" s="231"/>
      <c r="AE892" s="49"/>
      <c r="AF892" s="84"/>
      <c r="AG892" s="49"/>
      <c r="AH892" s="49"/>
      <c r="AI892" s="49"/>
      <c r="AJ892" s="226"/>
      <c r="AK892" s="49"/>
      <c r="AL892" s="113">
        <f t="shared" ref="AL892" si="359">-0.02*Z892</f>
        <v>0</v>
      </c>
      <c r="AM892" s="113">
        <f t="shared" si="356"/>
        <v>0</v>
      </c>
      <c r="AN892" s="218"/>
      <c r="AO892" s="49"/>
      <c r="AP892" s="49"/>
      <c r="AQ892" s="84" t="str">
        <f>UPPER(RIGHT(Journal_Live[[#This Row],[DURATION ]]))</f>
        <v/>
      </c>
      <c r="AR892" s="49"/>
      <c r="AS892" s="55"/>
      <c r="AT892" s="55"/>
      <c r="AU892" s="54"/>
      <c r="AV892" s="56"/>
      <c r="AW892" s="57"/>
      <c r="AX892" s="153"/>
      <c r="AY892" s="153"/>
      <c r="AZ892" s="153"/>
      <c r="BA892" s="153"/>
      <c r="BB892" s="153"/>
      <c r="BC892" s="153"/>
      <c r="BD892" s="151"/>
      <c r="BE892" s="152"/>
      <c r="BF892" s="151"/>
      <c r="BG892" s="94">
        <f>SUM($AV$4:AV892)</f>
        <v>6686.2108375297139</v>
      </c>
      <c r="BH892" s="95">
        <f>SUM($AU$4:AU892)</f>
        <v>42556.423836163201</v>
      </c>
      <c r="BI892" s="80">
        <f>SUMIFS($AU$3:AU894,$Q$3:Q894,"F")</f>
        <v>29235.078121878127</v>
      </c>
      <c r="BJ892" s="80">
        <f>SUMIFS($AU$3:AU894,$Q$3:Q894,"S")</f>
        <v>17938.285714285706</v>
      </c>
      <c r="BK892" s="87">
        <f>SUMIFS($AU$3:AU894,$P$3:P894,"W")</f>
        <v>17144.143836163403</v>
      </c>
      <c r="BL892" s="87">
        <f>SUMIFS($AU$3:AU894,$P$3:P894,"R")</f>
        <v>22616.400000000325</v>
      </c>
      <c r="BM892" s="87">
        <f>SUMIFS($AU$3:AU894,$AQ$3:AQ894,"M")</f>
        <v>8875.1799999983887</v>
      </c>
      <c r="BN892" s="87">
        <f>SUMIFS($AU$3:AU894,$AQ$3:AQ894,"H")</f>
        <v>11643.200000000877</v>
      </c>
      <c r="BO892" s="87">
        <f>SUMIFS($AU$3:AU894,$AQ$3:AQ894,"D")</f>
        <v>13122.377472527351</v>
      </c>
      <c r="BP892" s="87">
        <f>SUMIFS($AS$3:AS1314,$AO$3:AO1314,"W")</f>
        <v>0</v>
      </c>
      <c r="BQ892" s="87">
        <f>SUMIFS($AU$3:AU894,$Q$3:Q894,"O")</f>
        <v>-9340.9400000006026</v>
      </c>
      <c r="BR892" s="87">
        <f>SUMIFS($AU$3:AU894,$AA$3:AA894,"*")</f>
        <v>37881.5220779214</v>
      </c>
      <c r="BS892" s="87">
        <f>SUMIFS($AU$3:AU894,$AB$3:AB894,"*")</f>
        <v>7475.8599999999715</v>
      </c>
      <c r="BT892" s="87">
        <f>SUMIFS($AU$3:AU894,$AC$3:AC894,"*")</f>
        <v>33251.078121878119</v>
      </c>
      <c r="BU892" s="87">
        <f>SUMIFS($AU$3:AU894,$AA$3:AA894,"*",$AB$3:AB894,"*")</f>
        <v>7915.9999999997544</v>
      </c>
      <c r="BV892" s="87">
        <f>SUMIFS($AU$3:AU894,$AA$3:AA894,"*",$AC$3:AC894,"*")</f>
        <v>29696.036363636529</v>
      </c>
      <c r="BW892" s="87">
        <f>SUMIFS($AU$3:AU894,$AB$3:AB894,"*",$AC$3:AC894,"*")</f>
        <v>3863.9999999999991</v>
      </c>
      <c r="BX892" s="87">
        <f>SUMIFS($AV$3:AV894,$Q$3:Q894,"F")</f>
        <v>383.04019562430165</v>
      </c>
      <c r="BY892" s="87">
        <f>SUMIFS($AV$3:AV894,$Q$3:Q894,"S")</f>
        <v>676.61134190572739</v>
      </c>
      <c r="BZ892" s="87">
        <f>SUMIFS($AV$3:AV894,$Q$3:Q894,"O")</f>
        <v>378.55929999967736</v>
      </c>
    </row>
    <row r="893" spans="1:78" ht="15.75" customHeight="1">
      <c r="A893" s="45" t="s">
        <v>2311</v>
      </c>
      <c r="B893" s="59"/>
      <c r="C893" s="46"/>
      <c r="D893" s="46"/>
      <c r="E893" s="66"/>
      <c r="F893" s="47"/>
      <c r="G893" s="48"/>
      <c r="H893" s="49"/>
      <c r="I893" s="49"/>
      <c r="J893" s="49"/>
      <c r="K893" s="50"/>
      <c r="L893" s="49"/>
      <c r="M893" s="49"/>
      <c r="N893" s="49"/>
      <c r="O893" s="50"/>
      <c r="P893" s="50"/>
      <c r="Q893" s="50"/>
      <c r="R893" s="50"/>
      <c r="S893" s="50"/>
      <c r="T893" s="50"/>
      <c r="U893" s="50"/>
      <c r="V893" s="50"/>
      <c r="W893" s="50"/>
      <c r="X893" s="50"/>
      <c r="Y893" s="51"/>
      <c r="Z893" s="52"/>
      <c r="AA893" s="52"/>
      <c r="AB893" s="52"/>
      <c r="AC893" s="52"/>
      <c r="AD893" s="231"/>
      <c r="AE893" s="49"/>
      <c r="AF893" s="84"/>
      <c r="AG893" s="49"/>
      <c r="AH893" s="49"/>
      <c r="AI893" s="49"/>
      <c r="AJ893" s="226"/>
      <c r="AK893" s="49"/>
      <c r="AL893" s="113">
        <f t="shared" si="313"/>
        <v>0</v>
      </c>
      <c r="AM893" s="113">
        <f t="shared" si="356"/>
        <v>0</v>
      </c>
      <c r="AN893" s="218"/>
      <c r="AO893" s="49"/>
      <c r="AP893" s="49"/>
      <c r="AQ893" s="84" t="str">
        <f>UPPER(RIGHT(Journal_Live[[#This Row],[DURATION ]]))</f>
        <v/>
      </c>
      <c r="AR893" s="49"/>
      <c r="AS893" s="55"/>
      <c r="AT893" s="55"/>
      <c r="AU893" s="54"/>
      <c r="AV893" s="56"/>
      <c r="AW893" s="57"/>
      <c r="AX893" s="153"/>
      <c r="AY893" s="153"/>
      <c r="AZ893" s="153"/>
      <c r="BA893" s="153"/>
      <c r="BB893" s="153"/>
      <c r="BC893" s="153"/>
      <c r="BD893" s="151"/>
      <c r="BE893" s="152"/>
      <c r="BF893" s="151"/>
      <c r="BG893" s="94">
        <f>SUM($AV$4:AV893)</f>
        <v>6686.2108375297139</v>
      </c>
      <c r="BH893" s="95">
        <f>SUM($AU$4:AU893)</f>
        <v>42556.423836163201</v>
      </c>
      <c r="BI893" s="80">
        <f>SUMIFS($AU$3:AU894,$Q$3:Q894,"F")</f>
        <v>29235.078121878127</v>
      </c>
      <c r="BJ893" s="80">
        <f>SUMIFS($AU$3:AU894,$Q$3:Q894,"S")</f>
        <v>17938.285714285706</v>
      </c>
      <c r="BK893" s="87">
        <f>SUMIFS($AU$3:AU894,$P$3:P894,"W")</f>
        <v>17144.143836163403</v>
      </c>
      <c r="BL893" s="87">
        <f>SUMIFS($AU$3:AU894,$P$3:P894,"R")</f>
        <v>22616.400000000325</v>
      </c>
      <c r="BM893" s="87">
        <f>SUMIFS($AU$3:AU894,$AQ$3:AQ894,"M")</f>
        <v>8875.1799999983887</v>
      </c>
      <c r="BN893" s="87">
        <f>SUMIFS($AU$3:AU894,$AQ$3:AQ894,"H")</f>
        <v>11643.200000000877</v>
      </c>
      <c r="BO893" s="87">
        <f>SUMIFS($AU$3:AU894,$AQ$3:AQ894,"D")</f>
        <v>13122.377472527351</v>
      </c>
      <c r="BP893" s="87">
        <f>SUMIFS($AS$3:AS1314,$AO$3:AO1314,"W")</f>
        <v>0</v>
      </c>
      <c r="BQ893" s="87">
        <f>SUMIFS($AU$3:AU894,$Q$3:Q894,"O")</f>
        <v>-9340.9400000006026</v>
      </c>
      <c r="BR893" s="87">
        <f>SUMIFS($AU$3:AU894,$AA$3:AA894,"*")</f>
        <v>37881.5220779214</v>
      </c>
      <c r="BS893" s="87">
        <f>SUMIFS($AU$3:AU894,$AB$3:AB894,"*")</f>
        <v>7475.8599999999715</v>
      </c>
      <c r="BT893" s="87">
        <f>SUMIFS($AU$3:AU894,$AC$3:AC894,"*")</f>
        <v>33251.078121878119</v>
      </c>
      <c r="BU893" s="87">
        <f>SUMIFS($AU$3:AU894,$AA$3:AA894,"*",$AB$3:AB894,"*")</f>
        <v>7915.9999999997544</v>
      </c>
      <c r="BV893" s="87">
        <f>SUMIFS($AU$3:AU894,$AA$3:AA894,"*",$AC$3:AC894,"*")</f>
        <v>29696.036363636529</v>
      </c>
      <c r="BW893" s="87">
        <f>SUMIFS($AU$3:AU894,$AB$3:AB894,"*",$AC$3:AC894,"*")</f>
        <v>3863.9999999999991</v>
      </c>
      <c r="BX893" s="87">
        <f>SUMIFS($AV$3:AV894,$Q$3:Q894,"F")</f>
        <v>383.04019562430165</v>
      </c>
      <c r="BY893" s="87">
        <f>SUMIFS($AV$3:AV894,$Q$3:Q894,"S")</f>
        <v>676.61134190572739</v>
      </c>
      <c r="BZ893" s="87">
        <f>SUMIFS($AV$3:AV894,$Q$3:Q894,"O")</f>
        <v>378.55929999967736</v>
      </c>
    </row>
    <row r="894" spans="1:78" ht="15.75" customHeight="1">
      <c r="A894" s="45" t="s">
        <v>2311</v>
      </c>
      <c r="B894" s="59"/>
      <c r="C894" s="46"/>
      <c r="D894" s="46"/>
      <c r="E894" s="66"/>
      <c r="F894" s="47"/>
      <c r="G894" s="48"/>
      <c r="H894" s="49"/>
      <c r="I894" s="49"/>
      <c r="J894" s="49"/>
      <c r="K894" s="50"/>
      <c r="L894" s="49"/>
      <c r="M894" s="49"/>
      <c r="N894" s="49"/>
      <c r="O894" s="50"/>
      <c r="P894" s="50"/>
      <c r="Q894" s="50"/>
      <c r="R894" s="50"/>
      <c r="S894" s="50"/>
      <c r="T894" s="50"/>
      <c r="U894" s="50"/>
      <c r="V894" s="50"/>
      <c r="W894" s="50"/>
      <c r="X894" s="50"/>
      <c r="Y894" s="51"/>
      <c r="Z894" s="52"/>
      <c r="AA894" s="52"/>
      <c r="AB894" s="52"/>
      <c r="AC894" s="52"/>
      <c r="AD894" s="231"/>
      <c r="AE894" s="49"/>
      <c r="AF894" s="84"/>
      <c r="AG894" s="49"/>
      <c r="AH894" s="49"/>
      <c r="AI894" s="49"/>
      <c r="AJ894" s="226"/>
      <c r="AK894" s="49"/>
      <c r="AL894" s="113">
        <f t="shared" si="311"/>
        <v>0</v>
      </c>
      <c r="AM894" s="113">
        <f t="shared" si="356"/>
        <v>0</v>
      </c>
      <c r="AN894" s="218"/>
      <c r="AO894" s="49"/>
      <c r="AP894" s="49"/>
      <c r="AQ894" s="84" t="str">
        <f>UPPER(RIGHT(Journal_Live[[#This Row],[DURATION ]]))</f>
        <v/>
      </c>
      <c r="AR894" s="49"/>
      <c r="AS894" s="55"/>
      <c r="AT894" s="55"/>
      <c r="AU894" s="54"/>
      <c r="AV894" s="56"/>
      <c r="AW894" s="57"/>
      <c r="AX894" s="153"/>
      <c r="AY894" s="153"/>
      <c r="AZ894" s="153"/>
      <c r="BA894" s="153"/>
      <c r="BB894" s="153"/>
      <c r="BC894" s="153"/>
      <c r="BD894" s="151"/>
      <c r="BE894" s="152"/>
      <c r="BF894" s="151"/>
      <c r="BG894" s="94">
        <f>SUM($AV$4:AV894)</f>
        <v>6686.2108375297139</v>
      </c>
      <c r="BH894" s="95">
        <f>SUM($AU$4:AU894)</f>
        <v>42556.423836163201</v>
      </c>
      <c r="BI894" s="80">
        <f>SUMIFS($AU$3:AU895,$Q$3:Q895,"F")</f>
        <v>29235.078121878127</v>
      </c>
      <c r="BJ894" s="80">
        <f>SUMIFS($AU$3:AU895,$Q$3:Q895,"S")</f>
        <v>17938.285714285706</v>
      </c>
      <c r="BK894" s="87">
        <f>SUMIFS($AU$3:AU895,$P$3:P895,"W")</f>
        <v>17144.143836163403</v>
      </c>
      <c r="BL894" s="87">
        <f>SUMIFS($AU$3:AU895,$P$3:P895,"R")</f>
        <v>22616.400000000325</v>
      </c>
      <c r="BM894" s="87">
        <f>SUMIFS($AU$3:AU895,$AQ$3:AQ895,"M")</f>
        <v>8875.1799999983887</v>
      </c>
      <c r="BN894" s="87">
        <f>SUMIFS($AU$3:AU895,$AQ$3:AQ895,"H")</f>
        <v>11643.200000000877</v>
      </c>
      <c r="BO894" s="87">
        <f>SUMIFS($AU$3:AU895,$AQ$3:AQ895,"D")</f>
        <v>13122.377472527351</v>
      </c>
      <c r="BP894" s="87">
        <f>SUMIFS($AS$3:AS1315,$AO$3:AO1315,"W")</f>
        <v>0</v>
      </c>
      <c r="BQ894" s="87">
        <f>SUMIFS($AU$3:AU895,$Q$3:Q895,"O")</f>
        <v>-9340.9400000006026</v>
      </c>
      <c r="BR894" s="87">
        <f>SUMIFS($AU$3:AU895,$AA$3:AA895,"*")</f>
        <v>37881.5220779214</v>
      </c>
      <c r="BS894" s="87">
        <f>SUMIFS($AU$3:AU895,$AB$3:AB895,"*")</f>
        <v>7475.8599999999715</v>
      </c>
      <c r="BT894" s="87">
        <f>SUMIFS($AU$3:AU895,$AC$3:AC895,"*")</f>
        <v>33251.078121878119</v>
      </c>
      <c r="BU894" s="87">
        <f>SUMIFS($AU$3:AU895,$AA$3:AA895,"*",$AB$3:AB895,"*")</f>
        <v>7915.9999999997544</v>
      </c>
      <c r="BV894" s="87">
        <f>SUMIFS($AU$3:AU895,$AA$3:AA895,"*",$AC$3:AC895,"*")</f>
        <v>29696.036363636529</v>
      </c>
      <c r="BW894" s="87">
        <f>SUMIFS($AU$3:AU895,$AB$3:AB895,"*",$AC$3:AC895,"*")</f>
        <v>3863.9999999999991</v>
      </c>
      <c r="BX894" s="87">
        <f>SUMIFS($AV$3:AV895,$Q$3:Q895,"F")</f>
        <v>383.04019562430165</v>
      </c>
      <c r="BY894" s="87">
        <f>SUMIFS($AV$3:AV895,$Q$3:Q895,"S")</f>
        <v>676.61134190572739</v>
      </c>
      <c r="BZ894" s="87">
        <f>SUMIFS($AV$3:AV895,$Q$3:Q895,"O")</f>
        <v>378.55929999967736</v>
      </c>
    </row>
    <row r="895" spans="1:78" ht="15.75" customHeight="1">
      <c r="A895" s="45" t="s">
        <v>2311</v>
      </c>
      <c r="B895" s="59"/>
      <c r="C895" s="46"/>
      <c r="D895" s="46"/>
      <c r="E895" s="66"/>
      <c r="F895" s="47"/>
      <c r="G895" s="48"/>
      <c r="H895" s="49"/>
      <c r="I895" s="49"/>
      <c r="J895" s="49"/>
      <c r="K895" s="50"/>
      <c r="L895" s="49"/>
      <c r="M895" s="49"/>
      <c r="N895" s="49"/>
      <c r="O895" s="50"/>
      <c r="P895" s="50"/>
      <c r="Q895" s="50"/>
      <c r="R895" s="50"/>
      <c r="S895" s="50"/>
      <c r="T895" s="50"/>
      <c r="U895" s="50"/>
      <c r="V895" s="50"/>
      <c r="W895" s="50"/>
      <c r="X895" s="50"/>
      <c r="Y895" s="51"/>
      <c r="Z895" s="52"/>
      <c r="AA895" s="52"/>
      <c r="AB895" s="52"/>
      <c r="AC895" s="52"/>
      <c r="AD895" s="231"/>
      <c r="AE895" s="49"/>
      <c r="AF895" s="84"/>
      <c r="AG895" s="49"/>
      <c r="AH895" s="49"/>
      <c r="AI895" s="49"/>
      <c r="AJ895" s="226"/>
      <c r="AK895" s="49"/>
      <c r="AL895" s="113">
        <f t="shared" si="311"/>
        <v>0</v>
      </c>
      <c r="AM895" s="113">
        <f t="shared" si="356"/>
        <v>0</v>
      </c>
      <c r="AN895" s="218"/>
      <c r="AO895" s="49"/>
      <c r="AP895" s="49"/>
      <c r="AQ895" s="84" t="str">
        <f>UPPER(RIGHT(Journal_Live[[#This Row],[DURATION ]]))</f>
        <v/>
      </c>
      <c r="AR895" s="49"/>
      <c r="AS895" s="55"/>
      <c r="AT895" s="55"/>
      <c r="AU895" s="54"/>
      <c r="AV895" s="56"/>
      <c r="AW895" s="57"/>
      <c r="AX895" s="153"/>
      <c r="AY895" s="153"/>
      <c r="AZ895" s="153"/>
      <c r="BA895" s="153"/>
      <c r="BB895" s="153"/>
      <c r="BC895" s="153"/>
      <c r="BD895" s="151"/>
      <c r="BE895" s="152"/>
      <c r="BF895" s="151"/>
      <c r="BG895" s="94">
        <f>SUM($AV$4:AV895)</f>
        <v>6686.2108375297139</v>
      </c>
      <c r="BH895" s="95">
        <f>SUM($AU$4:AU895)</f>
        <v>42556.423836163201</v>
      </c>
      <c r="BI895" s="80">
        <f>SUMIFS($AU$3:AU896,$Q$3:Q896,"F")</f>
        <v>29235.078121878127</v>
      </c>
      <c r="BJ895" s="80">
        <f>SUMIFS($AU$3:AU896,$Q$3:Q896,"S")</f>
        <v>17938.285714285706</v>
      </c>
      <c r="BK895" s="87">
        <f>SUMIFS($AU$3:AU896,$P$3:P896,"W")</f>
        <v>17144.143836163403</v>
      </c>
      <c r="BL895" s="87">
        <f>SUMIFS($AU$3:AU896,$P$3:P896,"R")</f>
        <v>22616.400000000325</v>
      </c>
      <c r="BM895" s="87">
        <f>SUMIFS($AU$3:AU896,$AQ$3:AQ896,"M")</f>
        <v>8875.1799999983887</v>
      </c>
      <c r="BN895" s="87">
        <f>SUMIFS($AU$3:AU896,$AQ$3:AQ896,"H")</f>
        <v>11643.200000000877</v>
      </c>
      <c r="BO895" s="87">
        <f>SUMIFS($AU$3:AU896,$AQ$3:AQ896,"D")</f>
        <v>13122.377472527351</v>
      </c>
      <c r="BP895" s="87">
        <f>SUMIFS($AS$3:AS1316,$AO$3:AO1316,"W")</f>
        <v>0</v>
      </c>
      <c r="BQ895" s="87">
        <f>SUMIFS($AU$3:AU896,$Q$3:Q896,"O")</f>
        <v>-9340.9400000006026</v>
      </c>
      <c r="BR895" s="87">
        <f>SUMIFS($AU$3:AU896,$AA$3:AA896,"*")</f>
        <v>37881.5220779214</v>
      </c>
      <c r="BS895" s="87">
        <f>SUMIFS($AU$3:AU896,$AB$3:AB896,"*")</f>
        <v>7475.8599999999715</v>
      </c>
      <c r="BT895" s="87">
        <f>SUMIFS($AU$3:AU896,$AC$3:AC896,"*")</f>
        <v>33251.078121878119</v>
      </c>
      <c r="BU895" s="87">
        <f>SUMIFS($AU$3:AU896,$AA$3:AA896,"*",$AB$3:AB896,"*")</f>
        <v>7915.9999999997544</v>
      </c>
      <c r="BV895" s="87">
        <f>SUMIFS($AU$3:AU896,$AA$3:AA896,"*",$AC$3:AC896,"*")</f>
        <v>29696.036363636529</v>
      </c>
      <c r="BW895" s="87">
        <f>SUMIFS($AU$3:AU896,$AB$3:AB896,"*",$AC$3:AC896,"*")</f>
        <v>3863.9999999999991</v>
      </c>
      <c r="BX895" s="87">
        <f>SUMIFS($AV$3:AV896,$Q$3:Q896,"F")</f>
        <v>383.04019562430165</v>
      </c>
      <c r="BY895" s="87">
        <f>SUMIFS($AV$3:AV896,$Q$3:Q896,"S")</f>
        <v>676.61134190572739</v>
      </c>
      <c r="BZ895" s="87">
        <f>SUMIFS($AV$3:AV896,$Q$3:Q896,"O")</f>
        <v>378.55929999967736</v>
      </c>
    </row>
    <row r="896" spans="1:78" ht="15.75" customHeight="1">
      <c r="A896" s="111" t="s">
        <v>2791</v>
      </c>
      <c r="B896" s="68"/>
      <c r="C896" s="60"/>
      <c r="D896" s="60"/>
      <c r="E896" s="61"/>
      <c r="F896" s="62"/>
      <c r="G896" s="60"/>
      <c r="H896" s="60"/>
      <c r="I896" s="60"/>
      <c r="J896" s="60"/>
      <c r="K896" s="63"/>
      <c r="L896" s="60"/>
      <c r="M896" s="60"/>
      <c r="N896" s="60"/>
      <c r="O896" s="60"/>
      <c r="P896" s="63"/>
      <c r="Q896" s="63"/>
      <c r="R896" s="63"/>
      <c r="S896" s="63"/>
      <c r="T896" s="63"/>
      <c r="U896" s="63"/>
      <c r="V896" s="63"/>
      <c r="W896" s="63"/>
      <c r="X896" s="63"/>
      <c r="Y896" s="64"/>
      <c r="Z896" s="64"/>
      <c r="AA896" s="64"/>
      <c r="AB896" s="64"/>
      <c r="AC896" s="64"/>
      <c r="AD896" s="232"/>
      <c r="AE896" s="60"/>
      <c r="AF896" s="60"/>
      <c r="AG896" s="60"/>
      <c r="AH896" s="60"/>
      <c r="AI896" s="60"/>
      <c r="AJ896" s="227"/>
      <c r="AK896" s="60"/>
      <c r="AL896" s="60"/>
      <c r="AM896" s="60"/>
      <c r="AN896" s="219"/>
      <c r="AO896" s="60"/>
      <c r="AP896" s="60"/>
      <c r="AQ896" s="85" t="str">
        <f>UPPER(RIGHT(Journal_Live[[#This Row],[DURATION ]]))</f>
        <v/>
      </c>
      <c r="AR896" s="60"/>
      <c r="AS896" s="60"/>
      <c r="AT896" s="60"/>
      <c r="AU896" s="60"/>
      <c r="AV896" s="60"/>
      <c r="AW896" s="60"/>
      <c r="AX896" s="99"/>
      <c r="AY896" s="98"/>
      <c r="AZ896" s="98"/>
      <c r="BA896" s="98"/>
      <c r="BB896" s="98"/>
      <c r="BC896" s="98"/>
      <c r="BD896" s="98"/>
      <c r="BE896" s="98"/>
      <c r="BF896" s="98"/>
      <c r="BG896" s="94">
        <f>SUM($AV$4:AV896)</f>
        <v>6686.2108375297139</v>
      </c>
      <c r="BH896" s="95">
        <f>SUM($AU$4:AU896)</f>
        <v>42556.423836163201</v>
      </c>
      <c r="BI896" s="80">
        <f>SUMIFS($AS$3:AS1248,$Q$3:Q1248,"F")</f>
        <v>-0.30068292040481398</v>
      </c>
      <c r="BJ896" s="80">
        <f>SUMIFS($AS$3:AS1248,$Q$3:Q1248,"S")</f>
        <v>-40.713045297317478</v>
      </c>
      <c r="BK896" s="87">
        <f>SUMIFS($AS$3:AS1248,$P$3:P1248,"W")</f>
        <v>2165.903467205992</v>
      </c>
      <c r="BL896" s="87">
        <f>SUMIFS($AS$3:AS1248,$P$3:P1248,"R")</f>
        <v>1429.1986379096184</v>
      </c>
      <c r="BM896" s="87">
        <f>SUMIFS($AS$3:AS1248,$AO$3:AO1248,"M")</f>
        <v>0</v>
      </c>
      <c r="BN896" s="87">
        <f>SUMIFS($AS$3:AS1248,$AO$3:AO1248,"H")</f>
        <v>0</v>
      </c>
      <c r="BO896" s="87">
        <f>SUMIFS($AS$3:AS1248,$AO$3:AO1248,"D")</f>
        <v>0</v>
      </c>
      <c r="BP896" s="87">
        <f>SUMIFS($AS$3:AS1458,$AO$3:AO1458,"W")</f>
        <v>0</v>
      </c>
      <c r="BQ896" s="87">
        <f>SUMIFS($AS$3:AS1248,$Q$3:Q1248,"O")</f>
        <v>9107.0139166666668</v>
      </c>
      <c r="BR896" s="87">
        <f>SUMIFS($AS$3:AS1248,$Y$3:Y1248,"*")</f>
        <v>0</v>
      </c>
      <c r="BS896" s="87">
        <f>SUMIFS($AS$3:AS1248,$Z$3:Z1248,"*")</f>
        <v>0</v>
      </c>
      <c r="BT896" s="87">
        <f>SUMIFS($AS$3:AS1248,$AA$3:AA1248,"*")</f>
        <v>8110.7790046316404</v>
      </c>
      <c r="BU896" s="87">
        <f>SUMIFS($AS$3:AS1248,$Y$3:Y1248,"*",$Z$3:Z1248,"*")</f>
        <v>0</v>
      </c>
      <c r="BV896" s="87">
        <f>SUMIFS($AS$3:AS1248,$Y$3:Y1248,"*",$AA$3:AA1248,"*")</f>
        <v>0</v>
      </c>
      <c r="BW896" s="87">
        <f>SUMIFS($AS$3:AS1248,$Z$3:Z1248,"*",$AA$3:AA1248,"*")</f>
        <v>0</v>
      </c>
      <c r="BX896" s="87">
        <f>SUMIFS($AT$3:AT1248,$Q$3:Q1248,"F")</f>
        <v>0.22468701445796327</v>
      </c>
      <c r="BY896" s="87">
        <f>SUMIFS($AT$3:AT1248,$Q$3:Q1248,"S")</f>
        <v>0.41458988089887261</v>
      </c>
      <c r="BZ896" s="87">
        <f>SUMIFS($AT$3:AT1248,$Q$3:Q1248,"O")</f>
        <v>-0.1922833333333894</v>
      </c>
    </row>
    <row r="897" spans="1:78" ht="15.75" customHeight="1">
      <c r="A897" s="45" t="s">
        <v>2792</v>
      </c>
      <c r="B897" s="59"/>
      <c r="C897" s="46"/>
      <c r="D897" s="46"/>
      <c r="E897" s="66"/>
      <c r="F897" s="47"/>
      <c r="G897" s="48"/>
      <c r="H897" s="49"/>
      <c r="I897" s="49"/>
      <c r="J897" s="49"/>
      <c r="K897" s="50"/>
      <c r="L897" s="49"/>
      <c r="M897" s="49"/>
      <c r="N897" s="49"/>
      <c r="O897" s="50"/>
      <c r="P897" s="50"/>
      <c r="Q897" s="50"/>
      <c r="R897" s="50"/>
      <c r="S897" s="50"/>
      <c r="T897" s="50"/>
      <c r="U897" s="50"/>
      <c r="V897" s="50"/>
      <c r="W897" s="50"/>
      <c r="X897" s="50"/>
      <c r="Y897" s="51"/>
      <c r="Z897" s="52"/>
      <c r="AA897" s="52"/>
      <c r="AB897" s="52"/>
      <c r="AC897" s="52"/>
      <c r="AD897" s="231"/>
      <c r="AE897" s="49"/>
      <c r="AF897" s="84"/>
      <c r="AG897" s="49"/>
      <c r="AH897" s="49"/>
      <c r="AI897" s="49"/>
      <c r="AJ897" s="226"/>
      <c r="AK897" s="49"/>
      <c r="AL897" s="113">
        <f t="shared" ref="AL897:AL906" si="360">-0.02*Z897</f>
        <v>0</v>
      </c>
      <c r="AM897" s="113">
        <f t="shared" ref="AM897:AM928" si="361">AL897*(R897-S897)</f>
        <v>0</v>
      </c>
      <c r="AN897" s="218"/>
      <c r="AO897" s="49"/>
      <c r="AP897" s="49"/>
      <c r="AQ897" s="84" t="str">
        <f>UPPER(RIGHT(Journal_Live[[#This Row],[DURATION ]]))</f>
        <v/>
      </c>
      <c r="AR897" s="49"/>
      <c r="AS897" s="55"/>
      <c r="AT897" s="55"/>
      <c r="AU897" s="54"/>
      <c r="AV897" s="56"/>
      <c r="AW897" s="57"/>
      <c r="AX897" s="151" t="s">
        <v>2793</v>
      </c>
      <c r="AY897" s="151" t="s">
        <v>2794</v>
      </c>
      <c r="AZ897" s="151"/>
      <c r="BA897" s="151"/>
      <c r="BB897" s="151"/>
      <c r="BC897" s="151"/>
      <c r="BD897" s="151"/>
      <c r="BE897" s="152"/>
      <c r="BF897" s="151"/>
      <c r="BG897" s="94">
        <f>SUM($AV$4:AV897)</f>
        <v>6686.2108375297139</v>
      </c>
      <c r="BH897" s="95">
        <f>SUM($AU$4:AU897)</f>
        <v>42556.423836163201</v>
      </c>
      <c r="BI897" s="80">
        <f>SUMIFS($AU$3:AU898,$Q$3:Q898,"F")</f>
        <v>29235.078121878127</v>
      </c>
      <c r="BJ897" s="80">
        <f>SUMIFS($AU$3:AU898,$Q$3:Q898,"S")</f>
        <v>17938.285714285706</v>
      </c>
      <c r="BK897" s="87">
        <f>SUMIFS($AU$3:AU898,$P$3:P898,"W")</f>
        <v>17144.143836163403</v>
      </c>
      <c r="BL897" s="87">
        <f>SUMIFS($AU$3:AU898,$P$3:P898,"R")</f>
        <v>22616.400000000325</v>
      </c>
      <c r="BM897" s="87">
        <f>SUMIFS($AU$3:AU898,$AQ$3:AQ898,"M")</f>
        <v>8875.1799999983887</v>
      </c>
      <c r="BN897" s="87">
        <f>SUMIFS($AU$3:AU898,$AQ$3:AQ898,"H")</f>
        <v>11643.200000000877</v>
      </c>
      <c r="BO897" s="87">
        <f>SUMIFS($AU$3:AU898,$AQ$3:AQ898,"D")</f>
        <v>13122.377472527351</v>
      </c>
      <c r="BP897" s="87">
        <f>SUMIFS($AS$3:AS1299,$AO$3:AO1299,"W")</f>
        <v>0</v>
      </c>
      <c r="BQ897" s="87">
        <f>SUMIFS($AU$3:AU898,$Q$3:Q898,"O")</f>
        <v>-9340.9400000006026</v>
      </c>
      <c r="BR897" s="87">
        <f>SUMIFS($AU$3:AU898,$AA$3:AA898,"*")</f>
        <v>37881.5220779214</v>
      </c>
      <c r="BS897" s="87">
        <f>SUMIFS($AU$3:AU898,$AB$3:AB898,"*")</f>
        <v>7475.8599999999715</v>
      </c>
      <c r="BT897" s="87">
        <f>SUMIFS($AU$3:AU898,$AC$3:AC898,"*")</f>
        <v>33251.078121878119</v>
      </c>
      <c r="BU897" s="87">
        <f>SUMIFS($AU$3:AU898,$AA$3:AA898,"*",$AB$3:AB898,"*")</f>
        <v>7915.9999999997544</v>
      </c>
      <c r="BV897" s="87">
        <f>SUMIFS($AU$3:AU898,$AA$3:AA898,"*",$AC$3:AC898,"*")</f>
        <v>29696.036363636529</v>
      </c>
      <c r="BW897" s="87">
        <f>SUMIFS($AU$3:AU898,$AB$3:AB898,"*",$AC$3:AC898,"*")</f>
        <v>3863.9999999999991</v>
      </c>
      <c r="BX897" s="87">
        <f>SUMIFS($AV$3:AV898,$Q$3:Q898,"F")</f>
        <v>383.04019562430165</v>
      </c>
      <c r="BY897" s="87">
        <f>SUMIFS($AV$3:AV898,$Q$3:Q898,"S")</f>
        <v>676.61134190572739</v>
      </c>
      <c r="BZ897" s="87">
        <f>SUMIFS($AV$3:AV898,$Q$3:Q898,"O")</f>
        <v>378.55929999967736</v>
      </c>
    </row>
    <row r="898" spans="1:78" ht="15.75" customHeight="1">
      <c r="A898" s="45" t="s">
        <v>2792</v>
      </c>
      <c r="B898" s="59"/>
      <c r="C898" s="46"/>
      <c r="D898" s="46"/>
      <c r="E898" s="66"/>
      <c r="F898" s="47"/>
      <c r="G898" s="48"/>
      <c r="H898" s="49"/>
      <c r="I898" s="49"/>
      <c r="J898" s="49"/>
      <c r="K898" s="50"/>
      <c r="L898" s="49"/>
      <c r="M898" s="49"/>
      <c r="N898" s="49"/>
      <c r="O898" s="50"/>
      <c r="P898" s="50"/>
      <c r="Q898" s="50"/>
      <c r="R898" s="50"/>
      <c r="S898" s="50"/>
      <c r="T898" s="50"/>
      <c r="U898" s="50"/>
      <c r="V898" s="50"/>
      <c r="W898" s="50"/>
      <c r="X898" s="50"/>
      <c r="Y898" s="51"/>
      <c r="Z898" s="52"/>
      <c r="AA898" s="52"/>
      <c r="AB898" s="52"/>
      <c r="AC898" s="52"/>
      <c r="AD898" s="231"/>
      <c r="AE898" s="49"/>
      <c r="AF898" s="84"/>
      <c r="AG898" s="49"/>
      <c r="AH898" s="49"/>
      <c r="AI898" s="49"/>
      <c r="AJ898" s="226"/>
      <c r="AK898" s="49"/>
      <c r="AL898" s="113">
        <f t="shared" si="360"/>
        <v>0</v>
      </c>
      <c r="AM898" s="113">
        <f t="shared" si="361"/>
        <v>0</v>
      </c>
      <c r="AN898" s="218"/>
      <c r="AO898" s="49"/>
      <c r="AP898" s="49"/>
      <c r="AQ898" s="84" t="str">
        <f>UPPER(RIGHT(Journal_Live[[#This Row],[DURATION ]]))</f>
        <v/>
      </c>
      <c r="AR898" s="49"/>
      <c r="AS898" s="55"/>
      <c r="AT898" s="55"/>
      <c r="AU898" s="54"/>
      <c r="AV898" s="56"/>
      <c r="AW898" s="57"/>
      <c r="AX898" s="194" t="s">
        <v>2795</v>
      </c>
      <c r="AY898" s="151" t="s">
        <v>2796</v>
      </c>
      <c r="AZ898" s="151" t="s">
        <v>2797</v>
      </c>
      <c r="BA898" s="152" t="s">
        <v>2798</v>
      </c>
      <c r="BB898" s="151" t="s">
        <v>2799</v>
      </c>
      <c r="BC898" s="151" t="s">
        <v>2800</v>
      </c>
      <c r="BD898" s="151" t="s">
        <v>2801</v>
      </c>
      <c r="BE898" s="152"/>
      <c r="BF898" s="151"/>
      <c r="BG898" s="94">
        <f>SUM($AV$4:AV898)</f>
        <v>6686.2108375297139</v>
      </c>
      <c r="BH898" s="95">
        <f>SUM($AU$4:AU898)</f>
        <v>42556.423836163201</v>
      </c>
      <c r="BI898" s="80">
        <f>SUMIFS($AU$3:AU899,$Q$3:Q899,"F")</f>
        <v>29235.078121878127</v>
      </c>
      <c r="BJ898" s="80">
        <f>SUMIFS($AU$3:AU899,$Q$3:Q899,"S")</f>
        <v>17938.285714285706</v>
      </c>
      <c r="BK898" s="87">
        <f>SUMIFS($AU$3:AU899,$P$3:P899,"W")</f>
        <v>17144.143836163403</v>
      </c>
      <c r="BL898" s="87">
        <f>SUMIFS($AU$3:AU899,$P$3:P899,"R")</f>
        <v>22616.400000000325</v>
      </c>
      <c r="BM898" s="87">
        <f>SUMIFS($AU$3:AU899,$AQ$3:AQ899,"M")</f>
        <v>8875.1799999983887</v>
      </c>
      <c r="BN898" s="87">
        <f>SUMIFS($AU$3:AU899,$AQ$3:AQ899,"H")</f>
        <v>11643.200000000877</v>
      </c>
      <c r="BO898" s="87">
        <f>SUMIFS($AU$3:AU899,$AQ$3:AQ899,"D")</f>
        <v>13122.377472527351</v>
      </c>
      <c r="BP898" s="87">
        <f>SUMIFS($AS$3:AS1300,$AO$3:AO1300,"W")</f>
        <v>0</v>
      </c>
      <c r="BQ898" s="87">
        <f>SUMIFS($AU$3:AU899,$Q$3:Q899,"O")</f>
        <v>-9340.9400000006026</v>
      </c>
      <c r="BR898" s="87">
        <f>SUMIFS($AU$3:AU899,$AA$3:AA899,"*")</f>
        <v>37881.5220779214</v>
      </c>
      <c r="BS898" s="87">
        <f>SUMIFS($AU$3:AU899,$AB$3:AB899,"*")</f>
        <v>7475.8599999999715</v>
      </c>
      <c r="BT898" s="87">
        <f>SUMIFS($AU$3:AU899,$AC$3:AC899,"*")</f>
        <v>33251.078121878119</v>
      </c>
      <c r="BU898" s="87">
        <f>SUMIFS($AU$3:AU899,$AA$3:AA899,"*",$AB$3:AB899,"*")</f>
        <v>7915.9999999997544</v>
      </c>
      <c r="BV898" s="87">
        <f>SUMIFS($AU$3:AU899,$AA$3:AA899,"*",$AC$3:AC899,"*")</f>
        <v>29696.036363636529</v>
      </c>
      <c r="BW898" s="87">
        <f>SUMIFS($AU$3:AU899,$AB$3:AB899,"*",$AC$3:AC899,"*")</f>
        <v>3863.9999999999991</v>
      </c>
      <c r="BX898" s="87">
        <f>SUMIFS($AV$3:AV899,$Q$3:Q899,"F")</f>
        <v>383.04019562430165</v>
      </c>
      <c r="BY898" s="87">
        <f>SUMIFS($AV$3:AV899,$Q$3:Q899,"S")</f>
        <v>676.61134190572739</v>
      </c>
      <c r="BZ898" s="87">
        <f>SUMIFS($AV$3:AV899,$Q$3:Q899,"O")</f>
        <v>378.55929999967736</v>
      </c>
    </row>
    <row r="899" spans="1:78" ht="15.75" customHeight="1">
      <c r="A899" s="45" t="s">
        <v>2792</v>
      </c>
      <c r="B899" s="59"/>
      <c r="C899" s="46"/>
      <c r="D899" s="46"/>
      <c r="E899" s="66"/>
      <c r="F899" s="47"/>
      <c r="G899" s="48"/>
      <c r="H899" s="49"/>
      <c r="I899" s="49"/>
      <c r="J899" s="49"/>
      <c r="K899" s="50"/>
      <c r="L899" s="49"/>
      <c r="M899" s="49"/>
      <c r="N899" s="49"/>
      <c r="O899" s="50"/>
      <c r="P899" s="50"/>
      <c r="Q899" s="50"/>
      <c r="R899" s="50"/>
      <c r="S899" s="50"/>
      <c r="T899" s="50"/>
      <c r="U899" s="50"/>
      <c r="V899" s="50"/>
      <c r="W899" s="50"/>
      <c r="X899" s="50"/>
      <c r="Y899" s="51"/>
      <c r="Z899" s="52"/>
      <c r="AA899" s="52"/>
      <c r="AB899" s="52"/>
      <c r="AC899" s="52"/>
      <c r="AD899" s="231"/>
      <c r="AE899" s="49"/>
      <c r="AF899" s="84"/>
      <c r="AG899" s="49"/>
      <c r="AH899" s="49"/>
      <c r="AI899" s="49"/>
      <c r="AJ899" s="226"/>
      <c r="AK899" s="49"/>
      <c r="AL899" s="113">
        <f t="shared" si="360"/>
        <v>0</v>
      </c>
      <c r="AM899" s="113">
        <f t="shared" si="361"/>
        <v>0</v>
      </c>
      <c r="AN899" s="218"/>
      <c r="AO899" s="49"/>
      <c r="AP899" s="49"/>
      <c r="AQ899" s="84" t="str">
        <f>UPPER(RIGHT(Journal_Live[[#This Row],[DURATION ]]))</f>
        <v/>
      </c>
      <c r="AR899" s="49"/>
      <c r="AS899" s="55"/>
      <c r="AT899" s="55"/>
      <c r="AU899" s="54"/>
      <c r="AV899" s="56"/>
      <c r="AW899" s="57"/>
      <c r="AX899" s="96"/>
      <c r="AY899" s="97" t="s">
        <v>2802</v>
      </c>
      <c r="AZ899" s="151" t="s">
        <v>2803</v>
      </c>
      <c r="BA899" s="151" t="s">
        <v>2804</v>
      </c>
      <c r="BB899" s="151" t="s">
        <v>2805</v>
      </c>
      <c r="BC899" s="151" t="s">
        <v>2806</v>
      </c>
      <c r="BD899" s="151" t="s">
        <v>2807</v>
      </c>
      <c r="BE899" s="152"/>
      <c r="BF899" s="151"/>
      <c r="BG899" s="94">
        <f>SUM($AV$4:AV899)</f>
        <v>6686.2108375297139</v>
      </c>
      <c r="BH899" s="95">
        <f>SUM($AU$4:AU899)</f>
        <v>42556.423836163201</v>
      </c>
      <c r="BI899" s="80">
        <f>SUMIFS($AU$3:AU900,$Q$3:Q900,"F")</f>
        <v>29235.078121878127</v>
      </c>
      <c r="BJ899" s="80">
        <f>SUMIFS($AU$3:AU900,$Q$3:Q900,"S")</f>
        <v>17938.285714285706</v>
      </c>
      <c r="BK899" s="87">
        <f>SUMIFS($AU$3:AU900,$P$3:P900,"W")</f>
        <v>17144.143836163403</v>
      </c>
      <c r="BL899" s="87">
        <f>SUMIFS($AU$3:AU900,$P$3:P900,"R")</f>
        <v>22616.400000000325</v>
      </c>
      <c r="BM899" s="87">
        <f>SUMIFS($AU$3:AU900,$AQ$3:AQ900,"M")</f>
        <v>8875.1799999983887</v>
      </c>
      <c r="BN899" s="87">
        <f>SUMIFS($AU$3:AU900,$AQ$3:AQ900,"H")</f>
        <v>11643.200000000877</v>
      </c>
      <c r="BO899" s="87">
        <f>SUMIFS($AU$3:AU900,$AQ$3:AQ900,"D")</f>
        <v>13122.377472527351</v>
      </c>
      <c r="BP899" s="87">
        <f>SUMIFS($AS$3:AS1301,$AO$3:AO1301,"W")</f>
        <v>0</v>
      </c>
      <c r="BQ899" s="87">
        <f>SUMIFS($AU$3:AU900,$Q$3:Q900,"O")</f>
        <v>-9340.9400000006026</v>
      </c>
      <c r="BR899" s="87">
        <f>SUMIFS($AU$3:AU900,$AA$3:AA900,"*")</f>
        <v>37881.5220779214</v>
      </c>
      <c r="BS899" s="87">
        <f>SUMIFS($AU$3:AU900,$AB$3:AB900,"*")</f>
        <v>7475.8599999999715</v>
      </c>
      <c r="BT899" s="87">
        <f>SUMIFS($AU$3:AU900,$AC$3:AC900,"*")</f>
        <v>33251.078121878119</v>
      </c>
      <c r="BU899" s="87">
        <f>SUMIFS($AU$3:AU900,$AA$3:AA900,"*",$AB$3:AB900,"*")</f>
        <v>7915.9999999997544</v>
      </c>
      <c r="BV899" s="87">
        <f>SUMIFS($AU$3:AU900,$AA$3:AA900,"*",$AC$3:AC900,"*")</f>
        <v>29696.036363636529</v>
      </c>
      <c r="BW899" s="87">
        <f>SUMIFS($AU$3:AU900,$AB$3:AB900,"*",$AC$3:AC900,"*")</f>
        <v>3863.9999999999991</v>
      </c>
      <c r="BX899" s="87">
        <f>SUMIFS($AV$3:AV900,$Q$3:Q900,"F")</f>
        <v>383.04019562430165</v>
      </c>
      <c r="BY899" s="87">
        <f>SUMIFS($AV$3:AV900,$Q$3:Q900,"S")</f>
        <v>676.61134190572739</v>
      </c>
      <c r="BZ899" s="87">
        <f>SUMIFS($AV$3:AV900,$Q$3:Q900,"O")</f>
        <v>378.55929999967736</v>
      </c>
    </row>
    <row r="900" spans="1:78" ht="15.75" customHeight="1">
      <c r="A900" s="45" t="s">
        <v>2792</v>
      </c>
      <c r="B900" s="59"/>
      <c r="C900" s="46"/>
      <c r="D900" s="46"/>
      <c r="E900" s="66"/>
      <c r="F900" s="47"/>
      <c r="G900" s="48"/>
      <c r="H900" s="49"/>
      <c r="I900" s="49"/>
      <c r="J900" s="49"/>
      <c r="K900" s="50"/>
      <c r="L900" s="49"/>
      <c r="M900" s="49"/>
      <c r="N900" s="49"/>
      <c r="O900" s="50"/>
      <c r="P900" s="50"/>
      <c r="Q900" s="50"/>
      <c r="R900" s="50"/>
      <c r="S900" s="50"/>
      <c r="T900" s="50"/>
      <c r="U900" s="50"/>
      <c r="V900" s="50"/>
      <c r="W900" s="50"/>
      <c r="X900" s="50"/>
      <c r="Y900" s="51"/>
      <c r="Z900" s="52"/>
      <c r="AA900" s="52"/>
      <c r="AB900" s="52"/>
      <c r="AC900" s="52"/>
      <c r="AD900" s="231"/>
      <c r="AE900" s="49"/>
      <c r="AF900" s="84"/>
      <c r="AG900" s="49"/>
      <c r="AH900" s="49"/>
      <c r="AI900" s="49"/>
      <c r="AJ900" s="226"/>
      <c r="AK900" s="49"/>
      <c r="AL900" s="113">
        <f t="shared" si="360"/>
        <v>0</v>
      </c>
      <c r="AM900" s="113">
        <f t="shared" si="361"/>
        <v>0</v>
      </c>
      <c r="AN900" s="218"/>
      <c r="AO900" s="49"/>
      <c r="AP900" s="49"/>
      <c r="AQ900" s="84" t="str">
        <f>UPPER(RIGHT(Journal_Live[[#This Row],[DURATION ]]))</f>
        <v/>
      </c>
      <c r="AR900" s="49"/>
      <c r="AS900" s="55"/>
      <c r="AT900" s="55"/>
      <c r="AU900" s="54"/>
      <c r="AV900" s="56"/>
      <c r="AW900" s="57"/>
      <c r="AX900" s="151"/>
      <c r="AY900" s="151"/>
      <c r="AZ900" s="151"/>
      <c r="BA900" s="151"/>
      <c r="BB900" s="151"/>
      <c r="BC900" s="151"/>
      <c r="BD900" s="151"/>
      <c r="BE900" s="152"/>
      <c r="BF900" s="151"/>
      <c r="BG900" s="94">
        <f>SUM($AV$4:AV900)</f>
        <v>6686.2108375297139</v>
      </c>
      <c r="BH900" s="95">
        <f>SUM($AU$4:AU900)</f>
        <v>42556.423836163201</v>
      </c>
      <c r="BI900" s="80">
        <f>SUMIFS($AU$3:AU901,$Q$3:Q901,"F")</f>
        <v>29235.078121878127</v>
      </c>
      <c r="BJ900" s="80">
        <f>SUMIFS($AU$3:AU901,$Q$3:Q901,"S")</f>
        <v>17938.285714285706</v>
      </c>
      <c r="BK900" s="87">
        <f>SUMIFS($AU$3:AU901,$P$3:P901,"W")</f>
        <v>17144.143836163403</v>
      </c>
      <c r="BL900" s="87">
        <f>SUMIFS($AU$3:AU901,$P$3:P901,"R")</f>
        <v>22616.400000000325</v>
      </c>
      <c r="BM900" s="87">
        <f>SUMIFS($AU$3:AU901,$AQ$3:AQ901,"M")</f>
        <v>8875.1799999983887</v>
      </c>
      <c r="BN900" s="87">
        <f>SUMIFS($AU$3:AU901,$AQ$3:AQ901,"H")</f>
        <v>11643.200000000877</v>
      </c>
      <c r="BO900" s="87">
        <f>SUMIFS($AU$3:AU901,$AQ$3:AQ901,"D")</f>
        <v>13122.377472527351</v>
      </c>
      <c r="BP900" s="87">
        <f>SUMIFS($AS$3:AS1302,$AO$3:AO1302,"W")</f>
        <v>0</v>
      </c>
      <c r="BQ900" s="87">
        <f>SUMIFS($AU$3:AU901,$Q$3:Q901,"O")</f>
        <v>-9340.9400000006026</v>
      </c>
      <c r="BR900" s="87">
        <f>SUMIFS($AU$3:AU901,$AA$3:AA901,"*")</f>
        <v>37881.5220779214</v>
      </c>
      <c r="BS900" s="87">
        <f>SUMIFS($AU$3:AU901,$AB$3:AB901,"*")</f>
        <v>7475.8599999999715</v>
      </c>
      <c r="BT900" s="87">
        <f>SUMIFS($AU$3:AU901,$AC$3:AC901,"*")</f>
        <v>33251.078121878119</v>
      </c>
      <c r="BU900" s="87">
        <f>SUMIFS($AU$3:AU901,$AA$3:AA901,"*",$AB$3:AB901,"*")</f>
        <v>7915.9999999997544</v>
      </c>
      <c r="BV900" s="87">
        <f>SUMIFS($AU$3:AU901,$AA$3:AA901,"*",$AC$3:AC901,"*")</f>
        <v>29696.036363636529</v>
      </c>
      <c r="BW900" s="87">
        <f>SUMIFS($AU$3:AU901,$AB$3:AB901,"*",$AC$3:AC901,"*")</f>
        <v>3863.9999999999991</v>
      </c>
      <c r="BX900" s="87">
        <f>SUMIFS($AV$3:AV901,$Q$3:Q901,"F")</f>
        <v>383.04019562430165</v>
      </c>
      <c r="BY900" s="87">
        <f>SUMIFS($AV$3:AV901,$Q$3:Q901,"S")</f>
        <v>676.61134190572739</v>
      </c>
      <c r="BZ900" s="87">
        <f>SUMIFS($AV$3:AV901,$Q$3:Q901,"O")</f>
        <v>378.55929999967736</v>
      </c>
    </row>
    <row r="901" spans="1:78" ht="15.75" customHeight="1">
      <c r="A901" s="45" t="s">
        <v>2792</v>
      </c>
      <c r="B901" s="59"/>
      <c r="C901" s="46"/>
      <c r="D901" s="46"/>
      <c r="E901" s="66"/>
      <c r="F901" s="47"/>
      <c r="G901" s="48"/>
      <c r="H901" s="49"/>
      <c r="I901" s="49"/>
      <c r="J901" s="49"/>
      <c r="K901" s="50"/>
      <c r="L901" s="49"/>
      <c r="M901" s="49"/>
      <c r="N901" s="49"/>
      <c r="O901" s="50"/>
      <c r="P901" s="50"/>
      <c r="Q901" s="50"/>
      <c r="R901" s="50"/>
      <c r="S901" s="50"/>
      <c r="T901" s="50"/>
      <c r="U901" s="50"/>
      <c r="V901" s="50"/>
      <c r="W901" s="50"/>
      <c r="X901" s="50"/>
      <c r="Y901" s="51"/>
      <c r="Z901" s="52"/>
      <c r="AA901" s="52"/>
      <c r="AB901" s="52"/>
      <c r="AC901" s="52"/>
      <c r="AD901" s="231"/>
      <c r="AE901" s="49"/>
      <c r="AF901" s="84"/>
      <c r="AG901" s="49"/>
      <c r="AH901" s="49"/>
      <c r="AI901" s="49"/>
      <c r="AJ901" s="226"/>
      <c r="AK901" s="49"/>
      <c r="AL901" s="113">
        <f t="shared" si="360"/>
        <v>0</v>
      </c>
      <c r="AM901" s="113">
        <f t="shared" si="361"/>
        <v>0</v>
      </c>
      <c r="AN901" s="218"/>
      <c r="AO901" s="49"/>
      <c r="AP901" s="49"/>
      <c r="AQ901" s="84" t="str">
        <f>UPPER(RIGHT(Journal_Live[[#This Row],[DURATION ]]))</f>
        <v/>
      </c>
      <c r="AR901" s="49"/>
      <c r="AS901" s="55"/>
      <c r="AT901" s="55"/>
      <c r="AU901" s="54"/>
      <c r="AV901" s="56"/>
      <c r="AW901" s="57"/>
      <c r="AX901" s="193" t="s">
        <v>2808</v>
      </c>
      <c r="AY901" s="151" t="s">
        <v>2809</v>
      </c>
      <c r="AZ901" s="151" t="s">
        <v>2810</v>
      </c>
      <c r="BA901" s="151" t="s">
        <v>2811</v>
      </c>
      <c r="BB901" s="151" t="s">
        <v>2812</v>
      </c>
      <c r="BC901" s="151"/>
      <c r="BD901" s="151"/>
      <c r="BE901" s="152"/>
      <c r="BF901" s="151"/>
      <c r="BG901" s="94">
        <f>SUM($AV$4:AV901)</f>
        <v>6686.2108375297139</v>
      </c>
      <c r="BH901" s="95">
        <f>SUM($AU$4:AU901)</f>
        <v>42556.423836163201</v>
      </c>
      <c r="BI901" s="80">
        <f>SUMIFS($AU$3:AU902,$Q$3:Q902,"F")</f>
        <v>29235.078121878127</v>
      </c>
      <c r="BJ901" s="80">
        <f>SUMIFS($AU$3:AU902,$Q$3:Q902,"S")</f>
        <v>17938.285714285706</v>
      </c>
      <c r="BK901" s="87">
        <f>SUMIFS($AU$3:AU902,$P$3:P902,"W")</f>
        <v>17144.143836163403</v>
      </c>
      <c r="BL901" s="87">
        <f>SUMIFS($AU$3:AU902,$P$3:P902,"R")</f>
        <v>22616.400000000325</v>
      </c>
      <c r="BM901" s="87">
        <f>SUMIFS($AU$3:AU902,$AQ$3:AQ902,"M")</f>
        <v>8875.1799999983887</v>
      </c>
      <c r="BN901" s="87">
        <f>SUMIFS($AU$3:AU902,$AQ$3:AQ902,"H")</f>
        <v>11643.200000000877</v>
      </c>
      <c r="BO901" s="87">
        <f>SUMIFS($AU$3:AU902,$AQ$3:AQ902,"D")</f>
        <v>13122.377472527351</v>
      </c>
      <c r="BP901" s="87">
        <f>SUMIFS($AS$3:AS1303,$AO$3:AO1303,"W")</f>
        <v>0</v>
      </c>
      <c r="BQ901" s="87">
        <f>SUMIFS($AU$3:AU902,$Q$3:Q902,"O")</f>
        <v>-9340.9400000006026</v>
      </c>
      <c r="BR901" s="87">
        <f>SUMIFS($AU$3:AU902,$AA$3:AA902,"*")</f>
        <v>37881.5220779214</v>
      </c>
      <c r="BS901" s="87">
        <f>SUMIFS($AU$3:AU902,$AB$3:AB902,"*")</f>
        <v>7475.8599999999715</v>
      </c>
      <c r="BT901" s="87">
        <f>SUMIFS($AU$3:AU902,$AC$3:AC902,"*")</f>
        <v>33251.078121878119</v>
      </c>
      <c r="BU901" s="87">
        <f>SUMIFS($AU$3:AU902,$AA$3:AA902,"*",$AB$3:AB902,"*")</f>
        <v>7915.9999999997544</v>
      </c>
      <c r="BV901" s="87">
        <f>SUMIFS($AU$3:AU902,$AA$3:AA902,"*",$AC$3:AC902,"*")</f>
        <v>29696.036363636529</v>
      </c>
      <c r="BW901" s="87">
        <f>SUMIFS($AU$3:AU902,$AB$3:AB902,"*",$AC$3:AC902,"*")</f>
        <v>3863.9999999999991</v>
      </c>
      <c r="BX901" s="87">
        <f>SUMIFS($AV$3:AV902,$Q$3:Q902,"F")</f>
        <v>383.04019562430165</v>
      </c>
      <c r="BY901" s="87">
        <f>SUMIFS($AV$3:AV902,$Q$3:Q902,"S")</f>
        <v>676.61134190572739</v>
      </c>
      <c r="BZ901" s="87">
        <f>SUMIFS($AV$3:AV902,$Q$3:Q902,"O")</f>
        <v>378.55929999967736</v>
      </c>
    </row>
    <row r="902" spans="1:78" ht="15.75" customHeight="1">
      <c r="A902" s="45" t="s">
        <v>2792</v>
      </c>
      <c r="B902" s="59"/>
      <c r="C902" s="46"/>
      <c r="D902" s="46"/>
      <c r="E902" s="66"/>
      <c r="F902" s="47"/>
      <c r="G902" s="48"/>
      <c r="H902" s="49"/>
      <c r="I902" s="49"/>
      <c r="J902" s="49"/>
      <c r="K902" s="50"/>
      <c r="L902" s="49"/>
      <c r="M902" s="49"/>
      <c r="N902" s="49"/>
      <c r="O902" s="50"/>
      <c r="P902" s="50"/>
      <c r="Q902" s="50"/>
      <c r="R902" s="50"/>
      <c r="S902" s="50"/>
      <c r="T902" s="50"/>
      <c r="U902" s="50"/>
      <c r="V902" s="50"/>
      <c r="W902" s="50"/>
      <c r="X902" s="50"/>
      <c r="Y902" s="51"/>
      <c r="Z902" s="52"/>
      <c r="AA902" s="52"/>
      <c r="AB902" s="52"/>
      <c r="AC902" s="52"/>
      <c r="AD902" s="231"/>
      <c r="AE902" s="49"/>
      <c r="AF902" s="84"/>
      <c r="AG902" s="49"/>
      <c r="AH902" s="49"/>
      <c r="AI902" s="49"/>
      <c r="AJ902" s="226"/>
      <c r="AK902" s="49"/>
      <c r="AL902" s="113">
        <f t="shared" si="360"/>
        <v>0</v>
      </c>
      <c r="AM902" s="113">
        <f t="shared" si="361"/>
        <v>0</v>
      </c>
      <c r="AN902" s="218"/>
      <c r="AO902" s="49"/>
      <c r="AP902" s="49"/>
      <c r="AQ902" s="84" t="str">
        <f>UPPER(RIGHT(Journal_Live[[#This Row],[DURATION ]]))</f>
        <v/>
      </c>
      <c r="AR902" s="49"/>
      <c r="AS902" s="55"/>
      <c r="AT902" s="55"/>
      <c r="AU902" s="54"/>
      <c r="AV902" s="56"/>
      <c r="AW902" s="57"/>
      <c r="AX902" s="151" t="s">
        <v>2813</v>
      </c>
      <c r="AY902" s="151">
        <v>9</v>
      </c>
      <c r="AZ902" s="151">
        <v>8</v>
      </c>
      <c r="BA902" s="151" t="s">
        <v>2814</v>
      </c>
      <c r="BB902" s="151"/>
      <c r="BC902" s="151"/>
      <c r="BD902" s="151"/>
      <c r="BE902" s="152"/>
      <c r="BF902" s="151"/>
      <c r="BG902" s="94">
        <f>SUM($AV$4:AV902)</f>
        <v>6686.2108375297139</v>
      </c>
      <c r="BH902" s="95">
        <f>SUM($AU$4:AU902)</f>
        <v>42556.423836163201</v>
      </c>
      <c r="BI902" s="80">
        <f>SUMIFS($AU$3:AU903,$Q$3:Q903,"F")</f>
        <v>29235.078121878127</v>
      </c>
      <c r="BJ902" s="80">
        <f>SUMIFS($AU$3:AU903,$Q$3:Q903,"S")</f>
        <v>17938.285714285706</v>
      </c>
      <c r="BK902" s="87">
        <f>SUMIFS($AU$3:AU903,$P$3:P903,"W")</f>
        <v>17144.143836163403</v>
      </c>
      <c r="BL902" s="87">
        <f>SUMIFS($AU$3:AU903,$P$3:P903,"R")</f>
        <v>22616.400000000325</v>
      </c>
      <c r="BM902" s="87">
        <f>SUMIFS($AU$3:AU903,$AQ$3:AQ903,"M")</f>
        <v>8875.1799999983887</v>
      </c>
      <c r="BN902" s="87">
        <f>SUMIFS($AU$3:AU903,$AQ$3:AQ903,"H")</f>
        <v>11643.200000000877</v>
      </c>
      <c r="BO902" s="87">
        <f>SUMIFS($AU$3:AU903,$AQ$3:AQ903,"D")</f>
        <v>13122.377472527351</v>
      </c>
      <c r="BP902" s="87">
        <f>SUMIFS($AS$3:AS1304,$AO$3:AO1304,"W")</f>
        <v>0</v>
      </c>
      <c r="BQ902" s="87">
        <f>SUMIFS($AU$3:AU903,$Q$3:Q903,"O")</f>
        <v>-9340.9400000006026</v>
      </c>
      <c r="BR902" s="87">
        <f>SUMIFS($AU$3:AU903,$AA$3:AA903,"*")</f>
        <v>37881.5220779214</v>
      </c>
      <c r="BS902" s="87">
        <f>SUMIFS($AU$3:AU903,$AB$3:AB903,"*")</f>
        <v>7475.8599999999715</v>
      </c>
      <c r="BT902" s="87">
        <f>SUMIFS($AU$3:AU903,$AC$3:AC903,"*")</f>
        <v>33251.078121878119</v>
      </c>
      <c r="BU902" s="87">
        <f>SUMIFS($AU$3:AU903,$AA$3:AA903,"*",$AB$3:AB903,"*")</f>
        <v>7915.9999999997544</v>
      </c>
      <c r="BV902" s="87">
        <f>SUMIFS($AU$3:AU903,$AA$3:AA903,"*",$AC$3:AC903,"*")</f>
        <v>29696.036363636529</v>
      </c>
      <c r="BW902" s="87">
        <f>SUMIFS($AU$3:AU903,$AB$3:AB903,"*",$AC$3:AC903,"*")</f>
        <v>3863.9999999999991</v>
      </c>
      <c r="BX902" s="87">
        <f>SUMIFS($AV$3:AV903,$Q$3:Q903,"F")</f>
        <v>383.04019562430165</v>
      </c>
      <c r="BY902" s="87">
        <f>SUMIFS($AV$3:AV903,$Q$3:Q903,"S")</f>
        <v>676.61134190572739</v>
      </c>
      <c r="BZ902" s="87">
        <f>SUMIFS($AV$3:AV903,$Q$3:Q903,"O")</f>
        <v>378.55929999967736</v>
      </c>
    </row>
    <row r="903" spans="1:78" ht="15.75" customHeight="1">
      <c r="A903" s="45" t="s">
        <v>2792</v>
      </c>
      <c r="B903" s="59"/>
      <c r="C903" s="46"/>
      <c r="D903" s="46"/>
      <c r="E903" s="66"/>
      <c r="F903" s="47"/>
      <c r="G903" s="48"/>
      <c r="H903" s="49"/>
      <c r="I903" s="49"/>
      <c r="J903" s="49"/>
      <c r="K903" s="50"/>
      <c r="L903" s="49"/>
      <c r="M903" s="49"/>
      <c r="N903" s="49"/>
      <c r="O903" s="50"/>
      <c r="P903" s="50"/>
      <c r="Q903" s="50"/>
      <c r="R903" s="50"/>
      <c r="S903" s="50"/>
      <c r="T903" s="50"/>
      <c r="U903" s="50"/>
      <c r="V903" s="50"/>
      <c r="W903" s="50"/>
      <c r="X903" s="50"/>
      <c r="Y903" s="51"/>
      <c r="Z903" s="52"/>
      <c r="AA903" s="52"/>
      <c r="AB903" s="52"/>
      <c r="AC903" s="52"/>
      <c r="AD903" s="231"/>
      <c r="AE903" s="49"/>
      <c r="AF903" s="84"/>
      <c r="AG903" s="49"/>
      <c r="AH903" s="49"/>
      <c r="AI903" s="49"/>
      <c r="AJ903" s="226"/>
      <c r="AK903" s="49"/>
      <c r="AL903" s="113">
        <f t="shared" si="360"/>
        <v>0</v>
      </c>
      <c r="AM903" s="113">
        <f t="shared" si="361"/>
        <v>0</v>
      </c>
      <c r="AN903" s="218"/>
      <c r="AO903" s="49"/>
      <c r="AP903" s="49"/>
      <c r="AQ903" s="84" t="str">
        <f>UPPER(RIGHT(Journal_Live[[#This Row],[DURATION ]]))</f>
        <v/>
      </c>
      <c r="AR903" s="49"/>
      <c r="AS903" s="55"/>
      <c r="AT903" s="55"/>
      <c r="AU903" s="54"/>
      <c r="AV903" s="56"/>
      <c r="AW903" s="57"/>
      <c r="AX903" s="151" t="s">
        <v>2815</v>
      </c>
      <c r="AY903" s="151"/>
      <c r="AZ903" s="151"/>
      <c r="BA903" s="151"/>
      <c r="BB903" s="151"/>
      <c r="BC903" s="151"/>
      <c r="BD903" s="151"/>
      <c r="BE903" s="152"/>
      <c r="BF903" s="151"/>
      <c r="BG903" s="94">
        <f>SUM($AV$4:AV903)</f>
        <v>6686.2108375297139</v>
      </c>
      <c r="BH903" s="95">
        <f>SUM($AU$4:AU903)</f>
        <v>42556.423836163201</v>
      </c>
      <c r="BI903" s="80">
        <f>SUMIFS($AU$3:AU904,$Q$3:Q904,"F")</f>
        <v>29235.078121878127</v>
      </c>
      <c r="BJ903" s="80">
        <f>SUMIFS($AU$3:AU904,$Q$3:Q904,"S")</f>
        <v>17938.285714285706</v>
      </c>
      <c r="BK903" s="87">
        <f>SUMIFS($AU$3:AU904,$P$3:P904,"W")</f>
        <v>17144.143836163403</v>
      </c>
      <c r="BL903" s="87">
        <f>SUMIFS($AU$3:AU904,$P$3:P904,"R")</f>
        <v>22616.400000000325</v>
      </c>
      <c r="BM903" s="87">
        <f>SUMIFS($AU$3:AU904,$AQ$3:AQ904,"M")</f>
        <v>8875.1799999983887</v>
      </c>
      <c r="BN903" s="87">
        <f>SUMIFS($AU$3:AU904,$AQ$3:AQ904,"H")</f>
        <v>11643.200000000877</v>
      </c>
      <c r="BO903" s="87">
        <f>SUMIFS($AU$3:AU904,$AQ$3:AQ904,"D")</f>
        <v>13122.377472527351</v>
      </c>
      <c r="BP903" s="87">
        <f>SUMIFS($AS$3:AS1305,$AO$3:AO1305,"W")</f>
        <v>0</v>
      </c>
      <c r="BQ903" s="87">
        <f>SUMIFS($AU$3:AU904,$Q$3:Q904,"O")</f>
        <v>-9340.9400000006026</v>
      </c>
      <c r="BR903" s="87">
        <f>SUMIFS($AU$3:AU904,$AA$3:AA904,"*")</f>
        <v>37881.5220779214</v>
      </c>
      <c r="BS903" s="87">
        <f>SUMIFS($AU$3:AU904,$AB$3:AB904,"*")</f>
        <v>7475.8599999999715</v>
      </c>
      <c r="BT903" s="87">
        <f>SUMIFS($AU$3:AU904,$AC$3:AC904,"*")</f>
        <v>33251.078121878119</v>
      </c>
      <c r="BU903" s="87">
        <f>SUMIFS($AU$3:AU904,$AA$3:AA904,"*",$AB$3:AB904,"*")</f>
        <v>7915.9999999997544</v>
      </c>
      <c r="BV903" s="87">
        <f>SUMIFS($AU$3:AU904,$AA$3:AA904,"*",$AC$3:AC904,"*")</f>
        <v>29696.036363636529</v>
      </c>
      <c r="BW903" s="87">
        <f>SUMIFS($AU$3:AU904,$AB$3:AB904,"*",$AC$3:AC904,"*")</f>
        <v>3863.9999999999991</v>
      </c>
      <c r="BX903" s="87">
        <f>SUMIFS($AV$3:AV904,$Q$3:Q904,"F")</f>
        <v>383.04019562430165</v>
      </c>
      <c r="BY903" s="87">
        <f>SUMIFS($AV$3:AV904,$Q$3:Q904,"S")</f>
        <v>676.61134190572739</v>
      </c>
      <c r="BZ903" s="87">
        <f>SUMIFS($AV$3:AV904,$Q$3:Q904,"O")</f>
        <v>378.55929999967736</v>
      </c>
    </row>
    <row r="904" spans="1:78" ht="15.75" customHeight="1">
      <c r="A904" s="45" t="s">
        <v>2792</v>
      </c>
      <c r="B904" s="59">
        <v>45474</v>
      </c>
      <c r="C904" s="46" t="s">
        <v>2816</v>
      </c>
      <c r="D904" s="46" t="s">
        <v>176</v>
      </c>
      <c r="E904" s="66"/>
      <c r="F904" s="47"/>
      <c r="G904" s="155" t="s">
        <v>2596</v>
      </c>
      <c r="H904" s="49"/>
      <c r="I904" s="49"/>
      <c r="J904" s="49"/>
      <c r="K904" s="50"/>
      <c r="L904" s="49"/>
      <c r="M904" s="49">
        <v>1</v>
      </c>
      <c r="N904" s="49"/>
      <c r="O904" s="50" t="s">
        <v>100</v>
      </c>
      <c r="P904" s="50" t="s">
        <v>126</v>
      </c>
      <c r="Q904" s="50" t="s">
        <v>102</v>
      </c>
      <c r="R904" s="50">
        <v>72</v>
      </c>
      <c r="S904" s="50">
        <v>0</v>
      </c>
      <c r="T904" s="50">
        <v>72</v>
      </c>
      <c r="U904" s="50" t="s">
        <v>102</v>
      </c>
      <c r="V904" s="50"/>
      <c r="W904" s="50"/>
      <c r="X904" s="50"/>
      <c r="Y904" s="51">
        <f>IF(ISBLANK(O904),"",(IF(O904=UPPER("IB"),0.005,0.01)))</f>
        <v>0.01</v>
      </c>
      <c r="Z904" s="52">
        <f>IF(ISBLANK(O904),"",IF(O904="IB",8.63*200,IF(O904="IR",16*100,IF(O904="YT",20*100,IF(O904="YT-XT",24*200,IF(O904="TED",80*100,IF(O904="IR|YT",300*100)))))))</f>
        <v>1600</v>
      </c>
      <c r="AA904" s="52" t="s">
        <v>2817</v>
      </c>
      <c r="AB904" s="52"/>
      <c r="AC904" s="52"/>
      <c r="AD904" s="231">
        <v>-0.04</v>
      </c>
      <c r="AE904" s="49"/>
      <c r="AF904" s="84"/>
      <c r="AG904" s="49"/>
      <c r="AH904" s="49"/>
      <c r="AI904" s="49"/>
      <c r="AJ904" s="226"/>
      <c r="AK904" s="49"/>
      <c r="AL904" s="113">
        <f t="shared" si="360"/>
        <v>-32</v>
      </c>
      <c r="AM904" s="113">
        <f t="shared" si="361"/>
        <v>-2304</v>
      </c>
      <c r="AN904" s="218"/>
      <c r="AO904" s="49"/>
      <c r="AP904" s="49"/>
      <c r="AQ904" s="84" t="s">
        <v>142</v>
      </c>
      <c r="AR904" s="49"/>
      <c r="AS904" s="55">
        <v>-0.04</v>
      </c>
      <c r="AT904" s="55">
        <f>IF(ISBLANK(AS904),,IF(U904="S",AD904-AS904,AS904-AD904))</f>
        <v>0</v>
      </c>
      <c r="AU904" s="54">
        <f>AV904*R904</f>
        <v>0</v>
      </c>
      <c r="AV904" s="56">
        <f t="shared" ref="AV904:AV906" si="362">IF(ISBLANK(AS904),,(AT904*Z904))</f>
        <v>0</v>
      </c>
      <c r="AW904" s="57" t="s">
        <v>155</v>
      </c>
      <c r="AX904" s="151" t="s">
        <v>2818</v>
      </c>
      <c r="AY904" s="151"/>
      <c r="AZ904" s="151"/>
      <c r="BA904" s="151"/>
      <c r="BB904" s="151"/>
      <c r="BC904" s="151"/>
      <c r="BD904" s="151"/>
      <c r="BE904" s="152"/>
      <c r="BF904" s="151"/>
      <c r="BG904" s="94">
        <f>SUM($AV$4:AV904)</f>
        <v>6686.2108375297139</v>
      </c>
      <c r="BH904" s="95">
        <f>SUM($AU$4:AU904)</f>
        <v>42556.423836163201</v>
      </c>
      <c r="BI904" s="80">
        <f>SUMIFS($AU$3:AU905,$Q$3:Q905,"F")</f>
        <v>29235.078121878127</v>
      </c>
      <c r="BJ904" s="80">
        <f>SUMIFS($AU$3:AU905,$Q$3:Q905,"S")</f>
        <v>17938.285714285706</v>
      </c>
      <c r="BK904" s="87">
        <f>SUMIFS($AU$3:AU905,$P$3:P905,"W")</f>
        <v>17144.143836163403</v>
      </c>
      <c r="BL904" s="87">
        <f>SUMIFS($AU$3:AU905,$P$3:P905,"R")</f>
        <v>22616.400000000325</v>
      </c>
      <c r="BM904" s="87">
        <f>SUMIFS($AU$3:AU905,$AQ$3:AQ905,"M")</f>
        <v>8875.1799999983887</v>
      </c>
      <c r="BN904" s="87">
        <f>SUMIFS($AU$3:AU905,$AQ$3:AQ905,"H")</f>
        <v>11643.200000000877</v>
      </c>
      <c r="BO904" s="87">
        <f>SUMIFS($AU$3:AU905,$AQ$3:AQ905,"D")</f>
        <v>13122.377472527351</v>
      </c>
      <c r="BP904" s="87">
        <f>SUMIFS($AS$3:AS1306,$AO$3:AO1306,"W")</f>
        <v>0</v>
      </c>
      <c r="BQ904" s="87">
        <f>SUMIFS($AU$3:AU905,$Q$3:Q905,"O")</f>
        <v>-9340.9400000006026</v>
      </c>
      <c r="BR904" s="87">
        <f>SUMIFS($AU$3:AU905,$AA$3:AA905,"*")</f>
        <v>37881.5220779214</v>
      </c>
      <c r="BS904" s="87">
        <f>SUMIFS($AU$3:AU905,$AB$3:AB905,"*")</f>
        <v>7475.8599999999715</v>
      </c>
      <c r="BT904" s="87">
        <f>SUMIFS($AU$3:AU905,$AC$3:AC905,"*")</f>
        <v>33251.078121878119</v>
      </c>
      <c r="BU904" s="87">
        <f>SUMIFS($AU$3:AU905,$AA$3:AA905,"*",$AB$3:AB905,"*")</f>
        <v>7915.9999999997544</v>
      </c>
      <c r="BV904" s="87">
        <f>SUMIFS($AU$3:AU905,$AA$3:AA905,"*",$AC$3:AC905,"*")</f>
        <v>29696.036363636529</v>
      </c>
      <c r="BW904" s="87">
        <f>SUMIFS($AU$3:AU905,$AB$3:AB905,"*",$AC$3:AC905,"*")</f>
        <v>3863.9999999999991</v>
      </c>
      <c r="BX904" s="87">
        <f>SUMIFS($AV$3:AV905,$Q$3:Q905,"F")</f>
        <v>383.04019562430165</v>
      </c>
      <c r="BY904" s="87">
        <f>SUMIFS($AV$3:AV905,$Q$3:Q905,"S")</f>
        <v>676.61134190572739</v>
      </c>
      <c r="BZ904" s="87">
        <f>SUMIFS($AV$3:AV905,$Q$3:Q905,"O")</f>
        <v>378.55929999967736</v>
      </c>
    </row>
    <row r="905" spans="1:78" ht="15.75" customHeight="1">
      <c r="A905" s="45" t="s">
        <v>2792</v>
      </c>
      <c r="B905" s="59">
        <v>45474</v>
      </c>
      <c r="C905" s="46" t="s">
        <v>1430</v>
      </c>
      <c r="D905" s="46" t="s">
        <v>176</v>
      </c>
      <c r="E905" s="66"/>
      <c r="F905" s="47"/>
      <c r="G905" s="155" t="s">
        <v>362</v>
      </c>
      <c r="H905" s="49"/>
      <c r="I905" s="49"/>
      <c r="J905" s="49"/>
      <c r="K905" s="50"/>
      <c r="L905" s="49"/>
      <c r="M905" s="49">
        <v>1</v>
      </c>
      <c r="N905" s="49"/>
      <c r="O905" s="50" t="s">
        <v>740</v>
      </c>
      <c r="P905" s="50" t="s">
        <v>126</v>
      </c>
      <c r="Q905" s="50"/>
      <c r="R905" s="50">
        <v>1</v>
      </c>
      <c r="S905" s="50">
        <v>0</v>
      </c>
      <c r="T905" s="50">
        <v>1</v>
      </c>
      <c r="U905" s="50" t="s">
        <v>102</v>
      </c>
      <c r="V905" s="50"/>
      <c r="W905" s="50"/>
      <c r="X905" s="50"/>
      <c r="Y905" s="51">
        <f>IF(ISBLANK(O905),"",(IF(O905=UPPER("IB"),0.005,0.01)))</f>
        <v>0.01</v>
      </c>
      <c r="Z905" s="52">
        <f>IF(ISBLANK(O905),"",IF(O905="IB",8.63*200,IF(O905="IR",16*100,IF(O905="YT",20*100,IF(O905="YT-XT",24*200,IF(O905="TED",80*100,IF(O905="IR|YT",300*100)))))))</f>
        <v>30000</v>
      </c>
      <c r="AA905" s="52" t="s">
        <v>177</v>
      </c>
      <c r="AB905" s="52"/>
      <c r="AC905" s="52"/>
      <c r="AD905" s="231">
        <v>-0.16</v>
      </c>
      <c r="AE905" s="49"/>
      <c r="AF905" s="84"/>
      <c r="AG905" s="49"/>
      <c r="AH905" s="49"/>
      <c r="AI905" s="49"/>
      <c r="AJ905" s="226"/>
      <c r="AK905" s="49"/>
      <c r="AL905" s="113">
        <f t="shared" si="360"/>
        <v>-600</v>
      </c>
      <c r="AM905" s="113">
        <f t="shared" si="361"/>
        <v>-600</v>
      </c>
      <c r="AN905" s="218"/>
      <c r="AO905" s="49"/>
      <c r="AP905" s="49"/>
      <c r="AQ905" s="84" t="s">
        <v>142</v>
      </c>
      <c r="AR905" s="49" t="s">
        <v>1168</v>
      </c>
      <c r="AS905" s="55">
        <v>-0.16</v>
      </c>
      <c r="AT905" s="55">
        <f>IF(ISBLANK(AS905),,IF(U905="S",AD905-AS905,AS905-AD905))</f>
        <v>0</v>
      </c>
      <c r="AU905" s="54">
        <f>AV905*R905</f>
        <v>0</v>
      </c>
      <c r="AV905" s="56">
        <f t="shared" si="362"/>
        <v>0</v>
      </c>
      <c r="AW905" s="57" t="s">
        <v>155</v>
      </c>
      <c r="AX905" s="151"/>
      <c r="AY905" s="151"/>
      <c r="AZ905" s="151"/>
      <c r="BA905" s="151"/>
      <c r="BB905" s="151"/>
      <c r="BC905" s="151"/>
      <c r="BD905" s="151"/>
      <c r="BE905" s="152"/>
      <c r="BF905" s="151"/>
      <c r="BG905" s="94">
        <f>SUM($AV$4:AV905)</f>
        <v>6686.2108375297139</v>
      </c>
      <c r="BH905" s="95">
        <f>SUM($AU$4:AU905)</f>
        <v>42556.423836163201</v>
      </c>
      <c r="BI905" s="80">
        <f>SUMIFS($AU$3:AU906,$Q$3:Q906,"F")</f>
        <v>29235.078121878127</v>
      </c>
      <c r="BJ905" s="80">
        <f>SUMIFS($AU$3:AU906,$Q$3:Q906,"S")</f>
        <v>17938.285714285706</v>
      </c>
      <c r="BK905" s="87">
        <f>SUMIFS($AU$3:AU906,$P$3:P906,"W")</f>
        <v>17144.143836163403</v>
      </c>
      <c r="BL905" s="87">
        <f>SUMIFS($AU$3:AU906,$P$3:P906,"R")</f>
        <v>22616.400000000325</v>
      </c>
      <c r="BM905" s="87">
        <f>SUMIFS($AU$3:AU906,$AQ$3:AQ906,"M")</f>
        <v>8875.1799999983887</v>
      </c>
      <c r="BN905" s="87">
        <f>SUMIFS($AU$3:AU906,$AQ$3:AQ906,"H")</f>
        <v>11643.200000000877</v>
      </c>
      <c r="BO905" s="87">
        <f>SUMIFS($AU$3:AU906,$AQ$3:AQ906,"D")</f>
        <v>13122.377472527351</v>
      </c>
      <c r="BP905" s="87">
        <f>SUMIFS($AS$3:AS1307,$AO$3:AO1307,"W")</f>
        <v>0</v>
      </c>
      <c r="BQ905" s="87">
        <f>SUMIFS($AU$3:AU906,$Q$3:Q906,"O")</f>
        <v>-9340.9400000006026</v>
      </c>
      <c r="BR905" s="87">
        <f>SUMIFS($AU$3:AU906,$AA$3:AA906,"*")</f>
        <v>37881.5220779214</v>
      </c>
      <c r="BS905" s="87">
        <f>SUMIFS($AU$3:AU906,$AB$3:AB906,"*")</f>
        <v>7475.8599999999715</v>
      </c>
      <c r="BT905" s="87">
        <f>SUMIFS($AU$3:AU906,$AC$3:AC906,"*")</f>
        <v>33251.078121878119</v>
      </c>
      <c r="BU905" s="87">
        <f>SUMIFS($AU$3:AU906,$AA$3:AA906,"*",$AB$3:AB906,"*")</f>
        <v>7915.9999999997544</v>
      </c>
      <c r="BV905" s="87">
        <f>SUMIFS($AU$3:AU906,$AA$3:AA906,"*",$AC$3:AC906,"*")</f>
        <v>29696.036363636529</v>
      </c>
      <c r="BW905" s="87">
        <f>SUMIFS($AU$3:AU906,$AB$3:AB906,"*",$AC$3:AC906,"*")</f>
        <v>3863.9999999999991</v>
      </c>
      <c r="BX905" s="87">
        <f>SUMIFS($AV$3:AV906,$Q$3:Q906,"F")</f>
        <v>383.04019562430165</v>
      </c>
      <c r="BY905" s="87">
        <f>SUMIFS($AV$3:AV906,$Q$3:Q906,"S")</f>
        <v>676.61134190572739</v>
      </c>
      <c r="BZ905" s="87">
        <f>SUMIFS($AV$3:AV906,$Q$3:Q906,"O")</f>
        <v>378.55929999967736</v>
      </c>
    </row>
    <row r="906" spans="1:78" ht="15.75" customHeight="1">
      <c r="A906" s="45" t="s">
        <v>2792</v>
      </c>
      <c r="B906" s="59">
        <v>45474</v>
      </c>
      <c r="C906" s="46" t="s">
        <v>888</v>
      </c>
      <c r="D906" s="46" t="s">
        <v>176</v>
      </c>
      <c r="E906" s="66"/>
      <c r="F906" s="47"/>
      <c r="G906" s="48" t="s">
        <v>2819</v>
      </c>
      <c r="H906" s="49"/>
      <c r="I906" s="49"/>
      <c r="J906" s="49"/>
      <c r="K906" s="50"/>
      <c r="L906" s="49"/>
      <c r="M906" s="49"/>
      <c r="N906" s="49"/>
      <c r="O906" s="50"/>
      <c r="P906" s="50"/>
      <c r="Q906" s="50"/>
      <c r="R906" s="50"/>
      <c r="S906" s="50"/>
      <c r="T906" s="50"/>
      <c r="U906" s="50"/>
      <c r="V906" s="50"/>
      <c r="W906" s="50"/>
      <c r="X906" s="50"/>
      <c r="Y906" s="51"/>
      <c r="Z906" s="52"/>
      <c r="AA906" s="52"/>
      <c r="AB906" s="52"/>
      <c r="AC906" s="52"/>
      <c r="AD906" s="231"/>
      <c r="AE906" s="49"/>
      <c r="AF906" s="84"/>
      <c r="AG906" s="49"/>
      <c r="AH906" s="49"/>
      <c r="AI906" s="49"/>
      <c r="AJ906" s="226"/>
      <c r="AK906" s="49"/>
      <c r="AL906" s="113">
        <f t="shared" si="360"/>
        <v>0</v>
      </c>
      <c r="AM906" s="113">
        <f t="shared" si="361"/>
        <v>0</v>
      </c>
      <c r="AN906" s="218"/>
      <c r="AO906" s="49"/>
      <c r="AP906" s="49"/>
      <c r="AQ906" s="84"/>
      <c r="AR906" s="49"/>
      <c r="AS906" s="55"/>
      <c r="AT906" s="55">
        <f>IF(ISBLANK(AS906),,IF(U906="S",AD906-AS906,AS906-AD906))</f>
        <v>0</v>
      </c>
      <c r="AU906" s="54">
        <f>AV906*R906</f>
        <v>0</v>
      </c>
      <c r="AV906" s="56">
        <f t="shared" si="362"/>
        <v>0</v>
      </c>
      <c r="AW906" s="57"/>
      <c r="AX906" s="151"/>
      <c r="AY906" s="151"/>
      <c r="AZ906" s="151"/>
      <c r="BA906" s="151"/>
      <c r="BB906" s="151"/>
      <c r="BC906" s="151"/>
      <c r="BD906" s="151"/>
      <c r="BE906" s="152"/>
      <c r="BF906" s="151"/>
      <c r="BG906" s="94">
        <f>SUM($AV$4:AV906)</f>
        <v>6686.2108375297139</v>
      </c>
      <c r="BH906" s="95">
        <f>SUM($AU$4:AU906)</f>
        <v>42556.423836163201</v>
      </c>
      <c r="BI906" s="80">
        <f>SUMIFS($AU$3:AU907,$Q$3:Q907,"F")</f>
        <v>29235.078121878127</v>
      </c>
      <c r="BJ906" s="80">
        <f>SUMIFS($AU$3:AU907,$Q$3:Q907,"S")</f>
        <v>17938.285714285706</v>
      </c>
      <c r="BK906" s="87">
        <f>SUMIFS($AU$3:AU907,$P$3:P907,"W")</f>
        <v>17144.143836163403</v>
      </c>
      <c r="BL906" s="87">
        <f>SUMIFS($AU$3:AU907,$P$3:P907,"R")</f>
        <v>22616.400000000325</v>
      </c>
      <c r="BM906" s="87">
        <f>SUMIFS($AU$3:AU907,$AQ$3:AQ907,"M")</f>
        <v>8875.1799999983887</v>
      </c>
      <c r="BN906" s="87">
        <f>SUMIFS($AU$3:AU907,$AQ$3:AQ907,"H")</f>
        <v>11643.200000000877</v>
      </c>
      <c r="BO906" s="87">
        <f>SUMIFS($AU$3:AU907,$AQ$3:AQ907,"D")</f>
        <v>13122.377472527351</v>
      </c>
      <c r="BP906" s="87">
        <f>SUMIFS($AS$3:AS1308,$AO$3:AO1308,"W")</f>
        <v>0</v>
      </c>
      <c r="BQ906" s="87">
        <f>SUMIFS($AU$3:AU907,$Q$3:Q907,"O")</f>
        <v>-9340.9400000006026</v>
      </c>
      <c r="BR906" s="87">
        <f>SUMIFS($AU$3:AU907,$AA$3:AA907,"*")</f>
        <v>37881.5220779214</v>
      </c>
      <c r="BS906" s="87">
        <f>SUMIFS($AU$3:AU907,$AB$3:AB907,"*")</f>
        <v>7475.8599999999715</v>
      </c>
      <c r="BT906" s="87">
        <f>SUMIFS($AU$3:AU907,$AC$3:AC907,"*")</f>
        <v>33251.078121878119</v>
      </c>
      <c r="BU906" s="87">
        <f>SUMIFS($AU$3:AU907,$AA$3:AA907,"*",$AB$3:AB907,"*")</f>
        <v>7915.9999999997544</v>
      </c>
      <c r="BV906" s="87">
        <f>SUMIFS($AU$3:AU907,$AA$3:AA907,"*",$AC$3:AC907,"*")</f>
        <v>29696.036363636529</v>
      </c>
      <c r="BW906" s="87">
        <f>SUMIFS($AU$3:AU907,$AB$3:AB907,"*",$AC$3:AC907,"*")</f>
        <v>3863.9999999999991</v>
      </c>
      <c r="BX906" s="87">
        <f>SUMIFS($AV$3:AV907,$Q$3:Q907,"F")</f>
        <v>383.04019562430165</v>
      </c>
      <c r="BY906" s="87">
        <f>SUMIFS($AV$3:AV907,$Q$3:Q907,"S")</f>
        <v>676.61134190572739</v>
      </c>
      <c r="BZ906" s="87">
        <f>SUMIFS($AV$3:AV907,$Q$3:Q907,"O")</f>
        <v>378.55929999967736</v>
      </c>
    </row>
    <row r="907" spans="1:78" ht="15.75" customHeight="1">
      <c r="A907" s="45" t="s">
        <v>2792</v>
      </c>
      <c r="B907" s="59">
        <v>45474</v>
      </c>
      <c r="C907" s="46" t="s">
        <v>2069</v>
      </c>
      <c r="D907" s="46" t="s">
        <v>176</v>
      </c>
      <c r="E907" s="66"/>
      <c r="F907" s="47"/>
      <c r="G907" s="155" t="s">
        <v>295</v>
      </c>
      <c r="H907" s="49"/>
      <c r="I907" s="49"/>
      <c r="J907" s="49"/>
      <c r="K907" s="50"/>
      <c r="L907" s="49"/>
      <c r="M907" s="49">
        <v>1</v>
      </c>
      <c r="N907" s="49"/>
      <c r="O907" s="50" t="s">
        <v>100</v>
      </c>
      <c r="P907" s="50" t="s">
        <v>101</v>
      </c>
      <c r="Q907" s="50" t="s">
        <v>102</v>
      </c>
      <c r="R907" s="50">
        <v>70</v>
      </c>
      <c r="S907" s="50">
        <v>0</v>
      </c>
      <c r="T907" s="50">
        <v>75</v>
      </c>
      <c r="U907" s="50" t="s">
        <v>102</v>
      </c>
      <c r="V907" s="50"/>
      <c r="W907" s="50"/>
      <c r="X907" s="50"/>
      <c r="Y907" s="51">
        <f>IF(ISBLANK(O907),"",(IF(O907=UPPER("IB"),0.005,0.01)))</f>
        <v>0.01</v>
      </c>
      <c r="Z907" s="52">
        <f>IF(ISBLANK(O907),"",IF(O907="IB",8.63*200,IF(O907="IR",16*100,IF(O907="YT",20*100,IF(O907="YT-XT",24*200,IF(O907="TED",80*100,IF(O907="IR|YT",300*100)))))))</f>
        <v>1600</v>
      </c>
      <c r="AA907" s="52"/>
      <c r="AB907" s="52"/>
      <c r="AC907" s="52" t="s">
        <v>2820</v>
      </c>
      <c r="AD907" s="231">
        <v>-0.1</v>
      </c>
      <c r="AE907" s="49"/>
      <c r="AF907" s="84"/>
      <c r="AG907" s="49"/>
      <c r="AH907" s="49"/>
      <c r="AI907" s="49"/>
      <c r="AJ907" s="226"/>
      <c r="AK907" s="49"/>
      <c r="AL907" s="113">
        <f t="shared" ref="AL907:AL937" si="363">-0.02*Z907</f>
        <v>-32</v>
      </c>
      <c r="AM907" s="113">
        <f t="shared" si="361"/>
        <v>-2240</v>
      </c>
      <c r="AN907" s="218"/>
      <c r="AO907" s="49"/>
      <c r="AP907" s="49"/>
      <c r="AQ907" s="84" t="s">
        <v>142</v>
      </c>
      <c r="AR907" s="84" t="str">
        <f>UPPER(RIGHT(Journal_Live[[#This Row],[DURATION ]]))</f>
        <v/>
      </c>
      <c r="AS907" s="55">
        <v>-0.1</v>
      </c>
      <c r="AT907" s="55">
        <f>IF(ISBLANK(AS907),,IF(U907="S",AD907-AS907,AS907-AD907))</f>
        <v>0</v>
      </c>
      <c r="AU907" s="54">
        <f>AV907*R907</f>
        <v>0</v>
      </c>
      <c r="AV907" s="56">
        <f t="shared" ref="AV907:AV931" si="364">IF(ISBLANK(AS907),,(AT907*Z907))</f>
        <v>0</v>
      </c>
      <c r="AW907" s="57" t="s">
        <v>155</v>
      </c>
      <c r="AX907" s="151"/>
      <c r="AY907" s="151"/>
      <c r="AZ907" s="151"/>
      <c r="BA907" s="151"/>
      <c r="BB907" s="151"/>
      <c r="BC907" s="151"/>
      <c r="BD907" s="151"/>
      <c r="BE907" s="152"/>
      <c r="BF907" s="151"/>
      <c r="BG907" s="94">
        <f>SUM($AV$4:AV907)</f>
        <v>6686.2108375297139</v>
      </c>
      <c r="BH907" s="95">
        <f>SUM($AU$4:AU907)</f>
        <v>42556.423836163201</v>
      </c>
      <c r="BI907" s="80">
        <f>SUMIFS($AU$3:AU908,$Q$3:Q908,"F")</f>
        <v>29235.078121878127</v>
      </c>
      <c r="BJ907" s="80">
        <f>SUMIFS($AU$3:AU908,$Q$3:Q908,"S")</f>
        <v>17938.285714285706</v>
      </c>
      <c r="BK907" s="87">
        <f>SUMIFS($AU$3:AU908,$P$3:P908,"W")</f>
        <v>17144.143836163403</v>
      </c>
      <c r="BL907" s="87">
        <f>SUMIFS($AU$3:AU908,$P$3:P908,"R")</f>
        <v>22616.400000000325</v>
      </c>
      <c r="BM907" s="87">
        <f>SUMIFS($AU$3:AU908,$AQ$3:AQ908,"M")</f>
        <v>8875.1799999983887</v>
      </c>
      <c r="BN907" s="87">
        <f>SUMIFS($AU$3:AU908,$AQ$3:AQ908,"H")</f>
        <v>11643.200000000877</v>
      </c>
      <c r="BO907" s="87">
        <f>SUMIFS($AU$3:AU908,$AQ$3:AQ908,"D")</f>
        <v>13122.377472527351</v>
      </c>
      <c r="BP907" s="87">
        <f>SUMIFS($AS$3:AS1309,$AO$3:AO1309,"W")</f>
        <v>0</v>
      </c>
      <c r="BQ907" s="87">
        <f>SUMIFS($AU$3:AU908,$Q$3:Q908,"O")</f>
        <v>-9340.9400000006026</v>
      </c>
      <c r="BR907" s="87">
        <f>SUMIFS($AU$3:AU908,$AA$3:AA908,"*")</f>
        <v>37881.5220779214</v>
      </c>
      <c r="BS907" s="87">
        <f>SUMIFS($AU$3:AU908,$AB$3:AB908,"*")</f>
        <v>7475.8599999999715</v>
      </c>
      <c r="BT907" s="87">
        <f>SUMIFS($AU$3:AU908,$AC$3:AC908,"*")</f>
        <v>33251.078121878119</v>
      </c>
      <c r="BU907" s="87">
        <f>SUMIFS($AU$3:AU908,$AA$3:AA908,"*",$AB$3:AB908,"*")</f>
        <v>7915.9999999997544</v>
      </c>
      <c r="BV907" s="87">
        <f>SUMIFS($AU$3:AU908,$AA$3:AA908,"*",$AC$3:AC908,"*")</f>
        <v>29696.036363636529</v>
      </c>
      <c r="BW907" s="87">
        <f>SUMIFS($AU$3:AU908,$AB$3:AB908,"*",$AC$3:AC908,"*")</f>
        <v>3863.9999999999991</v>
      </c>
      <c r="BX907" s="87">
        <f>SUMIFS($AV$3:AV908,$Q$3:Q908,"F")</f>
        <v>383.04019562430165</v>
      </c>
      <c r="BY907" s="87">
        <f>SUMIFS($AV$3:AV908,$Q$3:Q908,"S")</f>
        <v>676.61134190572739</v>
      </c>
      <c r="BZ907" s="87">
        <f>SUMIFS($AV$3:AV908,$Q$3:Q908,"O")</f>
        <v>378.55929999967736</v>
      </c>
    </row>
    <row r="908" spans="1:78" ht="15.75" customHeight="1">
      <c r="A908" s="45" t="s">
        <v>2792</v>
      </c>
      <c r="B908" s="59">
        <v>45474</v>
      </c>
      <c r="C908" s="46" t="s">
        <v>2069</v>
      </c>
      <c r="D908" s="46" t="s">
        <v>176</v>
      </c>
      <c r="E908" s="66"/>
      <c r="F908" s="47"/>
      <c r="G908" s="48" t="s">
        <v>295</v>
      </c>
      <c r="H908" s="49"/>
      <c r="I908" s="49"/>
      <c r="J908" s="49"/>
      <c r="K908" s="50"/>
      <c r="L908" s="49"/>
      <c r="M908" s="49"/>
      <c r="N908" s="49"/>
      <c r="O908" s="50"/>
      <c r="P908" s="50"/>
      <c r="Q908" s="50"/>
      <c r="R908" s="50"/>
      <c r="S908" s="50"/>
      <c r="T908" s="50"/>
      <c r="U908" s="50"/>
      <c r="V908" s="50"/>
      <c r="W908" s="50"/>
      <c r="X908" s="50"/>
      <c r="Y908" s="51"/>
      <c r="Z908" s="52"/>
      <c r="AA908" s="52"/>
      <c r="AB908" s="52"/>
      <c r="AC908" s="52"/>
      <c r="AD908" s="231"/>
      <c r="AE908" s="49"/>
      <c r="AF908" s="84"/>
      <c r="AG908" s="49"/>
      <c r="AH908" s="49"/>
      <c r="AI908" s="49"/>
      <c r="AJ908" s="226"/>
      <c r="AK908" s="49"/>
      <c r="AL908" s="113">
        <f t="shared" si="363"/>
        <v>0</v>
      </c>
      <c r="AM908" s="113">
        <f t="shared" si="361"/>
        <v>0</v>
      </c>
      <c r="AN908" s="218"/>
      <c r="AO908" s="49"/>
      <c r="AP908" s="49"/>
      <c r="AQ908" s="84"/>
      <c r="AR908" s="49"/>
      <c r="AS908" s="55"/>
      <c r="AT908" s="55"/>
      <c r="AU908" s="54"/>
      <c r="AV908" s="56"/>
      <c r="AW908" s="57"/>
      <c r="AX908" s="151"/>
      <c r="AY908" s="151"/>
      <c r="AZ908" s="151"/>
      <c r="BA908" s="151"/>
      <c r="BB908" s="151"/>
      <c r="BC908" s="151"/>
      <c r="BD908" s="151"/>
      <c r="BE908" s="152"/>
      <c r="BF908" s="151"/>
      <c r="BG908" s="94">
        <f>SUM($AV$4:AV908)</f>
        <v>6686.2108375297139</v>
      </c>
      <c r="BH908" s="95">
        <f>SUM($AU$4:AU908)</f>
        <v>42556.423836163201</v>
      </c>
      <c r="BI908" s="80">
        <f>SUMIFS($AU$3:AU909,$Q$3:Q909,"F")</f>
        <v>29235.078121878127</v>
      </c>
      <c r="BJ908" s="80">
        <f>SUMIFS($AU$3:AU909,$Q$3:Q909,"S")</f>
        <v>17938.285714285706</v>
      </c>
      <c r="BK908" s="87">
        <f>SUMIFS($AU$3:AU909,$P$3:P909,"W")</f>
        <v>17144.143836163403</v>
      </c>
      <c r="BL908" s="87">
        <f>SUMIFS($AU$3:AU909,$P$3:P909,"R")</f>
        <v>22616.400000000325</v>
      </c>
      <c r="BM908" s="87">
        <f>SUMIFS($AU$3:AU909,$AQ$3:AQ909,"M")</f>
        <v>8875.1799999983887</v>
      </c>
      <c r="BN908" s="87">
        <f>SUMIFS($AU$3:AU909,$AQ$3:AQ909,"H")</f>
        <v>11643.200000000877</v>
      </c>
      <c r="BO908" s="87">
        <f>SUMIFS($AU$3:AU909,$AQ$3:AQ909,"D")</f>
        <v>13122.377472527351</v>
      </c>
      <c r="BP908" s="87">
        <f>SUMIFS($AS$3:AS1310,$AO$3:AO1310,"W")</f>
        <v>0</v>
      </c>
      <c r="BQ908" s="87">
        <f>SUMIFS($AU$3:AU909,$Q$3:Q909,"O")</f>
        <v>-9340.9400000006026</v>
      </c>
      <c r="BR908" s="87">
        <f>SUMIFS($AU$3:AU909,$AA$3:AA909,"*")</f>
        <v>37881.5220779214</v>
      </c>
      <c r="BS908" s="87">
        <f>SUMIFS($AU$3:AU909,$AB$3:AB909,"*")</f>
        <v>7475.8599999999715</v>
      </c>
      <c r="BT908" s="87">
        <f>SUMIFS($AU$3:AU909,$AC$3:AC909,"*")</f>
        <v>33251.078121878119</v>
      </c>
      <c r="BU908" s="87">
        <f>SUMIFS($AU$3:AU909,$AA$3:AA909,"*",$AB$3:AB909,"*")</f>
        <v>7915.9999999997544</v>
      </c>
      <c r="BV908" s="87">
        <f>SUMIFS($AU$3:AU909,$AA$3:AA909,"*",$AC$3:AC909,"*")</f>
        <v>29696.036363636529</v>
      </c>
      <c r="BW908" s="87">
        <f>SUMIFS($AU$3:AU909,$AB$3:AB909,"*",$AC$3:AC909,"*")</f>
        <v>3863.9999999999991</v>
      </c>
      <c r="BX908" s="87">
        <f>SUMIFS($AV$3:AV909,$Q$3:Q909,"F")</f>
        <v>383.04019562430165</v>
      </c>
      <c r="BY908" s="87">
        <f>SUMIFS($AV$3:AV909,$Q$3:Q909,"S")</f>
        <v>676.61134190572739</v>
      </c>
      <c r="BZ908" s="87">
        <f>SUMIFS($AV$3:AV909,$Q$3:Q909,"O")</f>
        <v>378.55929999967736</v>
      </c>
    </row>
    <row r="909" spans="1:78" ht="15.75" customHeight="1">
      <c r="A909" s="45" t="s">
        <v>2792</v>
      </c>
      <c r="B909" s="59">
        <v>45474</v>
      </c>
      <c r="C909" s="46"/>
      <c r="D909" s="46" t="s">
        <v>176</v>
      </c>
      <c r="E909" s="66"/>
      <c r="F909" s="47"/>
      <c r="G909" s="48" t="s">
        <v>2821</v>
      </c>
      <c r="H909" s="49"/>
      <c r="I909" s="49"/>
      <c r="J909" s="49"/>
      <c r="K909" s="50"/>
      <c r="L909" s="49"/>
      <c r="M909" s="49"/>
      <c r="N909" s="49"/>
      <c r="O909" s="50"/>
      <c r="P909" s="50"/>
      <c r="Q909" s="50"/>
      <c r="R909" s="50"/>
      <c r="S909" s="50"/>
      <c r="T909" s="50"/>
      <c r="U909" s="50"/>
      <c r="V909" s="50"/>
      <c r="W909" s="50"/>
      <c r="X909" s="50"/>
      <c r="Y909" s="51"/>
      <c r="Z909" s="52"/>
      <c r="AA909" s="52"/>
      <c r="AB909" s="52"/>
      <c r="AC909" s="52"/>
      <c r="AD909" s="231"/>
      <c r="AE909" s="49"/>
      <c r="AF909" s="84"/>
      <c r="AG909" s="49"/>
      <c r="AH909" s="49"/>
      <c r="AI909" s="49"/>
      <c r="AJ909" s="226"/>
      <c r="AK909" s="49"/>
      <c r="AL909" s="113">
        <f t="shared" si="363"/>
        <v>0</v>
      </c>
      <c r="AM909" s="113">
        <f t="shared" si="361"/>
        <v>0</v>
      </c>
      <c r="AN909" s="218"/>
      <c r="AO909" s="49"/>
      <c r="AP909" s="49"/>
      <c r="AQ909" s="84" t="str">
        <f>UPPER(RIGHT(Journal_Live[[#This Row],[DURATION ]]))</f>
        <v/>
      </c>
      <c r="AR909" s="49"/>
      <c r="AS909" s="55"/>
      <c r="AT909" s="55"/>
      <c r="AU909" s="54"/>
      <c r="AV909" s="56"/>
      <c r="AW909" s="57"/>
      <c r="AX909" s="151"/>
      <c r="AY909" s="151"/>
      <c r="AZ909" s="151"/>
      <c r="BA909" s="151"/>
      <c r="BB909" s="151"/>
      <c r="BC909" s="151"/>
      <c r="BD909" s="151"/>
      <c r="BE909" s="152"/>
      <c r="BF909" s="151"/>
      <c r="BG909" s="94">
        <f>SUM($AV$4:AV909)</f>
        <v>6686.2108375297139</v>
      </c>
      <c r="BH909" s="95">
        <f>SUM($AU$4:AU909)</f>
        <v>42556.423836163201</v>
      </c>
      <c r="BI909" s="80">
        <f>SUMIFS($AU$3:AU910,$Q$3:Q910,"F")</f>
        <v>29235.078121878127</v>
      </c>
      <c r="BJ909" s="80">
        <f>SUMIFS($AU$3:AU910,$Q$3:Q910,"S")</f>
        <v>17938.285714285706</v>
      </c>
      <c r="BK909" s="87">
        <f>SUMIFS($AU$3:AU910,$P$3:P910,"W")</f>
        <v>17144.143836163403</v>
      </c>
      <c r="BL909" s="87">
        <f>SUMIFS($AU$3:AU910,$P$3:P910,"R")</f>
        <v>22616.400000000325</v>
      </c>
      <c r="BM909" s="87">
        <f>SUMIFS($AU$3:AU910,$AQ$3:AQ910,"M")</f>
        <v>8875.1799999983887</v>
      </c>
      <c r="BN909" s="87">
        <f>SUMIFS($AU$3:AU910,$AQ$3:AQ910,"H")</f>
        <v>11643.200000000877</v>
      </c>
      <c r="BO909" s="87">
        <f>SUMIFS($AU$3:AU910,$AQ$3:AQ910,"D")</f>
        <v>13122.377472527351</v>
      </c>
      <c r="BP909" s="87">
        <f>SUMIFS($AS$3:AS1311,$AO$3:AO1311,"W")</f>
        <v>0</v>
      </c>
      <c r="BQ909" s="87">
        <f>SUMIFS($AU$3:AU910,$Q$3:Q910,"O")</f>
        <v>-9340.9400000006026</v>
      </c>
      <c r="BR909" s="87">
        <f>SUMIFS($AU$3:AU910,$AA$3:AA910,"*")</f>
        <v>37881.5220779214</v>
      </c>
      <c r="BS909" s="87">
        <f>SUMIFS($AU$3:AU910,$AB$3:AB910,"*")</f>
        <v>7475.8599999999715</v>
      </c>
      <c r="BT909" s="87">
        <f>SUMIFS($AU$3:AU910,$AC$3:AC910,"*")</f>
        <v>33251.078121878119</v>
      </c>
      <c r="BU909" s="87">
        <f>SUMIFS($AU$3:AU910,$AA$3:AA910,"*",$AB$3:AB910,"*")</f>
        <v>7915.9999999997544</v>
      </c>
      <c r="BV909" s="87">
        <f>SUMIFS($AU$3:AU910,$AA$3:AA910,"*",$AC$3:AC910,"*")</f>
        <v>29696.036363636529</v>
      </c>
      <c r="BW909" s="87">
        <f>SUMIFS($AU$3:AU910,$AB$3:AB910,"*",$AC$3:AC910,"*")</f>
        <v>3863.9999999999991</v>
      </c>
      <c r="BX909" s="87">
        <f>SUMIFS($AV$3:AV910,$Q$3:Q910,"F")</f>
        <v>383.04019562430165</v>
      </c>
      <c r="BY909" s="87">
        <f>SUMIFS($AV$3:AV910,$Q$3:Q910,"S")</f>
        <v>676.61134190572739</v>
      </c>
      <c r="BZ909" s="87">
        <f>SUMIFS($AV$3:AV910,$Q$3:Q910,"O")</f>
        <v>378.55929999967736</v>
      </c>
    </row>
    <row r="910" spans="1:78" ht="15.75" customHeight="1">
      <c r="A910" s="45" t="s">
        <v>2792</v>
      </c>
      <c r="B910" s="59">
        <v>45474</v>
      </c>
      <c r="C910" s="46" t="s">
        <v>2822</v>
      </c>
      <c r="D910" s="46" t="s">
        <v>176</v>
      </c>
      <c r="E910" s="66"/>
      <c r="F910" s="47"/>
      <c r="G910" s="48" t="s">
        <v>2823</v>
      </c>
      <c r="H910" s="49"/>
      <c r="I910" s="49"/>
      <c r="J910" s="49"/>
      <c r="K910" s="50"/>
      <c r="L910" s="49"/>
      <c r="M910" s="49"/>
      <c r="N910" s="49"/>
      <c r="O910" s="50"/>
      <c r="P910" s="50"/>
      <c r="Q910" s="50"/>
      <c r="R910" s="50"/>
      <c r="S910" s="50"/>
      <c r="T910" s="50"/>
      <c r="U910" s="50"/>
      <c r="V910" s="50"/>
      <c r="W910" s="50"/>
      <c r="X910" s="50"/>
      <c r="Y910" s="51"/>
      <c r="Z910" s="52"/>
      <c r="AA910" s="52"/>
      <c r="AB910" s="52"/>
      <c r="AC910" s="52"/>
      <c r="AD910" s="231"/>
      <c r="AE910" s="49"/>
      <c r="AF910" s="84"/>
      <c r="AG910" s="49"/>
      <c r="AH910" s="49"/>
      <c r="AI910" s="49"/>
      <c r="AJ910" s="226"/>
      <c r="AK910" s="49"/>
      <c r="AL910" s="113">
        <f t="shared" si="363"/>
        <v>0</v>
      </c>
      <c r="AM910" s="113">
        <f t="shared" si="361"/>
        <v>0</v>
      </c>
      <c r="AN910" s="218"/>
      <c r="AO910" s="49"/>
      <c r="AP910" s="49"/>
      <c r="AQ910" s="84" t="str">
        <f>UPPER(RIGHT(Journal_Live[[#This Row],[DURATION ]]))</f>
        <v/>
      </c>
      <c r="AR910" s="49"/>
      <c r="AS910" s="55"/>
      <c r="AT910" s="55"/>
      <c r="AU910" s="54"/>
      <c r="AV910" s="56"/>
      <c r="AW910" s="57"/>
      <c r="AX910" s="151" t="s">
        <v>2824</v>
      </c>
      <c r="AY910" s="151" t="s">
        <v>2616</v>
      </c>
      <c r="AZ910" s="151"/>
      <c r="BA910" s="151"/>
      <c r="BB910" s="151"/>
      <c r="BC910" s="151"/>
      <c r="BD910" s="151"/>
      <c r="BE910" s="152"/>
      <c r="BF910" s="151"/>
      <c r="BG910" s="94">
        <f>SUM($AV$4:AV910)</f>
        <v>6686.2108375297139</v>
      </c>
      <c r="BH910" s="95">
        <f>SUM($AU$4:AU910)</f>
        <v>42556.423836163201</v>
      </c>
      <c r="BI910" s="80">
        <f>SUMIFS($AU$3:AU937,$Q$3:Q937,"F")</f>
        <v>29347.078121878127</v>
      </c>
      <c r="BJ910" s="80">
        <f>SUMIFS($AU$3:AU937,$Q$3:Q937,"S")</f>
        <v>16866.285714285717</v>
      </c>
      <c r="BK910" s="87">
        <f>SUMIFS($AU$3:AU937,$P$3:P937,"W")</f>
        <v>15912.143836163443</v>
      </c>
      <c r="BL910" s="87">
        <f>SUMIFS($AU$3:AU937,$P$3:P937,"R")</f>
        <v>22728.400000000325</v>
      </c>
      <c r="BM910" s="87">
        <f>SUMIFS($AU$3:AU937,$AQ$3:AQ937,"M")</f>
        <v>8715.1799999984214</v>
      </c>
      <c r="BN910" s="87">
        <f>SUMIFS($AU$3:AU937,$AQ$3:AQ937,"H")</f>
        <v>11643.200000000877</v>
      </c>
      <c r="BO910" s="87">
        <f>SUMIFS($AU$3:AU937,$AQ$3:AQ937,"D")</f>
        <v>12162.377472527358</v>
      </c>
      <c r="BP910" s="87">
        <f>SUMIFS($AS$3:AS1312,$AO$3:AO1312,"W")</f>
        <v>0</v>
      </c>
      <c r="BQ910" s="87">
        <f>SUMIFS($AU$3:AU937,$Q$3:Q937,"O")</f>
        <v>-9500.9400000005699</v>
      </c>
      <c r="BR910" s="87">
        <f>SUMIFS($AU$3:AU937,$AA$3:AA937,"*")</f>
        <v>38441.522077921436</v>
      </c>
      <c r="BS910" s="87">
        <f>SUMIFS($AU$3:AU937,$AB$3:AB937,"*")</f>
        <v>7475.8599999999715</v>
      </c>
      <c r="BT910" s="87">
        <f>SUMIFS($AU$3:AU937,$AC$3:AC937,"*")</f>
        <v>31683.078121878119</v>
      </c>
      <c r="BU910" s="87">
        <f>SUMIFS($AU$3:AU937,$AA$3:AA937,"*",$AB$3:AB937,"*")</f>
        <v>7915.9999999997544</v>
      </c>
      <c r="BV910" s="87">
        <f>SUMIFS($AU$3:AU937,$AA$3:AA937,"*",$AC$3:AC937,"*")</f>
        <v>29808.036363636529</v>
      </c>
      <c r="BW910" s="87">
        <f>SUMIFS($AU$3:AU937,$AB$3:AB937,"*",$AC$3:AC937,"*")</f>
        <v>3863.9999999999991</v>
      </c>
      <c r="BX910" s="87">
        <f>SUMIFS($AV$3:AV937,$Q$3:Q937,"F")</f>
        <v>399.04019562430165</v>
      </c>
      <c r="BY910" s="87">
        <f>SUMIFS($AV$3:AV937,$Q$3:Q937,"S")</f>
        <v>689.94467523906087</v>
      </c>
      <c r="BZ910" s="87">
        <f>SUMIFS($AV$3:AV937,$Q$3:Q937,"O")</f>
        <v>346.55929999968373</v>
      </c>
    </row>
    <row r="911" spans="1:78" ht="15.75" customHeight="1">
      <c r="A911" s="45" t="s">
        <v>2792</v>
      </c>
      <c r="B911" s="59">
        <v>45475</v>
      </c>
      <c r="C911" s="46" t="s">
        <v>2822</v>
      </c>
      <c r="D911" s="46" t="s">
        <v>176</v>
      </c>
      <c r="E911" s="66"/>
      <c r="F911" s="47"/>
      <c r="G911" s="155" t="s">
        <v>113</v>
      </c>
      <c r="H911" s="49"/>
      <c r="I911" s="49"/>
      <c r="J911" s="49"/>
      <c r="K911" s="50"/>
      <c r="L911" s="49"/>
      <c r="M911" s="49">
        <v>1</v>
      </c>
      <c r="N911" s="49"/>
      <c r="O911" s="50" t="s">
        <v>100</v>
      </c>
      <c r="P911" s="50" t="s">
        <v>101</v>
      </c>
      <c r="Q911" s="50" t="s">
        <v>102</v>
      </c>
      <c r="R911" s="50">
        <v>55</v>
      </c>
      <c r="S911" s="50">
        <v>0</v>
      </c>
      <c r="T911" s="50">
        <v>75</v>
      </c>
      <c r="U911" s="50" t="s">
        <v>22</v>
      </c>
      <c r="V911" s="50"/>
      <c r="W911" s="50"/>
      <c r="X911" s="50"/>
      <c r="Y911" s="51">
        <f>IF(ISBLANK(O911),"",(IF(O911=UPPER("IB"),0.005,0.01)))</f>
        <v>0.01</v>
      </c>
      <c r="Z911" s="52">
        <f>IF(ISBLANK(O911),"",IF(O911="IB",8.63*200,IF(O911="IR",16*100,IF(O911="YT",20*100,IF(O911="YT-XT",24*200,IF(O911="TED",80*100,IF(O911="IR|YT",300*100)))))))</f>
        <v>1600</v>
      </c>
      <c r="AA911" s="52"/>
      <c r="AB911" s="52"/>
      <c r="AC911" s="52" t="s">
        <v>2825</v>
      </c>
      <c r="AD911" s="231">
        <v>-0.09</v>
      </c>
      <c r="AE911" s="49"/>
      <c r="AF911" s="84"/>
      <c r="AG911" s="49"/>
      <c r="AH911" s="49"/>
      <c r="AI911" s="49"/>
      <c r="AJ911" s="226"/>
      <c r="AK911" s="49"/>
      <c r="AL911" s="113">
        <f t="shared" si="363"/>
        <v>-32</v>
      </c>
      <c r="AM911" s="113">
        <f t="shared" si="361"/>
        <v>-1760</v>
      </c>
      <c r="AN911" s="218"/>
      <c r="AO911" s="49"/>
      <c r="AP911" s="49"/>
      <c r="AQ911" s="84" t="s">
        <v>155</v>
      </c>
      <c r="AR911" s="74">
        <v>45481</v>
      </c>
      <c r="AS911" s="55">
        <v>-0.09</v>
      </c>
      <c r="AT911" s="55">
        <f>IF(ISBLANK(AS911),,IF(U911="S",AD911-AS911,AS911-AD911))</f>
        <v>0</v>
      </c>
      <c r="AU911" s="54">
        <f>AV911*R911</f>
        <v>0</v>
      </c>
      <c r="AV911" s="56">
        <f t="shared" si="364"/>
        <v>0</v>
      </c>
      <c r="AW911" s="57" t="s">
        <v>155</v>
      </c>
      <c r="AX911" s="151" t="s">
        <v>2826</v>
      </c>
      <c r="AY911" s="151" t="s">
        <v>2827</v>
      </c>
      <c r="AZ911" s="151" t="s">
        <v>2828</v>
      </c>
      <c r="BA911" s="151"/>
      <c r="BB911" s="151"/>
      <c r="BC911" s="151"/>
      <c r="BD911" s="151"/>
      <c r="BE911" s="152"/>
      <c r="BF911" s="151"/>
      <c r="BG911" s="94">
        <f>SUM($AV$4:AV911)</f>
        <v>6686.2108375297139</v>
      </c>
      <c r="BH911" s="95">
        <f>SUM($AU$4:AU911)</f>
        <v>42556.423836163201</v>
      </c>
      <c r="BI911" s="80">
        <f>SUMIFS($AU$3:AU912,$Q$3:Q912,"F")</f>
        <v>29235.078121878127</v>
      </c>
      <c r="BJ911" s="80">
        <f>SUMIFS($AU$3:AU912,$Q$3:Q912,"S")</f>
        <v>17938.285714285706</v>
      </c>
      <c r="BK911" s="87">
        <f>SUMIFS($AU$3:AU912,$P$3:P912,"W")</f>
        <v>17144.143836163403</v>
      </c>
      <c r="BL911" s="87">
        <f>SUMIFS($AU$3:AU912,$P$3:P912,"R")</f>
        <v>22616.400000000325</v>
      </c>
      <c r="BM911" s="87">
        <f>SUMIFS($AU$3:AU912,$AQ$3:AQ912,"M")</f>
        <v>8875.1799999983887</v>
      </c>
      <c r="BN911" s="87">
        <f>SUMIFS($AU$3:AU912,$AQ$3:AQ912,"H")</f>
        <v>11643.200000000877</v>
      </c>
      <c r="BO911" s="87">
        <f>SUMIFS($AU$3:AU912,$AQ$3:AQ912,"D")</f>
        <v>13122.377472527351</v>
      </c>
      <c r="BP911" s="87">
        <f>SUMIFS($AS$3:AS1298,$AO$3:AO1298,"W")</f>
        <v>0</v>
      </c>
      <c r="BQ911" s="87">
        <f>SUMIFS($AU$3:AU912,$Q$3:Q912,"O")</f>
        <v>-9340.9400000006026</v>
      </c>
      <c r="BR911" s="87">
        <f>SUMIFS($AU$3:AU912,$AA$3:AA912,"*")</f>
        <v>37881.5220779214</v>
      </c>
      <c r="BS911" s="87">
        <f>SUMIFS($AU$3:AU912,$AB$3:AB912,"*")</f>
        <v>7475.8599999999715</v>
      </c>
      <c r="BT911" s="87">
        <f>SUMIFS($AU$3:AU912,$AC$3:AC912,"*")</f>
        <v>33251.078121878119</v>
      </c>
      <c r="BU911" s="87">
        <f>SUMIFS($AU$3:AU912,$AA$3:AA912,"*",$AB$3:AB912,"*")</f>
        <v>7915.9999999997544</v>
      </c>
      <c r="BV911" s="87">
        <f>SUMIFS($AU$3:AU912,$AA$3:AA912,"*",$AC$3:AC912,"*")</f>
        <v>29696.036363636529</v>
      </c>
      <c r="BW911" s="87">
        <f>SUMIFS($AU$3:AU912,$AB$3:AB912,"*",$AC$3:AC912,"*")</f>
        <v>3863.9999999999991</v>
      </c>
      <c r="BX911" s="87">
        <f>SUMIFS($AV$3:AV912,$Q$3:Q912,"F")</f>
        <v>383.04019562430165</v>
      </c>
      <c r="BY911" s="87">
        <f>SUMIFS($AV$3:AV912,$Q$3:Q912,"S")</f>
        <v>676.61134190572739</v>
      </c>
      <c r="BZ911" s="87">
        <f>SUMIFS($AV$3:AV912,$Q$3:Q912,"O")</f>
        <v>378.55929999967736</v>
      </c>
    </row>
    <row r="912" spans="1:78" ht="15.75" customHeight="1">
      <c r="A912" s="45" t="s">
        <v>2792</v>
      </c>
      <c r="B912" s="59"/>
      <c r="C912" s="46"/>
      <c r="D912" s="46"/>
      <c r="E912" s="66"/>
      <c r="F912" s="47"/>
      <c r="G912" s="48"/>
      <c r="H912" s="49"/>
      <c r="I912" s="49"/>
      <c r="J912" s="49"/>
      <c r="K912" s="50"/>
      <c r="L912" s="49"/>
      <c r="M912" s="49"/>
      <c r="N912" s="49"/>
      <c r="O912" s="50"/>
      <c r="P912" s="50"/>
      <c r="Q912" s="50"/>
      <c r="R912" s="50"/>
      <c r="S912" s="50"/>
      <c r="T912" s="50"/>
      <c r="U912" s="50"/>
      <c r="V912" s="50"/>
      <c r="W912" s="50"/>
      <c r="X912" s="50"/>
      <c r="Y912" s="51"/>
      <c r="Z912" s="52"/>
      <c r="AA912" s="52"/>
      <c r="AB912" s="52"/>
      <c r="AC912" s="52"/>
      <c r="AD912" s="231"/>
      <c r="AE912" s="49"/>
      <c r="AF912" s="84"/>
      <c r="AG912" s="49"/>
      <c r="AH912" s="49"/>
      <c r="AI912" s="49"/>
      <c r="AJ912" s="226"/>
      <c r="AK912" s="49"/>
      <c r="AL912" s="113">
        <f t="shared" si="363"/>
        <v>0</v>
      </c>
      <c r="AM912" s="113">
        <f t="shared" si="361"/>
        <v>0</v>
      </c>
      <c r="AN912" s="218"/>
      <c r="AO912" s="49"/>
      <c r="AP912" s="49"/>
      <c r="AQ912" s="84" t="str">
        <f>UPPER(RIGHT(Journal_Live[[#This Row],[DURATION ]]))</f>
        <v/>
      </c>
      <c r="AR912" s="49"/>
      <c r="AS912" s="55"/>
      <c r="AT912" s="55"/>
      <c r="AU912" s="54"/>
      <c r="AV912" s="56"/>
      <c r="AW912" s="57"/>
      <c r="AX912" s="151"/>
      <c r="AY912" s="151"/>
      <c r="AZ912" s="151"/>
      <c r="BA912" s="151"/>
      <c r="BB912" s="151"/>
      <c r="BC912" s="151"/>
      <c r="BD912" s="151"/>
      <c r="BE912" s="152"/>
      <c r="BF912" s="151"/>
      <c r="BG912" s="94">
        <f>SUM($AV$4:AV912)</f>
        <v>6686.2108375297139</v>
      </c>
      <c r="BH912" s="95">
        <f>SUM($AU$4:AU912)</f>
        <v>42556.423836163201</v>
      </c>
      <c r="BI912" s="80">
        <f>SUMIFS($AU$3:AU913,$Q$3:Q913,"F")</f>
        <v>29235.078121878127</v>
      </c>
      <c r="BJ912" s="80">
        <f>SUMIFS($AU$3:AU913,$Q$3:Q913,"S")</f>
        <v>17938.285714285706</v>
      </c>
      <c r="BK912" s="87">
        <f>SUMIFS($AU$3:AU913,$P$3:P913,"W")</f>
        <v>17144.143836163403</v>
      </c>
      <c r="BL912" s="87">
        <f>SUMIFS($AU$3:AU913,$P$3:P913,"R")</f>
        <v>22616.400000000325</v>
      </c>
      <c r="BM912" s="87">
        <f>SUMIFS($AU$3:AU913,$AQ$3:AQ913,"M")</f>
        <v>8875.1799999983887</v>
      </c>
      <c r="BN912" s="87">
        <f>SUMIFS($AU$3:AU913,$AQ$3:AQ913,"H")</f>
        <v>11643.200000000877</v>
      </c>
      <c r="BO912" s="87">
        <f>SUMIFS($AU$3:AU913,$AQ$3:AQ913,"D")</f>
        <v>13122.377472527351</v>
      </c>
      <c r="BP912" s="87">
        <f>SUMIFS($AS$3:AS1299,$AO$3:AO1299,"W")</f>
        <v>0</v>
      </c>
      <c r="BQ912" s="87">
        <f>SUMIFS($AU$3:AU913,$Q$3:Q913,"O")</f>
        <v>-9340.9400000006026</v>
      </c>
      <c r="BR912" s="87">
        <f>SUMIFS($AU$3:AU913,$AA$3:AA913,"*")</f>
        <v>37881.5220779214</v>
      </c>
      <c r="BS912" s="87">
        <f>SUMIFS($AU$3:AU913,$AB$3:AB913,"*")</f>
        <v>7475.8599999999715</v>
      </c>
      <c r="BT912" s="87">
        <f>SUMIFS($AU$3:AU913,$AC$3:AC913,"*")</f>
        <v>33251.078121878119</v>
      </c>
      <c r="BU912" s="87">
        <f>SUMIFS($AU$3:AU913,$AA$3:AA913,"*",$AB$3:AB913,"*")</f>
        <v>7915.9999999997544</v>
      </c>
      <c r="BV912" s="87">
        <f>SUMIFS($AU$3:AU913,$AA$3:AA913,"*",$AC$3:AC913,"*")</f>
        <v>29696.036363636529</v>
      </c>
      <c r="BW912" s="87">
        <f>SUMIFS($AU$3:AU913,$AB$3:AB913,"*",$AC$3:AC913,"*")</f>
        <v>3863.9999999999991</v>
      </c>
      <c r="BX912" s="87">
        <f>SUMIFS($AV$3:AV913,$Q$3:Q913,"F")</f>
        <v>383.04019562430165</v>
      </c>
      <c r="BY912" s="87">
        <f>SUMIFS($AV$3:AV913,$Q$3:Q913,"S")</f>
        <v>676.61134190572739</v>
      </c>
      <c r="BZ912" s="87">
        <f>SUMIFS($AV$3:AV913,$Q$3:Q913,"O")</f>
        <v>378.55929999967736</v>
      </c>
    </row>
    <row r="913" spans="1:78" ht="15.75" customHeight="1">
      <c r="A913" s="45" t="s">
        <v>2792</v>
      </c>
      <c r="B913" s="59"/>
      <c r="C913" s="46"/>
      <c r="D913" s="46"/>
      <c r="E913" s="66"/>
      <c r="F913" s="47"/>
      <c r="G913" s="48"/>
      <c r="H913" s="49"/>
      <c r="I913" s="49"/>
      <c r="J913" s="49"/>
      <c r="K913" s="50"/>
      <c r="L913" s="49"/>
      <c r="M913" s="49"/>
      <c r="N913" s="49"/>
      <c r="O913" s="50"/>
      <c r="P913" s="50"/>
      <c r="Q913" s="50"/>
      <c r="R913" s="50"/>
      <c r="S913" s="50"/>
      <c r="T913" s="50"/>
      <c r="U913" s="50"/>
      <c r="V913" s="50"/>
      <c r="W913" s="50"/>
      <c r="X913" s="50"/>
      <c r="Y913" s="51"/>
      <c r="Z913" s="52"/>
      <c r="AA913" s="52"/>
      <c r="AB913" s="52"/>
      <c r="AC913" s="52"/>
      <c r="AD913" s="231"/>
      <c r="AE913" s="49"/>
      <c r="AF913" s="84"/>
      <c r="AG913" s="49"/>
      <c r="AH913" s="49"/>
      <c r="AI913" s="49"/>
      <c r="AJ913" s="226"/>
      <c r="AK913" s="49"/>
      <c r="AL913" s="113">
        <f t="shared" si="363"/>
        <v>0</v>
      </c>
      <c r="AM913" s="113">
        <f t="shared" si="361"/>
        <v>0</v>
      </c>
      <c r="AN913" s="218"/>
      <c r="AO913" s="49"/>
      <c r="AP913" s="49"/>
      <c r="AQ913" s="84" t="str">
        <f>UPPER(RIGHT(Journal_Live[[#This Row],[DURATION ]]))</f>
        <v/>
      </c>
      <c r="AR913" s="49"/>
      <c r="AS913" s="55"/>
      <c r="AT913" s="55"/>
      <c r="AU913" s="54"/>
      <c r="AV913" s="56"/>
      <c r="AW913" s="57"/>
      <c r="AX913" s="151" t="s">
        <v>2829</v>
      </c>
      <c r="AY913" s="151" t="s">
        <v>2830</v>
      </c>
      <c r="AZ913" s="151" t="s">
        <v>2831</v>
      </c>
      <c r="BA913" s="151"/>
      <c r="BB913" s="151"/>
      <c r="BC913" s="151"/>
      <c r="BD913" s="151"/>
      <c r="BE913" s="152"/>
      <c r="BF913" s="151"/>
      <c r="BG913" s="94">
        <f>SUM($AV$4:AV913)</f>
        <v>6686.2108375297139</v>
      </c>
      <c r="BH913" s="95">
        <f>SUM($AU$4:AU913)</f>
        <v>42556.423836163201</v>
      </c>
      <c r="BI913" s="80">
        <f>SUMIFS($AU$3:AU914,$Q$3:Q914,"F")</f>
        <v>29235.078121878127</v>
      </c>
      <c r="BJ913" s="80">
        <f>SUMIFS($AU$3:AU914,$Q$3:Q914,"S")</f>
        <v>17938.285714285706</v>
      </c>
      <c r="BK913" s="87">
        <f>SUMIFS($AU$3:AU914,$P$3:P914,"W")</f>
        <v>17144.143836163403</v>
      </c>
      <c r="BL913" s="87">
        <f>SUMIFS($AU$3:AU914,$P$3:P914,"R")</f>
        <v>22616.400000000325</v>
      </c>
      <c r="BM913" s="87">
        <f>SUMIFS($AU$3:AU914,$AQ$3:AQ914,"M")</f>
        <v>8875.1799999983887</v>
      </c>
      <c r="BN913" s="87">
        <f>SUMIFS($AU$3:AU914,$AQ$3:AQ914,"H")</f>
        <v>11643.200000000877</v>
      </c>
      <c r="BO913" s="87">
        <f>SUMIFS($AU$3:AU914,$AQ$3:AQ914,"D")</f>
        <v>13122.377472527351</v>
      </c>
      <c r="BP913" s="87">
        <f>SUMIFS($AS$3:AS1300,$AO$3:AO1300,"W")</f>
        <v>0</v>
      </c>
      <c r="BQ913" s="87">
        <f>SUMIFS($AU$3:AU914,$Q$3:Q914,"O")</f>
        <v>-9340.9400000006026</v>
      </c>
      <c r="BR913" s="87">
        <f>SUMIFS($AU$3:AU914,$AA$3:AA914,"*")</f>
        <v>37881.5220779214</v>
      </c>
      <c r="BS913" s="87">
        <f>SUMIFS($AU$3:AU914,$AB$3:AB914,"*")</f>
        <v>7475.8599999999715</v>
      </c>
      <c r="BT913" s="87">
        <f>SUMIFS($AU$3:AU914,$AC$3:AC914,"*")</f>
        <v>33251.078121878119</v>
      </c>
      <c r="BU913" s="87">
        <f>SUMIFS($AU$3:AU914,$AA$3:AA914,"*",$AB$3:AB914,"*")</f>
        <v>7915.9999999997544</v>
      </c>
      <c r="BV913" s="87">
        <f>SUMIFS($AU$3:AU914,$AA$3:AA914,"*",$AC$3:AC914,"*")</f>
        <v>29696.036363636529</v>
      </c>
      <c r="BW913" s="87">
        <f>SUMIFS($AU$3:AU914,$AB$3:AB914,"*",$AC$3:AC914,"*")</f>
        <v>3863.9999999999991</v>
      </c>
      <c r="BX913" s="87">
        <f>SUMIFS($AV$3:AV914,$Q$3:Q914,"F")</f>
        <v>383.04019562430165</v>
      </c>
      <c r="BY913" s="87">
        <f>SUMIFS($AV$3:AV914,$Q$3:Q914,"S")</f>
        <v>676.61134190572739</v>
      </c>
      <c r="BZ913" s="87">
        <f>SUMIFS($AV$3:AV914,$Q$3:Q914,"O")</f>
        <v>378.55929999967736</v>
      </c>
    </row>
    <row r="914" spans="1:78" ht="15.75" customHeight="1">
      <c r="A914" s="45" t="s">
        <v>2792</v>
      </c>
      <c r="B914" s="59"/>
      <c r="C914" s="46"/>
      <c r="D914" s="46"/>
      <c r="E914" s="66"/>
      <c r="F914" s="47"/>
      <c r="G914" s="48"/>
      <c r="H914" s="49"/>
      <c r="I914" s="49"/>
      <c r="J914" s="49"/>
      <c r="K914" s="50"/>
      <c r="L914" s="49"/>
      <c r="M914" s="49"/>
      <c r="N914" s="49"/>
      <c r="O914" s="50"/>
      <c r="P914" s="50"/>
      <c r="Q914" s="50"/>
      <c r="R914" s="50"/>
      <c r="S914" s="50"/>
      <c r="T914" s="50"/>
      <c r="U914" s="50"/>
      <c r="V914" s="50"/>
      <c r="W914" s="50"/>
      <c r="X914" s="50"/>
      <c r="Y914" s="51"/>
      <c r="Z914" s="52"/>
      <c r="AA914" s="52"/>
      <c r="AB914" s="52"/>
      <c r="AC914" s="52"/>
      <c r="AD914" s="231"/>
      <c r="AE914" s="49"/>
      <c r="AF914" s="84"/>
      <c r="AG914" s="49"/>
      <c r="AH914" s="49"/>
      <c r="AI914" s="49"/>
      <c r="AJ914" s="226"/>
      <c r="AK914" s="49"/>
      <c r="AL914" s="113">
        <f t="shared" si="363"/>
        <v>0</v>
      </c>
      <c r="AM914" s="113">
        <f t="shared" si="361"/>
        <v>0</v>
      </c>
      <c r="AN914" s="218"/>
      <c r="AO914" s="49"/>
      <c r="AP914" s="49"/>
      <c r="AQ914" s="84" t="str">
        <f>UPPER(RIGHT(Journal_Live[[#This Row],[DURATION ]]))</f>
        <v/>
      </c>
      <c r="AR914" s="49"/>
      <c r="AS914" s="55"/>
      <c r="AT914" s="55"/>
      <c r="AU914" s="54"/>
      <c r="AV914" s="56"/>
      <c r="AW914" s="57"/>
      <c r="AX914" s="151" t="s">
        <v>2832</v>
      </c>
      <c r="AY914" s="151"/>
      <c r="AZ914" s="151"/>
      <c r="BA914" s="151"/>
      <c r="BB914" s="151"/>
      <c r="BC914" s="151"/>
      <c r="BD914" s="151"/>
      <c r="BE914" s="152"/>
      <c r="BF914" s="151"/>
      <c r="BG914" s="94">
        <f>SUM($AV$4:AV914)</f>
        <v>6686.2108375297139</v>
      </c>
      <c r="BH914" s="95">
        <f>SUM($AU$4:AU914)</f>
        <v>42556.423836163201</v>
      </c>
      <c r="BI914" s="80">
        <f>SUMIFS($AU$3:AU915,$Q$3:Q915,"F")</f>
        <v>29235.078121878127</v>
      </c>
      <c r="BJ914" s="80">
        <f>SUMIFS($AU$3:AU915,$Q$3:Q915,"S")</f>
        <v>17938.285714285706</v>
      </c>
      <c r="BK914" s="87">
        <f>SUMIFS($AU$3:AU915,$P$3:P915,"W")</f>
        <v>17144.143836163403</v>
      </c>
      <c r="BL914" s="87">
        <f>SUMIFS($AU$3:AU915,$P$3:P915,"R")</f>
        <v>22616.400000000325</v>
      </c>
      <c r="BM914" s="87">
        <f>SUMIFS($AU$3:AU915,$AQ$3:AQ915,"M")</f>
        <v>8875.1799999983887</v>
      </c>
      <c r="BN914" s="87">
        <f>SUMIFS($AU$3:AU915,$AQ$3:AQ915,"H")</f>
        <v>11643.200000000877</v>
      </c>
      <c r="BO914" s="87">
        <f>SUMIFS($AU$3:AU915,$AQ$3:AQ915,"D")</f>
        <v>13122.377472527351</v>
      </c>
      <c r="BP914" s="87">
        <f>SUMIFS($AS$3:AS1301,$AO$3:AO1301,"W")</f>
        <v>0</v>
      </c>
      <c r="BQ914" s="87">
        <f>SUMIFS($AU$3:AU915,$Q$3:Q915,"O")</f>
        <v>-9340.9400000006026</v>
      </c>
      <c r="BR914" s="87">
        <f>SUMIFS($AU$3:AU915,$AA$3:AA915,"*")</f>
        <v>37881.5220779214</v>
      </c>
      <c r="BS914" s="87">
        <f>SUMIFS($AU$3:AU915,$AB$3:AB915,"*")</f>
        <v>7475.8599999999715</v>
      </c>
      <c r="BT914" s="87">
        <f>SUMIFS($AU$3:AU915,$AC$3:AC915,"*")</f>
        <v>33251.078121878119</v>
      </c>
      <c r="BU914" s="87">
        <f>SUMIFS($AU$3:AU915,$AA$3:AA915,"*",$AB$3:AB915,"*")</f>
        <v>7915.9999999997544</v>
      </c>
      <c r="BV914" s="87">
        <f>SUMIFS($AU$3:AU915,$AA$3:AA915,"*",$AC$3:AC915,"*")</f>
        <v>29696.036363636529</v>
      </c>
      <c r="BW914" s="87">
        <f>SUMIFS($AU$3:AU915,$AB$3:AB915,"*",$AC$3:AC915,"*")</f>
        <v>3863.9999999999991</v>
      </c>
      <c r="BX914" s="87">
        <f>SUMIFS($AV$3:AV915,$Q$3:Q915,"F")</f>
        <v>383.04019562430165</v>
      </c>
      <c r="BY914" s="87">
        <f>SUMIFS($AV$3:AV915,$Q$3:Q915,"S")</f>
        <v>676.61134190572739</v>
      </c>
      <c r="BZ914" s="87">
        <f>SUMIFS($AV$3:AV915,$Q$3:Q915,"O")</f>
        <v>378.55929999967736</v>
      </c>
    </row>
    <row r="915" spans="1:78" ht="15.75" customHeight="1">
      <c r="A915" s="45" t="s">
        <v>2792</v>
      </c>
      <c r="B915" s="59">
        <v>45476</v>
      </c>
      <c r="C915" s="46" t="s">
        <v>194</v>
      </c>
      <c r="D915" s="46" t="s">
        <v>186</v>
      </c>
      <c r="E915" s="66" t="s">
        <v>2833</v>
      </c>
      <c r="F915" s="47"/>
      <c r="G915" s="48"/>
      <c r="H915" s="49"/>
      <c r="I915" s="49"/>
      <c r="J915" s="49"/>
      <c r="K915" s="50"/>
      <c r="L915" s="49"/>
      <c r="M915" s="49"/>
      <c r="N915" s="49"/>
      <c r="O915" s="50"/>
      <c r="P915" s="50"/>
      <c r="Q915" s="50"/>
      <c r="R915" s="50"/>
      <c r="S915" s="50"/>
      <c r="T915" s="50"/>
      <c r="U915" s="50"/>
      <c r="V915" s="50"/>
      <c r="W915" s="50"/>
      <c r="X915" s="50"/>
      <c r="Y915" s="51"/>
      <c r="Z915" s="52"/>
      <c r="AA915" s="52"/>
      <c r="AB915" s="52"/>
      <c r="AC915" s="52"/>
      <c r="AD915" s="231"/>
      <c r="AE915" s="49"/>
      <c r="AF915" s="84"/>
      <c r="AG915" s="49"/>
      <c r="AH915" s="49"/>
      <c r="AI915" s="49"/>
      <c r="AJ915" s="226"/>
      <c r="AK915" s="49"/>
      <c r="AL915" s="113">
        <f t="shared" si="363"/>
        <v>0</v>
      </c>
      <c r="AM915" s="113">
        <f t="shared" si="361"/>
        <v>0</v>
      </c>
      <c r="AN915" s="218"/>
      <c r="AO915" s="49"/>
      <c r="AP915" s="49"/>
      <c r="AQ915" s="84" t="str">
        <f>UPPER(RIGHT(Journal_Live[[#This Row],[DURATION ]]))</f>
        <v/>
      </c>
      <c r="AR915" s="49"/>
      <c r="AS915" s="55"/>
      <c r="AT915" s="55"/>
      <c r="AU915" s="54"/>
      <c r="AV915" s="56"/>
      <c r="AW915" s="57"/>
      <c r="AX915" s="151"/>
      <c r="AY915" s="151"/>
      <c r="AZ915" s="151"/>
      <c r="BA915" s="151"/>
      <c r="BB915" s="151"/>
      <c r="BC915" s="151"/>
      <c r="BD915" s="151"/>
      <c r="BE915" s="152"/>
      <c r="BF915" s="151"/>
      <c r="BG915" s="94">
        <f>SUM($AV$4:AV915)</f>
        <v>6686.2108375297139</v>
      </c>
      <c r="BH915" s="95">
        <f>SUM($AU$4:AU915)</f>
        <v>42556.423836163201</v>
      </c>
      <c r="BI915" s="80">
        <f>SUMIFS($AU$3:AU916,$Q$3:Q916,"F")</f>
        <v>29235.078121878127</v>
      </c>
      <c r="BJ915" s="80">
        <f>SUMIFS($AU$3:AU916,$Q$3:Q916,"S")</f>
        <v>17938.285714285706</v>
      </c>
      <c r="BK915" s="87">
        <f>SUMIFS($AU$3:AU916,$P$3:P916,"W")</f>
        <v>17144.143836163403</v>
      </c>
      <c r="BL915" s="87">
        <f>SUMIFS($AU$3:AU916,$P$3:P916,"R")</f>
        <v>22616.400000000325</v>
      </c>
      <c r="BM915" s="87">
        <f>SUMIFS($AU$3:AU916,$AQ$3:AQ916,"M")</f>
        <v>8875.1799999983887</v>
      </c>
      <c r="BN915" s="87">
        <f>SUMIFS($AU$3:AU916,$AQ$3:AQ916,"H")</f>
        <v>11643.200000000877</v>
      </c>
      <c r="BO915" s="87">
        <f>SUMIFS($AU$3:AU916,$AQ$3:AQ916,"D")</f>
        <v>13122.377472527351</v>
      </c>
      <c r="BP915" s="87">
        <f>SUMIFS($AS$3:AS1302,$AO$3:AO1302,"W")</f>
        <v>0</v>
      </c>
      <c r="BQ915" s="87">
        <f>SUMIFS($AU$3:AU916,$Q$3:Q916,"O")</f>
        <v>-9340.9400000006026</v>
      </c>
      <c r="BR915" s="87">
        <f>SUMIFS($AU$3:AU916,$AA$3:AA916,"*")</f>
        <v>37881.5220779214</v>
      </c>
      <c r="BS915" s="87">
        <f>SUMIFS($AU$3:AU916,$AB$3:AB916,"*")</f>
        <v>7475.8599999999715</v>
      </c>
      <c r="BT915" s="87">
        <f>SUMIFS($AU$3:AU916,$AC$3:AC916,"*")</f>
        <v>33251.078121878119</v>
      </c>
      <c r="BU915" s="87">
        <f>SUMIFS($AU$3:AU916,$AA$3:AA916,"*",$AB$3:AB916,"*")</f>
        <v>7915.9999999997544</v>
      </c>
      <c r="BV915" s="87">
        <f>SUMIFS($AU$3:AU916,$AA$3:AA916,"*",$AC$3:AC916,"*")</f>
        <v>29696.036363636529</v>
      </c>
      <c r="BW915" s="87">
        <f>SUMIFS($AU$3:AU916,$AB$3:AB916,"*",$AC$3:AC916,"*")</f>
        <v>3863.9999999999991</v>
      </c>
      <c r="BX915" s="87">
        <f>SUMIFS($AV$3:AV916,$Q$3:Q916,"F")</f>
        <v>383.04019562430165</v>
      </c>
      <c r="BY915" s="87">
        <f>SUMIFS($AV$3:AV916,$Q$3:Q916,"S")</f>
        <v>676.61134190572739</v>
      </c>
      <c r="BZ915" s="87">
        <f>SUMIFS($AV$3:AV916,$Q$3:Q916,"O")</f>
        <v>378.55929999967736</v>
      </c>
    </row>
    <row r="916" spans="1:78" ht="15.75" customHeight="1">
      <c r="A916" s="45" t="s">
        <v>2792</v>
      </c>
      <c r="B916" s="59">
        <v>45476</v>
      </c>
      <c r="C916" s="46" t="s">
        <v>147</v>
      </c>
      <c r="D916" s="46" t="s">
        <v>186</v>
      </c>
      <c r="E916" s="66"/>
      <c r="F916" s="47"/>
      <c r="G916" s="155" t="s">
        <v>1580</v>
      </c>
      <c r="H916" s="49"/>
      <c r="I916" s="49"/>
      <c r="J916" s="49"/>
      <c r="K916" s="50"/>
      <c r="L916" s="49"/>
      <c r="M916" s="49">
        <v>1</v>
      </c>
      <c r="N916" s="49"/>
      <c r="O916" s="50" t="s">
        <v>100</v>
      </c>
      <c r="P916" s="50" t="s">
        <v>101</v>
      </c>
      <c r="Q916" s="50" t="s">
        <v>127</v>
      </c>
      <c r="R916" s="50">
        <v>4</v>
      </c>
      <c r="S916" s="50">
        <v>0</v>
      </c>
      <c r="T916" s="50">
        <v>4</v>
      </c>
      <c r="U916" s="50" t="s">
        <v>102</v>
      </c>
      <c r="V916" s="50"/>
      <c r="W916" s="50"/>
      <c r="X916" s="50"/>
      <c r="Y916" s="51">
        <f>IF(ISBLANK(O916),"",(IF(O916=UPPER("IB"),0.005,0.01)))</f>
        <v>0.01</v>
      </c>
      <c r="Z916" s="52">
        <f>IF(ISBLANK(O916),"",IF(O916="IB",8.63*200,IF(O916="IR",16*100,IF(O916="YT",20*100,IF(O916="YT-XT",24*200,IF(O916="TED",80*100,IF(O916="IR|YT",300*100)))))))</f>
        <v>1600</v>
      </c>
      <c r="AA916" s="52" t="s">
        <v>2834</v>
      </c>
      <c r="AB916" s="52"/>
      <c r="AC916" s="52"/>
      <c r="AD916" s="231">
        <v>0.03</v>
      </c>
      <c r="AE916" s="49"/>
      <c r="AF916" s="84"/>
      <c r="AG916" s="49"/>
      <c r="AH916" s="49"/>
      <c r="AI916" s="49"/>
      <c r="AJ916" s="226"/>
      <c r="AK916" s="49"/>
      <c r="AL916" s="113">
        <f t="shared" si="363"/>
        <v>-32</v>
      </c>
      <c r="AM916" s="113">
        <f t="shared" si="361"/>
        <v>-128</v>
      </c>
      <c r="AN916" s="218"/>
      <c r="AO916" s="49"/>
      <c r="AP916" s="49" t="s">
        <v>301</v>
      </c>
      <c r="AQ916" s="84" t="s">
        <v>142</v>
      </c>
      <c r="AR916" s="49"/>
      <c r="AS916" s="55">
        <v>0.03</v>
      </c>
      <c r="AT916" s="55">
        <f>IF(ISBLANK(AS916),,IF(U916="S",AD916-AS916,AS916-AD916))</f>
        <v>0</v>
      </c>
      <c r="AU916" s="54">
        <f>AV916*R916</f>
        <v>0</v>
      </c>
      <c r="AV916" s="56">
        <f t="shared" si="364"/>
        <v>0</v>
      </c>
      <c r="AW916" s="57" t="s">
        <v>155</v>
      </c>
      <c r="AX916" s="151"/>
      <c r="AY916" s="151"/>
      <c r="AZ916" s="151"/>
      <c r="BA916" s="151"/>
      <c r="BB916" s="151"/>
      <c r="BC916" s="151"/>
      <c r="BD916" s="151"/>
      <c r="BE916" s="152"/>
      <c r="BF916" s="151"/>
      <c r="BG916" s="94">
        <f>SUM($AV$4:AV916)</f>
        <v>6686.2108375297139</v>
      </c>
      <c r="BH916" s="95">
        <f>SUM($AU$4:AU916)</f>
        <v>42556.423836163201</v>
      </c>
      <c r="BI916" s="80">
        <f>SUMIFS($AU$3:AU917,$Q$3:Q917,"F")</f>
        <v>29235.078121878127</v>
      </c>
      <c r="BJ916" s="80">
        <f>SUMIFS($AU$3:AU917,$Q$3:Q917,"S")</f>
        <v>17938.285714285706</v>
      </c>
      <c r="BK916" s="87">
        <f>SUMIFS($AU$3:AU917,$P$3:P917,"W")</f>
        <v>17144.143836163403</v>
      </c>
      <c r="BL916" s="87">
        <f>SUMIFS($AU$3:AU917,$P$3:P917,"R")</f>
        <v>22616.400000000325</v>
      </c>
      <c r="BM916" s="87">
        <f>SUMIFS($AU$3:AU917,$AQ$3:AQ917,"M")</f>
        <v>8875.1799999983887</v>
      </c>
      <c r="BN916" s="87">
        <f>SUMIFS($AU$3:AU917,$AQ$3:AQ917,"H")</f>
        <v>11643.200000000877</v>
      </c>
      <c r="BO916" s="87">
        <f>SUMIFS($AU$3:AU917,$AQ$3:AQ917,"D")</f>
        <v>13122.377472527351</v>
      </c>
      <c r="BP916" s="87">
        <f>SUMIFS($AS$3:AS1303,$AO$3:AO1303,"W")</f>
        <v>0</v>
      </c>
      <c r="BQ916" s="87">
        <f>SUMIFS($AU$3:AU917,$Q$3:Q917,"O")</f>
        <v>-9340.9400000006026</v>
      </c>
      <c r="BR916" s="87">
        <f>SUMIFS($AU$3:AU917,$AA$3:AA917,"*")</f>
        <v>37881.5220779214</v>
      </c>
      <c r="BS916" s="87">
        <f>SUMIFS($AU$3:AU917,$AB$3:AB917,"*")</f>
        <v>7475.8599999999715</v>
      </c>
      <c r="BT916" s="87">
        <f>SUMIFS($AU$3:AU917,$AC$3:AC917,"*")</f>
        <v>33251.078121878119</v>
      </c>
      <c r="BU916" s="87">
        <f>SUMIFS($AU$3:AU917,$AA$3:AA917,"*",$AB$3:AB917,"*")</f>
        <v>7915.9999999997544</v>
      </c>
      <c r="BV916" s="87">
        <f>SUMIFS($AU$3:AU917,$AA$3:AA917,"*",$AC$3:AC917,"*")</f>
        <v>29696.036363636529</v>
      </c>
      <c r="BW916" s="87">
        <f>SUMIFS($AU$3:AU917,$AB$3:AB917,"*",$AC$3:AC917,"*")</f>
        <v>3863.9999999999991</v>
      </c>
      <c r="BX916" s="87">
        <f>SUMIFS($AV$3:AV917,$Q$3:Q917,"F")</f>
        <v>383.04019562430165</v>
      </c>
      <c r="BY916" s="87">
        <f>SUMIFS($AV$3:AV917,$Q$3:Q917,"S")</f>
        <v>676.61134190572739</v>
      </c>
      <c r="BZ916" s="87">
        <f>SUMIFS($AV$3:AV917,$Q$3:Q917,"O")</f>
        <v>378.55929999967736</v>
      </c>
    </row>
    <row r="917" spans="1:78" ht="15.75" customHeight="1">
      <c r="A917" s="45" t="s">
        <v>2792</v>
      </c>
      <c r="B917" s="59">
        <v>45476</v>
      </c>
      <c r="C917" s="46" t="s">
        <v>147</v>
      </c>
      <c r="D917" s="46" t="s">
        <v>186</v>
      </c>
      <c r="E917" s="66"/>
      <c r="F917" s="47"/>
      <c r="G917" s="48" t="s">
        <v>2541</v>
      </c>
      <c r="H917" s="49"/>
      <c r="I917" s="49"/>
      <c r="J917" s="49"/>
      <c r="K917" s="50"/>
      <c r="L917" s="49"/>
      <c r="M917" s="49">
        <v>1</v>
      </c>
      <c r="N917" s="49"/>
      <c r="O917" s="50" t="s">
        <v>196</v>
      </c>
      <c r="P917" s="50" t="s">
        <v>197</v>
      </c>
      <c r="Q917" s="50" t="s">
        <v>198</v>
      </c>
      <c r="R917" s="50">
        <v>2</v>
      </c>
      <c r="S917" s="50">
        <v>0</v>
      </c>
      <c r="T917" s="50">
        <v>2</v>
      </c>
      <c r="U917" s="50" t="s">
        <v>102</v>
      </c>
      <c r="V917" s="50"/>
      <c r="W917" s="50"/>
      <c r="X917" s="50"/>
      <c r="Y917" s="51">
        <f>IF(ISBLANK(O917),"",(IF(O917=UPPER("IB"),0.005,0.01)))</f>
        <v>0.01</v>
      </c>
      <c r="Z917" s="52">
        <f>IF(ISBLANK(O917),"",IF(O917="IB",8.63*200,IF(O917="IR",16*100,IF(O917="YT",20*100,IF(O917="YT-XT",24*200,IF(O917="TED",80*100,IF(O917="XT",29*200)))))))</f>
        <v>5800</v>
      </c>
      <c r="AA917" s="52" t="s">
        <v>908</v>
      </c>
      <c r="AB917" s="52"/>
      <c r="AC917" s="52"/>
      <c r="AD917" s="231">
        <v>95.56</v>
      </c>
      <c r="AE917" s="49"/>
      <c r="AF917" s="84"/>
      <c r="AG917" s="49"/>
      <c r="AH917" s="49"/>
      <c r="AI917" s="49"/>
      <c r="AJ917" s="226"/>
      <c r="AK917" s="49"/>
      <c r="AL917" s="113">
        <f t="shared" si="363"/>
        <v>-116</v>
      </c>
      <c r="AM917" s="113">
        <f t="shared" si="361"/>
        <v>-232</v>
      </c>
      <c r="AN917" s="218"/>
      <c r="AO917" s="49"/>
      <c r="AP917" s="49"/>
      <c r="AQ917" s="84" t="s">
        <v>350</v>
      </c>
      <c r="AR917" s="49"/>
      <c r="AS917" s="55">
        <v>95.56</v>
      </c>
      <c r="AT917" s="55">
        <f>IF(ISBLANK(AS917),,IF(U917="S",AD917-AS917,AS917-AD917))</f>
        <v>0</v>
      </c>
      <c r="AU917" s="54">
        <f>AV917*R917</f>
        <v>0</v>
      </c>
      <c r="AV917" s="56">
        <f t="shared" si="364"/>
        <v>0</v>
      </c>
      <c r="AW917" s="57" t="s">
        <v>155</v>
      </c>
      <c r="AX917" s="151"/>
      <c r="AY917" s="151"/>
      <c r="AZ917" s="151"/>
      <c r="BA917" s="151"/>
      <c r="BB917" s="151"/>
      <c r="BC917" s="151"/>
      <c r="BD917" s="151"/>
      <c r="BE917" s="152"/>
      <c r="BF917" s="151"/>
      <c r="BG917" s="94">
        <f>SUM($AV$4:AV917)</f>
        <v>6686.2108375297139</v>
      </c>
      <c r="BH917" s="95">
        <f>SUM($AU$4:AU917)</f>
        <v>42556.423836163201</v>
      </c>
      <c r="BI917" s="80">
        <f>SUMIFS($AU$3:AU918,$Q$3:Q918,"F")</f>
        <v>29235.078121878127</v>
      </c>
      <c r="BJ917" s="80">
        <f>SUMIFS($AU$3:AU918,$Q$3:Q918,"S")</f>
        <v>17938.285714285706</v>
      </c>
      <c r="BK917" s="87">
        <f>SUMIFS($AU$3:AU918,$P$3:P918,"W")</f>
        <v>17144.143836163403</v>
      </c>
      <c r="BL917" s="87">
        <f>SUMIFS($AU$3:AU918,$P$3:P918,"R")</f>
        <v>22616.400000000325</v>
      </c>
      <c r="BM917" s="87">
        <f>SUMIFS($AU$3:AU918,$AQ$3:AQ918,"M")</f>
        <v>8875.1799999983887</v>
      </c>
      <c r="BN917" s="87">
        <f>SUMIFS($AU$3:AU918,$AQ$3:AQ918,"H")</f>
        <v>11643.200000000877</v>
      </c>
      <c r="BO917" s="87">
        <f>SUMIFS($AU$3:AU918,$AQ$3:AQ918,"D")</f>
        <v>13122.377472527351</v>
      </c>
      <c r="BP917" s="87">
        <f>SUMIFS($AS$3:AS1304,$AO$3:AO1304,"W")</f>
        <v>0</v>
      </c>
      <c r="BQ917" s="87">
        <f>SUMIFS($AU$3:AU918,$Q$3:Q918,"O")</f>
        <v>-9340.9400000006026</v>
      </c>
      <c r="BR917" s="87">
        <f>SUMIFS($AU$3:AU918,$AA$3:AA918,"*")</f>
        <v>37881.5220779214</v>
      </c>
      <c r="BS917" s="87">
        <f>SUMIFS($AU$3:AU918,$AB$3:AB918,"*")</f>
        <v>7475.8599999999715</v>
      </c>
      <c r="BT917" s="87">
        <f>SUMIFS($AU$3:AU918,$AC$3:AC918,"*")</f>
        <v>33251.078121878119</v>
      </c>
      <c r="BU917" s="87">
        <f>SUMIFS($AU$3:AU918,$AA$3:AA918,"*",$AB$3:AB918,"*")</f>
        <v>7915.9999999997544</v>
      </c>
      <c r="BV917" s="87">
        <f>SUMIFS($AU$3:AU918,$AA$3:AA918,"*",$AC$3:AC918,"*")</f>
        <v>29696.036363636529</v>
      </c>
      <c r="BW917" s="87">
        <f>SUMIFS($AU$3:AU918,$AB$3:AB918,"*",$AC$3:AC918,"*")</f>
        <v>3863.9999999999991</v>
      </c>
      <c r="BX917" s="87">
        <f>SUMIFS($AV$3:AV918,$Q$3:Q918,"F")</f>
        <v>383.04019562430165</v>
      </c>
      <c r="BY917" s="87">
        <f>SUMIFS($AV$3:AV918,$Q$3:Q918,"S")</f>
        <v>676.61134190572739</v>
      </c>
      <c r="BZ917" s="87">
        <f>SUMIFS($AV$3:AV918,$Q$3:Q918,"O")</f>
        <v>378.55929999967736</v>
      </c>
    </row>
    <row r="918" spans="1:78" ht="15.75" customHeight="1">
      <c r="A918" s="45" t="s">
        <v>2792</v>
      </c>
      <c r="B918" s="59"/>
      <c r="C918" s="46"/>
      <c r="D918" s="46"/>
      <c r="E918" s="66"/>
      <c r="F918" s="47"/>
      <c r="G918" s="48"/>
      <c r="H918" s="49"/>
      <c r="I918" s="49"/>
      <c r="J918" s="49"/>
      <c r="K918" s="50"/>
      <c r="L918" s="49"/>
      <c r="M918" s="49"/>
      <c r="N918" s="49"/>
      <c r="O918" s="50"/>
      <c r="P918" s="50"/>
      <c r="Q918" s="50"/>
      <c r="R918" s="50"/>
      <c r="S918" s="50"/>
      <c r="T918" s="50"/>
      <c r="U918" s="50"/>
      <c r="V918" s="50"/>
      <c r="W918" s="50"/>
      <c r="X918" s="50"/>
      <c r="Y918" s="51"/>
      <c r="Z918" s="52"/>
      <c r="AA918" s="52"/>
      <c r="AB918" s="52"/>
      <c r="AC918" s="52"/>
      <c r="AD918" s="231"/>
      <c r="AE918" s="49"/>
      <c r="AF918" s="84"/>
      <c r="AG918" s="49"/>
      <c r="AH918" s="49"/>
      <c r="AI918" s="49"/>
      <c r="AJ918" s="226"/>
      <c r="AK918" s="49"/>
      <c r="AL918" s="113">
        <f t="shared" si="363"/>
        <v>0</v>
      </c>
      <c r="AM918" s="113">
        <f t="shared" si="361"/>
        <v>0</v>
      </c>
      <c r="AN918" s="218"/>
      <c r="AO918" s="49"/>
      <c r="AP918" s="49"/>
      <c r="AQ918" s="84" t="str">
        <f>UPPER(RIGHT(Journal_Live[[#This Row],[DURATION ]]))</f>
        <v/>
      </c>
      <c r="AR918" s="49"/>
      <c r="AS918" s="55"/>
      <c r="AT918" s="55"/>
      <c r="AU918" s="54"/>
      <c r="AV918" s="56"/>
      <c r="AW918" s="57"/>
      <c r="AX918" s="151" t="s">
        <v>2835</v>
      </c>
      <c r="AY918" s="151"/>
      <c r="AZ918" s="151"/>
      <c r="BA918" s="151"/>
      <c r="BB918" s="151"/>
      <c r="BC918" s="151"/>
      <c r="BD918" s="151"/>
      <c r="BE918" s="152"/>
      <c r="BF918" s="151"/>
      <c r="BG918" s="94">
        <f>SUM($AV$4:AV918)</f>
        <v>6686.2108375297139</v>
      </c>
      <c r="BH918" s="95">
        <f>SUM($AU$4:AU918)</f>
        <v>42556.423836163201</v>
      </c>
      <c r="BI918" s="80">
        <f>SUMIFS($AU$3:AU919,$Q$3:Q919,"F")</f>
        <v>29235.078121878127</v>
      </c>
      <c r="BJ918" s="80">
        <f>SUMIFS($AU$3:AU919,$Q$3:Q919,"S")</f>
        <v>17938.285714285706</v>
      </c>
      <c r="BK918" s="87">
        <f>SUMIFS($AU$3:AU919,$P$3:P919,"W")</f>
        <v>17144.143836163403</v>
      </c>
      <c r="BL918" s="87">
        <f>SUMIFS($AU$3:AU919,$P$3:P919,"R")</f>
        <v>22616.400000000325</v>
      </c>
      <c r="BM918" s="87">
        <f>SUMIFS($AU$3:AU919,$AQ$3:AQ919,"M")</f>
        <v>8875.1799999983887</v>
      </c>
      <c r="BN918" s="87">
        <f>SUMIFS($AU$3:AU919,$AQ$3:AQ919,"H")</f>
        <v>11643.200000000877</v>
      </c>
      <c r="BO918" s="87">
        <f>SUMIFS($AU$3:AU919,$AQ$3:AQ919,"D")</f>
        <v>13122.377472527351</v>
      </c>
      <c r="BP918" s="87">
        <f>SUMIFS($AS$3:AS1305,$AO$3:AO1305,"W")</f>
        <v>0</v>
      </c>
      <c r="BQ918" s="87">
        <f>SUMIFS($AU$3:AU919,$Q$3:Q919,"O")</f>
        <v>-9340.9400000006026</v>
      </c>
      <c r="BR918" s="87">
        <f>SUMIFS($AU$3:AU919,$AA$3:AA919,"*")</f>
        <v>37881.5220779214</v>
      </c>
      <c r="BS918" s="87">
        <f>SUMIFS($AU$3:AU919,$AB$3:AB919,"*")</f>
        <v>7475.8599999999715</v>
      </c>
      <c r="BT918" s="87">
        <f>SUMIFS($AU$3:AU919,$AC$3:AC919,"*")</f>
        <v>33251.078121878119</v>
      </c>
      <c r="BU918" s="87">
        <f>SUMIFS($AU$3:AU919,$AA$3:AA919,"*",$AB$3:AB919,"*")</f>
        <v>7915.9999999997544</v>
      </c>
      <c r="BV918" s="87">
        <f>SUMIFS($AU$3:AU919,$AA$3:AA919,"*",$AC$3:AC919,"*")</f>
        <v>29696.036363636529</v>
      </c>
      <c r="BW918" s="87">
        <f>SUMIFS($AU$3:AU919,$AB$3:AB919,"*",$AC$3:AC919,"*")</f>
        <v>3863.9999999999991</v>
      </c>
      <c r="BX918" s="87">
        <f>SUMIFS($AV$3:AV919,$Q$3:Q919,"F")</f>
        <v>383.04019562430165</v>
      </c>
      <c r="BY918" s="87">
        <f>SUMIFS($AV$3:AV919,$Q$3:Q919,"S")</f>
        <v>676.61134190572739</v>
      </c>
      <c r="BZ918" s="87">
        <f>SUMIFS($AV$3:AV919,$Q$3:Q919,"O")</f>
        <v>378.55929999967736</v>
      </c>
    </row>
    <row r="919" spans="1:78" ht="15.75" customHeight="1">
      <c r="A919" s="45" t="s">
        <v>2792</v>
      </c>
      <c r="B919" s="59">
        <v>45478</v>
      </c>
      <c r="C919" s="46" t="s">
        <v>1143</v>
      </c>
      <c r="D919" s="46" t="s">
        <v>115</v>
      </c>
      <c r="E919" s="66" t="s">
        <v>2836</v>
      </c>
      <c r="F919" s="47" t="s">
        <v>2837</v>
      </c>
      <c r="G919" s="48"/>
      <c r="H919" s="49">
        <v>1</v>
      </c>
      <c r="I919" s="49"/>
      <c r="J919" s="49"/>
      <c r="K919" s="50" t="s">
        <v>142</v>
      </c>
      <c r="L919" s="49"/>
      <c r="M919" s="49"/>
      <c r="N919" s="49"/>
      <c r="O919" s="50"/>
      <c r="P919" s="50"/>
      <c r="Q919" s="50"/>
      <c r="R919" s="50"/>
      <c r="S919" s="50"/>
      <c r="T919" s="50"/>
      <c r="U919" s="50"/>
      <c r="V919" s="50"/>
      <c r="W919" s="50"/>
      <c r="X919" s="50"/>
      <c r="Y919" s="51"/>
      <c r="Z919" s="52"/>
      <c r="AA919" s="52"/>
      <c r="AB919" s="52"/>
      <c r="AC919" s="52"/>
      <c r="AD919" s="231"/>
      <c r="AE919" s="49"/>
      <c r="AF919" s="84"/>
      <c r="AG919" s="49"/>
      <c r="AH919" s="49"/>
      <c r="AI919" s="49"/>
      <c r="AJ919" s="226"/>
      <c r="AK919" s="49"/>
      <c r="AL919" s="113">
        <f t="shared" si="363"/>
        <v>0</v>
      </c>
      <c r="AM919" s="113">
        <f t="shared" si="361"/>
        <v>0</v>
      </c>
      <c r="AN919" s="218"/>
      <c r="AO919" s="49"/>
      <c r="AP919" s="49"/>
      <c r="AQ919" s="84" t="str">
        <f>UPPER(RIGHT(Journal_Live[[#This Row],[DURATION ]]))</f>
        <v/>
      </c>
      <c r="AR919" s="49"/>
      <c r="AS919" s="55"/>
      <c r="AT919" s="55"/>
      <c r="AU919" s="54"/>
      <c r="AV919" s="56"/>
      <c r="AW919" s="57"/>
      <c r="AX919" s="151" t="s">
        <v>2838</v>
      </c>
      <c r="AY919" s="151"/>
      <c r="AZ919" s="151"/>
      <c r="BA919" s="151"/>
      <c r="BB919" s="151"/>
      <c r="BC919" s="151"/>
      <c r="BD919" s="151"/>
      <c r="BE919" s="152"/>
      <c r="BF919" s="151"/>
      <c r="BG919" s="94">
        <f>SUM($AV$4:AV919)</f>
        <v>6686.2108375297139</v>
      </c>
      <c r="BH919" s="95">
        <f>SUM($AU$4:AU919)</f>
        <v>42556.423836163201</v>
      </c>
      <c r="BI919" s="80">
        <f>SUMIFS($AU$3:AU920,$Q$3:Q920,"F")</f>
        <v>29235.078121878127</v>
      </c>
      <c r="BJ919" s="80">
        <f>SUMIFS($AU$3:AU920,$Q$3:Q920,"S")</f>
        <v>17938.285714285706</v>
      </c>
      <c r="BK919" s="87">
        <f>SUMIFS($AU$3:AU920,$P$3:P920,"W")</f>
        <v>17144.143836163403</v>
      </c>
      <c r="BL919" s="87">
        <f>SUMIFS($AU$3:AU920,$P$3:P920,"R")</f>
        <v>22616.400000000325</v>
      </c>
      <c r="BM919" s="87">
        <f>SUMIFS($AU$3:AU920,$AQ$3:AQ920,"M")</f>
        <v>8875.1799999983887</v>
      </c>
      <c r="BN919" s="87">
        <f>SUMIFS($AU$3:AU920,$AQ$3:AQ920,"H")</f>
        <v>11643.200000000877</v>
      </c>
      <c r="BO919" s="87">
        <f>SUMIFS($AU$3:AU920,$AQ$3:AQ920,"D")</f>
        <v>13122.377472527351</v>
      </c>
      <c r="BP919" s="87">
        <f>SUMIFS($AS$3:AS1306,$AO$3:AO1306,"W")</f>
        <v>0</v>
      </c>
      <c r="BQ919" s="87">
        <f>SUMIFS($AU$3:AU920,$Q$3:Q920,"O")</f>
        <v>-9340.9400000006026</v>
      </c>
      <c r="BR919" s="87">
        <f>SUMIFS($AU$3:AU920,$AA$3:AA920,"*")</f>
        <v>37881.5220779214</v>
      </c>
      <c r="BS919" s="87">
        <f>SUMIFS($AU$3:AU920,$AB$3:AB920,"*")</f>
        <v>7475.8599999999715</v>
      </c>
      <c r="BT919" s="87">
        <f>SUMIFS($AU$3:AU920,$AC$3:AC920,"*")</f>
        <v>33251.078121878119</v>
      </c>
      <c r="BU919" s="87">
        <f>SUMIFS($AU$3:AU920,$AA$3:AA920,"*",$AB$3:AB920,"*")</f>
        <v>7915.9999999997544</v>
      </c>
      <c r="BV919" s="87">
        <f>SUMIFS($AU$3:AU920,$AA$3:AA920,"*",$AC$3:AC920,"*")</f>
        <v>29696.036363636529</v>
      </c>
      <c r="BW919" s="87">
        <f>SUMIFS($AU$3:AU920,$AB$3:AB920,"*",$AC$3:AC920,"*")</f>
        <v>3863.9999999999991</v>
      </c>
      <c r="BX919" s="87">
        <f>SUMIFS($AV$3:AV920,$Q$3:Q920,"F")</f>
        <v>383.04019562430165</v>
      </c>
      <c r="BY919" s="87">
        <f>SUMIFS($AV$3:AV920,$Q$3:Q920,"S")</f>
        <v>676.61134190572739</v>
      </c>
      <c r="BZ919" s="87">
        <f>SUMIFS($AV$3:AV920,$Q$3:Q920,"O")</f>
        <v>378.55929999967736</v>
      </c>
    </row>
    <row r="920" spans="1:78" ht="15.75" customHeight="1">
      <c r="A920" s="45" t="s">
        <v>2792</v>
      </c>
      <c r="B920" s="59"/>
      <c r="C920" s="46"/>
      <c r="D920" s="46"/>
      <c r="E920" s="66" t="s">
        <v>2839</v>
      </c>
      <c r="F920" s="47" t="s">
        <v>2840</v>
      </c>
      <c r="G920" s="48"/>
      <c r="H920" s="49">
        <v>1</v>
      </c>
      <c r="I920" s="49"/>
      <c r="J920" s="49"/>
      <c r="K920" s="50" t="s">
        <v>155</v>
      </c>
      <c r="L920" s="49"/>
      <c r="M920" s="49"/>
      <c r="N920" s="49"/>
      <c r="O920" s="50"/>
      <c r="P920" s="50"/>
      <c r="Q920" s="50"/>
      <c r="R920" s="50"/>
      <c r="S920" s="50"/>
      <c r="T920" s="50"/>
      <c r="U920" s="50"/>
      <c r="V920" s="50"/>
      <c r="W920" s="50"/>
      <c r="X920" s="50"/>
      <c r="Y920" s="51"/>
      <c r="Z920" s="52"/>
      <c r="AA920" s="52"/>
      <c r="AB920" s="52"/>
      <c r="AC920" s="52"/>
      <c r="AD920" s="231"/>
      <c r="AE920" s="49"/>
      <c r="AF920" s="84"/>
      <c r="AG920" s="49"/>
      <c r="AH920" s="49"/>
      <c r="AI920" s="49"/>
      <c r="AJ920" s="226"/>
      <c r="AK920" s="49"/>
      <c r="AL920" s="113">
        <f t="shared" si="363"/>
        <v>0</v>
      </c>
      <c r="AM920" s="113">
        <f t="shared" si="361"/>
        <v>0</v>
      </c>
      <c r="AN920" s="218"/>
      <c r="AO920" s="49"/>
      <c r="AP920" s="49"/>
      <c r="AQ920" s="84" t="str">
        <f>UPPER(RIGHT(Journal_Live[[#This Row],[DURATION ]]))</f>
        <v/>
      </c>
      <c r="AR920" s="49"/>
      <c r="AS920" s="55"/>
      <c r="AT920" s="55"/>
      <c r="AU920" s="54"/>
      <c r="AV920" s="56"/>
      <c r="AW920" s="57"/>
      <c r="AX920" s="151"/>
      <c r="AY920" s="151"/>
      <c r="AZ920" s="151"/>
      <c r="BA920" s="151"/>
      <c r="BB920" s="151"/>
      <c r="BC920" s="151"/>
      <c r="BD920" s="151"/>
      <c r="BE920" s="152"/>
      <c r="BF920" s="151"/>
      <c r="BG920" s="94">
        <f>SUM($AV$4:AV920)</f>
        <v>6686.2108375297139</v>
      </c>
      <c r="BH920" s="95">
        <f>SUM($AU$4:AU920)</f>
        <v>42556.423836163201</v>
      </c>
      <c r="BI920" s="80">
        <f>SUMIFS($AU$3:AU932,$Q$3:Q932,"F")</f>
        <v>29347.078121878127</v>
      </c>
      <c r="BJ920" s="80">
        <f>SUMIFS($AU$3:AU932,$Q$3:Q932,"S")</f>
        <v>16866.285714285717</v>
      </c>
      <c r="BK920" s="87">
        <f>SUMIFS($AU$3:AU932,$P$3:P932,"W")</f>
        <v>15912.143836163443</v>
      </c>
      <c r="BL920" s="87">
        <f>SUMIFS($AU$3:AU932,$P$3:P932,"R")</f>
        <v>22728.400000000325</v>
      </c>
      <c r="BM920" s="87">
        <f>SUMIFS($AU$3:AU932,$AQ$3:AQ932,"M")</f>
        <v>8715.1799999984214</v>
      </c>
      <c r="BN920" s="87">
        <f>SUMIFS($AU$3:AU932,$AQ$3:AQ932,"H")</f>
        <v>11643.200000000877</v>
      </c>
      <c r="BO920" s="87">
        <f>SUMIFS($AU$3:AU932,$AQ$3:AQ932,"D")</f>
        <v>12162.377472527358</v>
      </c>
      <c r="BP920" s="87">
        <f>SUMIFS($AS$3:AS1307,$AO$3:AO1307,"W")</f>
        <v>0</v>
      </c>
      <c r="BQ920" s="87">
        <f>SUMIFS($AU$3:AU932,$Q$3:Q932,"O")</f>
        <v>-9500.9400000005699</v>
      </c>
      <c r="BR920" s="87">
        <f>SUMIFS($AU$3:AU932,$AA$3:AA932,"*")</f>
        <v>38441.522077921436</v>
      </c>
      <c r="BS920" s="87">
        <f>SUMIFS($AU$3:AU932,$AB$3:AB932,"*")</f>
        <v>7475.8599999999715</v>
      </c>
      <c r="BT920" s="87">
        <f>SUMIFS($AU$3:AU932,$AC$3:AC932,"*")</f>
        <v>31683.078121878119</v>
      </c>
      <c r="BU920" s="87">
        <f>SUMIFS($AU$3:AU932,$AA$3:AA932,"*",$AB$3:AB932,"*")</f>
        <v>7915.9999999997544</v>
      </c>
      <c r="BV920" s="87">
        <f>SUMIFS($AU$3:AU932,$AA$3:AA932,"*",$AC$3:AC932,"*")</f>
        <v>29808.036363636529</v>
      </c>
      <c r="BW920" s="87">
        <f>SUMIFS($AU$3:AU932,$AB$3:AB932,"*",$AC$3:AC932,"*")</f>
        <v>3863.9999999999991</v>
      </c>
      <c r="BX920" s="87">
        <f>SUMIFS($AV$3:AV932,$Q$3:Q932,"F")</f>
        <v>399.04019562430165</v>
      </c>
      <c r="BY920" s="87">
        <f>SUMIFS($AV$3:AV932,$Q$3:Q932,"S")</f>
        <v>689.94467523906087</v>
      </c>
      <c r="BZ920" s="87">
        <f>SUMIFS($AV$3:AV932,$Q$3:Q932,"O")</f>
        <v>346.55929999968373</v>
      </c>
    </row>
    <row r="921" spans="1:78" ht="15.75" customHeight="1">
      <c r="A921" s="45" t="s">
        <v>2792</v>
      </c>
      <c r="B921" s="59">
        <v>45478</v>
      </c>
      <c r="C921" s="46" t="s">
        <v>147</v>
      </c>
      <c r="D921" s="46" t="s">
        <v>115</v>
      </c>
      <c r="E921" s="66"/>
      <c r="F921" s="47"/>
      <c r="G921" s="109" t="s">
        <v>2821</v>
      </c>
      <c r="H921" s="49"/>
      <c r="I921" s="49"/>
      <c r="J921" s="49"/>
      <c r="K921" s="50"/>
      <c r="L921" s="49"/>
      <c r="M921" s="49">
        <v>1</v>
      </c>
      <c r="N921" s="49"/>
      <c r="O921" s="50" t="s">
        <v>100</v>
      </c>
      <c r="P921" s="50" t="s">
        <v>101</v>
      </c>
      <c r="Q921" s="50" t="s">
        <v>102</v>
      </c>
      <c r="R921" s="50">
        <v>70</v>
      </c>
      <c r="S921" s="50">
        <v>35</v>
      </c>
      <c r="T921" s="50">
        <v>70</v>
      </c>
      <c r="U921" s="50" t="s">
        <v>22</v>
      </c>
      <c r="V921" s="50"/>
      <c r="W921" s="50"/>
      <c r="X921" s="50"/>
      <c r="Y921" s="51">
        <f>IF(ISBLANK(O921),"",(IF(O921=UPPER("IB"),0.005,0.01)))</f>
        <v>0.01</v>
      </c>
      <c r="Z921" s="52">
        <f>IF(ISBLANK(O921),"",IF(O921="IB",8.63*200,IF(O921="IR",16*100,IF(O921="YT",20*100,IF(O921="YT-XT",24*200,IF(O921="TED",80*100,IF(O921="XT",29*200)))))))</f>
        <v>1600</v>
      </c>
      <c r="AA921" s="52"/>
      <c r="AB921" s="52"/>
      <c r="AC921" s="52" t="s">
        <v>2841</v>
      </c>
      <c r="AD921" s="231">
        <v>-0.19</v>
      </c>
      <c r="AE921" s="49"/>
      <c r="AF921" s="84"/>
      <c r="AG921" s="49"/>
      <c r="AH921" s="49"/>
      <c r="AI921" s="49"/>
      <c r="AJ921" s="226" t="s">
        <v>2842</v>
      </c>
      <c r="AK921" s="49"/>
      <c r="AL921" s="113">
        <f t="shared" si="363"/>
        <v>-32</v>
      </c>
      <c r="AM921" s="113">
        <f t="shared" si="361"/>
        <v>-1120</v>
      </c>
      <c r="AN921" s="218"/>
      <c r="AO921" s="49"/>
      <c r="AP921" s="49"/>
      <c r="AQ921" s="84" t="s">
        <v>155</v>
      </c>
      <c r="AR921" s="49" t="s">
        <v>2843</v>
      </c>
      <c r="AS921" s="55">
        <f>((-0.21*35)+(-0.2*35))/70</f>
        <v>-0.20499999999999999</v>
      </c>
      <c r="AT921" s="55">
        <f t="shared" ref="AT921:AT933" si="365">IF(ISBLANK(AS921),,IF(U921="S",AD921-AS921,AS921-AD921))</f>
        <v>-1.4999999999999986E-2</v>
      </c>
      <c r="AU921" s="54">
        <f t="shared" ref="AU921:AU933" si="366">AV921*R921</f>
        <v>-1679.9999999999984</v>
      </c>
      <c r="AV921" s="56">
        <f t="shared" si="364"/>
        <v>-23.999999999999979</v>
      </c>
      <c r="AW921" s="57" t="s">
        <v>121</v>
      </c>
      <c r="AX921" s="153" t="s">
        <v>2844</v>
      </c>
      <c r="AY921" s="153"/>
      <c r="AZ921" s="153"/>
      <c r="BA921" s="153"/>
      <c r="BB921" s="153"/>
      <c r="BC921" s="153"/>
      <c r="BD921" s="151"/>
      <c r="BE921" s="152"/>
      <c r="BF921" s="151"/>
      <c r="BG921" s="94">
        <f>SUM($AV$4:AV921)</f>
        <v>6662.2108375297139</v>
      </c>
      <c r="BH921" s="95">
        <f>SUM($AU$4:AU921)</f>
        <v>40876.423836163201</v>
      </c>
      <c r="BI921" s="80">
        <f>SUMIFS($AU$3:AU922,$Q$3:Q922,"F")</f>
        <v>29235.078121878127</v>
      </c>
      <c r="BJ921" s="80">
        <f>SUMIFS($AU$3:AU922,$Q$3:Q922,"S")</f>
        <v>16610.28571428571</v>
      </c>
      <c r="BK921" s="87">
        <f>SUMIFS($AU$3:AU922,$P$3:P922,"W")</f>
        <v>15816.143836163405</v>
      </c>
      <c r="BL921" s="87">
        <f>SUMIFS($AU$3:AU922,$P$3:P922,"R")</f>
        <v>22616.400000000325</v>
      </c>
      <c r="BM921" s="87">
        <f>SUMIFS($AU$3:AU922,$AQ$3:AQ922,"M")</f>
        <v>8875.1799999983887</v>
      </c>
      <c r="BN921" s="87">
        <f>SUMIFS($AU$3:AU922,$AQ$3:AQ922,"H")</f>
        <v>11643.200000000877</v>
      </c>
      <c r="BO921" s="87">
        <f>SUMIFS($AU$3:AU922,$AQ$3:AQ922,"D")</f>
        <v>11794.377472527352</v>
      </c>
      <c r="BP921" s="87">
        <f>SUMIFS($AS$3:AS1297,$AO$3:AO1297,"W")</f>
        <v>0</v>
      </c>
      <c r="BQ921" s="87">
        <f>SUMIFS($AU$3:AU922,$Q$3:Q922,"O")</f>
        <v>-9340.9400000006026</v>
      </c>
      <c r="BR921" s="87">
        <f>SUMIFS($AU$3:AU922,$AA$3:AA922,"*")</f>
        <v>38233.5220779214</v>
      </c>
      <c r="BS921" s="87">
        <f>SUMIFS($AU$3:AU922,$AB$3:AB922,"*")</f>
        <v>7475.8599999999715</v>
      </c>
      <c r="BT921" s="87">
        <f>SUMIFS($AU$3:AU922,$AC$3:AC922,"*")</f>
        <v>31571.078121878119</v>
      </c>
      <c r="BU921" s="87">
        <f>SUMIFS($AU$3:AU922,$AA$3:AA922,"*",$AB$3:AB922,"*")</f>
        <v>7915.9999999997544</v>
      </c>
      <c r="BV921" s="87">
        <f>SUMIFS($AU$3:AU922,$AA$3:AA922,"*",$AC$3:AC922,"*")</f>
        <v>29696.036363636529</v>
      </c>
      <c r="BW921" s="87">
        <f>SUMIFS($AU$3:AU922,$AB$3:AB922,"*",$AC$3:AC922,"*")</f>
        <v>3863.9999999999991</v>
      </c>
      <c r="BX921" s="87">
        <f>SUMIFS($AV$3:AV922,$Q$3:Q922,"F")</f>
        <v>383.04019562430165</v>
      </c>
      <c r="BY921" s="87">
        <f>SUMIFS($AV$3:AV922,$Q$3:Q922,"S")</f>
        <v>684.61134190572739</v>
      </c>
      <c r="BZ921" s="87">
        <f>SUMIFS($AV$3:AV922,$Q$3:Q922,"O")</f>
        <v>378.55929999967736</v>
      </c>
    </row>
    <row r="922" spans="1:78" ht="15.75" customHeight="1">
      <c r="A922" s="45" t="s">
        <v>2792</v>
      </c>
      <c r="B922" s="59">
        <v>45478</v>
      </c>
      <c r="C922" s="46" t="s">
        <v>147</v>
      </c>
      <c r="D922" s="46" t="s">
        <v>115</v>
      </c>
      <c r="E922" s="66"/>
      <c r="F922" s="47"/>
      <c r="G922" s="155" t="s">
        <v>276</v>
      </c>
      <c r="H922" s="49"/>
      <c r="I922" s="49"/>
      <c r="J922" s="49"/>
      <c r="K922" s="50"/>
      <c r="L922" s="49"/>
      <c r="M922" s="49">
        <v>1</v>
      </c>
      <c r="N922" s="49"/>
      <c r="O922" s="50" t="s">
        <v>100</v>
      </c>
      <c r="P922" s="50" t="s">
        <v>101</v>
      </c>
      <c r="Q922" s="50" t="s">
        <v>102</v>
      </c>
      <c r="R922" s="50">
        <v>11</v>
      </c>
      <c r="S922" s="50">
        <v>0</v>
      </c>
      <c r="T922" s="50">
        <v>11</v>
      </c>
      <c r="U922" s="50" t="s">
        <v>102</v>
      </c>
      <c r="V922" s="50"/>
      <c r="W922" s="50"/>
      <c r="X922" s="50"/>
      <c r="Y922" s="51">
        <f>IF(ISBLANK(O922),"",(IF(O922=UPPER("IB"),0.005,0.01)))</f>
        <v>0.01</v>
      </c>
      <c r="Z922" s="52">
        <f>IF(ISBLANK(O922),"",IF(O922="IB",8.63*200,IF(O922="IR",16*100,IF(O922="YT",20*100,IF(O922="YT-XT",24*200,IF(O922="TED",80*100,IF(O922="XT",29*200)))))))</f>
        <v>1600</v>
      </c>
      <c r="AA922" s="52" t="s">
        <v>2845</v>
      </c>
      <c r="AB922" s="52"/>
      <c r="AC922" s="52"/>
      <c r="AD922" s="231">
        <v>-0.08</v>
      </c>
      <c r="AE922" s="49"/>
      <c r="AF922" s="84"/>
      <c r="AG922" s="49"/>
      <c r="AH922" s="49"/>
      <c r="AI922" s="49"/>
      <c r="AJ922" s="226"/>
      <c r="AK922" s="49"/>
      <c r="AL922" s="113">
        <f t="shared" si="363"/>
        <v>-32</v>
      </c>
      <c r="AM922" s="113">
        <f t="shared" si="361"/>
        <v>-352</v>
      </c>
      <c r="AN922" s="218"/>
      <c r="AO922" s="49"/>
      <c r="AP922" s="49" t="s">
        <v>279</v>
      </c>
      <c r="AQ922" s="84" t="s">
        <v>155</v>
      </c>
      <c r="AR922" s="49"/>
      <c r="AS922" s="55">
        <v>-0.1</v>
      </c>
      <c r="AT922" s="55">
        <f t="shared" si="365"/>
        <v>2.0000000000000004E-2</v>
      </c>
      <c r="AU922" s="54">
        <f t="shared" si="366"/>
        <v>352.00000000000006</v>
      </c>
      <c r="AV922" s="56">
        <f t="shared" si="364"/>
        <v>32.000000000000007</v>
      </c>
      <c r="AW922" s="57" t="s">
        <v>101</v>
      </c>
      <c r="AX922" s="153"/>
      <c r="AY922" s="153"/>
      <c r="AZ922" s="153"/>
      <c r="BA922" s="153"/>
      <c r="BB922" s="153"/>
      <c r="BC922" s="153"/>
      <c r="BD922" s="151"/>
      <c r="BE922" s="152"/>
      <c r="BF922" s="151"/>
      <c r="BG922" s="94">
        <f>SUM($AV$4:AV922)</f>
        <v>6694.2108375297139</v>
      </c>
      <c r="BH922" s="95">
        <f>SUM($AU$4:AU922)</f>
        <v>41228.423836163201</v>
      </c>
      <c r="BI922" s="80">
        <f>SUMIFS($AU$3:AU923,$Q$3:Q923,"F")</f>
        <v>29235.078121878127</v>
      </c>
      <c r="BJ922" s="80">
        <f>SUMIFS($AU$3:AU923,$Q$3:Q923,"S")</f>
        <v>16610.28571428571</v>
      </c>
      <c r="BK922" s="87">
        <f>SUMIFS($AU$3:AU923,$P$3:P923,"W")</f>
        <v>15816.143836163405</v>
      </c>
      <c r="BL922" s="87">
        <f>SUMIFS($AU$3:AU923,$P$3:P923,"R")</f>
        <v>22616.400000000325</v>
      </c>
      <c r="BM922" s="87">
        <f>SUMIFS($AU$3:AU923,$AQ$3:AQ923,"M")</f>
        <v>8875.1799999983887</v>
      </c>
      <c r="BN922" s="87">
        <f>SUMIFS($AU$3:AU923,$AQ$3:AQ923,"H")</f>
        <v>11643.200000000877</v>
      </c>
      <c r="BO922" s="87">
        <f>SUMIFS($AU$3:AU923,$AQ$3:AQ923,"D")</f>
        <v>11794.377472527352</v>
      </c>
      <c r="BP922" s="87">
        <f>SUMIFS($AS$3:AS1298,$AO$3:AO1298,"W")</f>
        <v>0</v>
      </c>
      <c r="BQ922" s="87">
        <f>SUMIFS($AU$3:AU923,$Q$3:Q923,"O")</f>
        <v>-9340.9400000006026</v>
      </c>
      <c r="BR922" s="87">
        <f>SUMIFS($AU$3:AU923,$AA$3:AA923,"*")</f>
        <v>38233.5220779214</v>
      </c>
      <c r="BS922" s="87">
        <f>SUMIFS($AU$3:AU923,$AB$3:AB923,"*")</f>
        <v>7475.8599999999715</v>
      </c>
      <c r="BT922" s="87">
        <f>SUMIFS($AU$3:AU923,$AC$3:AC923,"*")</f>
        <v>31571.078121878119</v>
      </c>
      <c r="BU922" s="87">
        <f>SUMIFS($AU$3:AU923,$AA$3:AA923,"*",$AB$3:AB923,"*")</f>
        <v>7915.9999999997544</v>
      </c>
      <c r="BV922" s="87">
        <f>SUMIFS($AU$3:AU923,$AA$3:AA923,"*",$AC$3:AC923,"*")</f>
        <v>29696.036363636529</v>
      </c>
      <c r="BW922" s="87">
        <f>SUMIFS($AU$3:AU923,$AB$3:AB923,"*",$AC$3:AC923,"*")</f>
        <v>3863.9999999999991</v>
      </c>
      <c r="BX922" s="87">
        <f>SUMIFS($AV$3:AV923,$Q$3:Q923,"F")</f>
        <v>383.04019562430165</v>
      </c>
      <c r="BY922" s="87">
        <f>SUMIFS($AV$3:AV923,$Q$3:Q923,"S")</f>
        <v>684.61134190572739</v>
      </c>
      <c r="BZ922" s="87">
        <f>SUMIFS($AV$3:AV923,$Q$3:Q923,"O")</f>
        <v>378.55929999967736</v>
      </c>
    </row>
    <row r="923" spans="1:78" ht="15.75" customHeight="1">
      <c r="A923" s="45" t="s">
        <v>2792</v>
      </c>
      <c r="B923" s="59">
        <v>45478</v>
      </c>
      <c r="C923" s="46" t="s">
        <v>2846</v>
      </c>
      <c r="D923" s="46" t="s">
        <v>115</v>
      </c>
      <c r="E923" s="66"/>
      <c r="F923" s="47"/>
      <c r="G923" s="155" t="s">
        <v>2823</v>
      </c>
      <c r="H923" s="49"/>
      <c r="I923" s="49"/>
      <c r="J923" s="49"/>
      <c r="K923" s="50"/>
      <c r="L923" s="49"/>
      <c r="M923" s="49">
        <v>1</v>
      </c>
      <c r="N923" s="49"/>
      <c r="O923" s="50" t="s">
        <v>100</v>
      </c>
      <c r="P923" s="50" t="s">
        <v>101</v>
      </c>
      <c r="Q923" s="50" t="s">
        <v>102</v>
      </c>
      <c r="R923" s="50">
        <v>25</v>
      </c>
      <c r="S923" s="50">
        <v>0</v>
      </c>
      <c r="T923" s="50">
        <v>25</v>
      </c>
      <c r="U923" s="50" t="s">
        <v>22</v>
      </c>
      <c r="V923" s="50"/>
      <c r="W923" s="50"/>
      <c r="X923" s="50"/>
      <c r="Y923" s="51">
        <f>IF(ISBLANK(O923),"",(IF(O923=UPPER("IB"),0.005,0.01)))</f>
        <v>0.01</v>
      </c>
      <c r="Z923" s="52">
        <f>IF(ISBLANK(O923),"",IF(O923="IB",8.63*200,IF(O923="IR",16*100,IF(O923="YT",20*100,IF(O923="YT-XT",24*200,IF(O923="TED",80*100,IF(O923="IR|YT",300*100)))))))</f>
        <v>1600</v>
      </c>
      <c r="AA923" s="52"/>
      <c r="AB923" s="52"/>
      <c r="AC923" s="52" t="s">
        <v>405</v>
      </c>
      <c r="AD923" s="231">
        <v>-0.16</v>
      </c>
      <c r="AE923" s="49"/>
      <c r="AF923" s="84"/>
      <c r="AG923" s="49"/>
      <c r="AH923" s="49"/>
      <c r="AI923" s="49"/>
      <c r="AJ923" s="226"/>
      <c r="AK923" s="49"/>
      <c r="AL923" s="113">
        <f t="shared" si="363"/>
        <v>-32</v>
      </c>
      <c r="AM923" s="113">
        <f t="shared" si="361"/>
        <v>-800</v>
      </c>
      <c r="AN923" s="218"/>
      <c r="AO923" s="49"/>
      <c r="AP923" s="49"/>
      <c r="AQ923" s="84" t="s">
        <v>350</v>
      </c>
      <c r="AR923" s="49"/>
      <c r="AS923" s="55">
        <v>-0.16</v>
      </c>
      <c r="AT923" s="55">
        <f t="shared" si="365"/>
        <v>0</v>
      </c>
      <c r="AU923" s="54">
        <f t="shared" si="366"/>
        <v>0</v>
      </c>
      <c r="AV923" s="56">
        <f t="shared" si="364"/>
        <v>0</v>
      </c>
      <c r="AW923" s="57" t="s">
        <v>155</v>
      </c>
      <c r="AX923" s="153"/>
      <c r="AY923" s="153"/>
      <c r="AZ923" s="153"/>
      <c r="BA923" s="153"/>
      <c r="BB923" s="153"/>
      <c r="BC923" s="153"/>
      <c r="BD923" s="151"/>
      <c r="BE923" s="152"/>
      <c r="BF923" s="151"/>
      <c r="BG923" s="94">
        <f>SUM($AV$4:AV923)</f>
        <v>6694.2108375297139</v>
      </c>
      <c r="BH923" s="95">
        <f>SUM($AU$4:AU923)</f>
        <v>41228.423836163201</v>
      </c>
      <c r="BI923" s="80">
        <f>SUMIFS($AU$3:AU924,$Q$3:Q924,"F")</f>
        <v>29235.078121878127</v>
      </c>
      <c r="BJ923" s="80">
        <f>SUMIFS($AU$3:AU924,$Q$3:Q924,"S")</f>
        <v>16610.28571428571</v>
      </c>
      <c r="BK923" s="87">
        <f>SUMIFS($AU$3:AU924,$P$3:P924,"W")</f>
        <v>15816.143836163405</v>
      </c>
      <c r="BL923" s="87">
        <f>SUMIFS($AU$3:AU924,$P$3:P924,"R")</f>
        <v>22616.400000000325</v>
      </c>
      <c r="BM923" s="87">
        <f>SUMIFS($AU$3:AU924,$AQ$3:AQ924,"M")</f>
        <v>8875.1799999983887</v>
      </c>
      <c r="BN923" s="87">
        <f>SUMIFS($AU$3:AU924,$AQ$3:AQ924,"H")</f>
        <v>11643.200000000877</v>
      </c>
      <c r="BO923" s="87">
        <f>SUMIFS($AU$3:AU924,$AQ$3:AQ924,"D")</f>
        <v>11794.377472527352</v>
      </c>
      <c r="BP923" s="87">
        <f>SUMIFS($AS$3:AS1299,$AO$3:AO1299,"W")</f>
        <v>0</v>
      </c>
      <c r="BQ923" s="87">
        <f>SUMIFS($AU$3:AU924,$Q$3:Q924,"O")</f>
        <v>-9340.9400000006026</v>
      </c>
      <c r="BR923" s="87">
        <f>SUMIFS($AU$3:AU924,$AA$3:AA924,"*")</f>
        <v>38233.5220779214</v>
      </c>
      <c r="BS923" s="87">
        <f>SUMIFS($AU$3:AU924,$AB$3:AB924,"*")</f>
        <v>7475.8599999999715</v>
      </c>
      <c r="BT923" s="87">
        <f>SUMIFS($AU$3:AU924,$AC$3:AC924,"*")</f>
        <v>31571.078121878119</v>
      </c>
      <c r="BU923" s="87">
        <f>SUMIFS($AU$3:AU924,$AA$3:AA924,"*",$AB$3:AB924,"*")</f>
        <v>7915.9999999997544</v>
      </c>
      <c r="BV923" s="87">
        <f>SUMIFS($AU$3:AU924,$AA$3:AA924,"*",$AC$3:AC924,"*")</f>
        <v>29696.036363636529</v>
      </c>
      <c r="BW923" s="87">
        <f>SUMIFS($AU$3:AU924,$AB$3:AB924,"*",$AC$3:AC924,"*")</f>
        <v>3863.9999999999991</v>
      </c>
      <c r="BX923" s="87">
        <f>SUMIFS($AV$3:AV924,$Q$3:Q924,"F")</f>
        <v>383.04019562430165</v>
      </c>
      <c r="BY923" s="87">
        <f>SUMIFS($AV$3:AV924,$Q$3:Q924,"S")</f>
        <v>684.61134190572739</v>
      </c>
      <c r="BZ923" s="87">
        <f>SUMIFS($AV$3:AV924,$Q$3:Q924,"O")</f>
        <v>378.55929999967736</v>
      </c>
    </row>
    <row r="924" spans="1:78" ht="15.75" customHeight="1">
      <c r="A924" s="45" t="s">
        <v>2792</v>
      </c>
      <c r="B924" s="59">
        <v>45478</v>
      </c>
      <c r="C924" s="46" t="s">
        <v>493</v>
      </c>
      <c r="D924" s="46" t="s">
        <v>115</v>
      </c>
      <c r="E924" s="66"/>
      <c r="F924" s="47"/>
      <c r="G924" s="48" t="s">
        <v>2466</v>
      </c>
      <c r="H924" s="49"/>
      <c r="I924" s="49"/>
      <c r="J924" s="49"/>
      <c r="K924" s="50"/>
      <c r="L924" s="49"/>
      <c r="M924" s="49"/>
      <c r="N924" s="49"/>
      <c r="O924" s="50"/>
      <c r="P924" s="50"/>
      <c r="Q924" s="50"/>
      <c r="R924" s="50"/>
      <c r="S924" s="50"/>
      <c r="T924" s="50"/>
      <c r="U924" s="50"/>
      <c r="V924" s="50"/>
      <c r="W924" s="50"/>
      <c r="X924" s="50"/>
      <c r="Y924" s="51"/>
      <c r="Z924" s="52"/>
      <c r="AA924" s="52"/>
      <c r="AB924" s="52"/>
      <c r="AC924" s="52"/>
      <c r="AD924" s="231"/>
      <c r="AE924" s="49"/>
      <c r="AF924" s="84"/>
      <c r="AG924" s="49"/>
      <c r="AH924" s="49"/>
      <c r="AI924" s="49"/>
      <c r="AJ924" s="226"/>
      <c r="AK924" s="49"/>
      <c r="AL924" s="113">
        <f t="shared" si="363"/>
        <v>0</v>
      </c>
      <c r="AM924" s="113">
        <f t="shared" si="361"/>
        <v>0</v>
      </c>
      <c r="AN924" s="218"/>
      <c r="AO924" s="49"/>
      <c r="AP924" s="49"/>
      <c r="AQ924" s="84" t="str">
        <f>UPPER(RIGHT(Journal_Live[[#This Row],[DURATION ]]))</f>
        <v/>
      </c>
      <c r="AR924" s="49"/>
      <c r="AS924" s="55"/>
      <c r="AT924" s="55">
        <f t="shared" si="365"/>
        <v>0</v>
      </c>
      <c r="AU924" s="54">
        <f t="shared" si="366"/>
        <v>0</v>
      </c>
      <c r="AV924" s="56">
        <f t="shared" si="364"/>
        <v>0</v>
      </c>
      <c r="AW924" s="57"/>
      <c r="AX924" s="153"/>
      <c r="AY924" s="153"/>
      <c r="AZ924" s="153"/>
      <c r="BA924" s="153"/>
      <c r="BB924" s="153"/>
      <c r="BC924" s="153"/>
      <c r="BD924" s="151"/>
      <c r="BE924" s="152"/>
      <c r="BF924" s="151"/>
      <c r="BG924" s="94">
        <f>SUM($AV$4:AV924)</f>
        <v>6694.2108375297139</v>
      </c>
      <c r="BH924" s="95">
        <f>SUM($AU$4:AU924)</f>
        <v>41228.423836163201</v>
      </c>
      <c r="BI924" s="80">
        <f>SUMIFS($AU$3:AU925,$Q$3:Q925,"F")</f>
        <v>29235.078121878127</v>
      </c>
      <c r="BJ924" s="80">
        <f>SUMIFS($AU$3:AU925,$Q$3:Q925,"S")</f>
        <v>16610.28571428571</v>
      </c>
      <c r="BK924" s="87">
        <f>SUMIFS($AU$3:AU925,$P$3:P925,"W")</f>
        <v>15816.143836163405</v>
      </c>
      <c r="BL924" s="87">
        <f>SUMIFS($AU$3:AU925,$P$3:P925,"R")</f>
        <v>22616.400000000325</v>
      </c>
      <c r="BM924" s="87">
        <f>SUMIFS($AU$3:AU925,$AQ$3:AQ925,"M")</f>
        <v>8875.1799999983887</v>
      </c>
      <c r="BN924" s="87">
        <f>SUMIFS($AU$3:AU925,$AQ$3:AQ925,"H")</f>
        <v>11643.200000000877</v>
      </c>
      <c r="BO924" s="87">
        <f>SUMIFS($AU$3:AU925,$AQ$3:AQ925,"D")</f>
        <v>11794.377472527352</v>
      </c>
      <c r="BP924" s="87">
        <f>SUMIFS($AS$3:AS1300,$AO$3:AO1300,"W")</f>
        <v>0</v>
      </c>
      <c r="BQ924" s="87">
        <f>SUMIFS($AU$3:AU925,$Q$3:Q925,"O")</f>
        <v>-9340.9400000006026</v>
      </c>
      <c r="BR924" s="87">
        <f>SUMIFS($AU$3:AU925,$AA$3:AA925,"*")</f>
        <v>38233.5220779214</v>
      </c>
      <c r="BS924" s="87">
        <f>SUMIFS($AU$3:AU925,$AB$3:AB925,"*")</f>
        <v>7475.8599999999715</v>
      </c>
      <c r="BT924" s="87">
        <f>SUMIFS($AU$3:AU925,$AC$3:AC925,"*")</f>
        <v>31571.078121878119</v>
      </c>
      <c r="BU924" s="87">
        <f>SUMIFS($AU$3:AU925,$AA$3:AA925,"*",$AB$3:AB925,"*")</f>
        <v>7915.9999999997544</v>
      </c>
      <c r="BV924" s="87">
        <f>SUMIFS($AU$3:AU925,$AA$3:AA925,"*",$AC$3:AC925,"*")</f>
        <v>29696.036363636529</v>
      </c>
      <c r="BW924" s="87">
        <f>SUMIFS($AU$3:AU925,$AB$3:AB925,"*",$AC$3:AC925,"*")</f>
        <v>3863.9999999999991</v>
      </c>
      <c r="BX924" s="87">
        <f>SUMIFS($AV$3:AV925,$Q$3:Q925,"F")</f>
        <v>383.04019562430165</v>
      </c>
      <c r="BY924" s="87">
        <f>SUMIFS($AV$3:AV925,$Q$3:Q925,"S")</f>
        <v>684.61134190572739</v>
      </c>
      <c r="BZ924" s="87">
        <f>SUMIFS($AV$3:AV925,$Q$3:Q925,"O")</f>
        <v>378.55929999967736</v>
      </c>
    </row>
    <row r="925" spans="1:78" ht="15.75" customHeight="1">
      <c r="A925" s="45" t="s">
        <v>2792</v>
      </c>
      <c r="B925" s="59">
        <v>45478</v>
      </c>
      <c r="C925" s="46" t="s">
        <v>2440</v>
      </c>
      <c r="D925" s="46" t="s">
        <v>115</v>
      </c>
      <c r="E925" s="66"/>
      <c r="F925" s="47"/>
      <c r="G925" s="155" t="s">
        <v>295</v>
      </c>
      <c r="H925" s="49"/>
      <c r="I925" s="49"/>
      <c r="J925" s="49"/>
      <c r="K925" s="50"/>
      <c r="L925" s="49"/>
      <c r="M925" s="49">
        <v>1</v>
      </c>
      <c r="N925" s="49"/>
      <c r="O925" s="50" t="s">
        <v>100</v>
      </c>
      <c r="P925" s="50" t="s">
        <v>101</v>
      </c>
      <c r="Q925" s="50" t="s">
        <v>102</v>
      </c>
      <c r="R925" s="50">
        <v>36</v>
      </c>
      <c r="S925" s="50">
        <v>0</v>
      </c>
      <c r="T925" s="50">
        <v>36</v>
      </c>
      <c r="U925" s="50" t="s">
        <v>22</v>
      </c>
      <c r="V925" s="50"/>
      <c r="W925" s="50"/>
      <c r="X925" s="50"/>
      <c r="Y925" s="51">
        <f>IF(ISBLANK(O925),"",(IF(O925=UPPER("IB"),0.005,0.01)))</f>
        <v>0.01</v>
      </c>
      <c r="Z925" s="52">
        <f>IF(ISBLANK(O925),"",IF(O925="IB",8.63*200,IF(O925="IR",16*100,IF(O925="YT",20*100,IF(O925="YT-XT",24*200,IF(O925="TED",80*100,IF(O925="XT",29*200)))))))</f>
        <v>1600</v>
      </c>
      <c r="AA925" s="52" t="s">
        <v>1588</v>
      </c>
      <c r="AB925" s="52"/>
      <c r="AC925" s="52"/>
      <c r="AD925" s="231">
        <v>-0.1</v>
      </c>
      <c r="AE925" s="49"/>
      <c r="AF925" s="84"/>
      <c r="AG925" s="49"/>
      <c r="AH925" s="49"/>
      <c r="AI925" s="49"/>
      <c r="AJ925" s="226"/>
      <c r="AK925" s="49"/>
      <c r="AL925" s="113">
        <f t="shared" si="363"/>
        <v>-32</v>
      </c>
      <c r="AM925" s="113">
        <f t="shared" si="361"/>
        <v>-1152</v>
      </c>
      <c r="AN925" s="218"/>
      <c r="AO925" s="49"/>
      <c r="AP925" s="49"/>
      <c r="AQ925" s="84" t="s">
        <v>155</v>
      </c>
      <c r="AR925" s="49"/>
      <c r="AS925" s="55">
        <v>-0.1</v>
      </c>
      <c r="AT925" s="55">
        <f t="shared" si="365"/>
        <v>0</v>
      </c>
      <c r="AU925" s="54">
        <f t="shared" si="366"/>
        <v>0</v>
      </c>
      <c r="AV925" s="56">
        <f t="shared" si="364"/>
        <v>0</v>
      </c>
      <c r="AW925" s="57" t="s">
        <v>155</v>
      </c>
      <c r="AX925" s="153"/>
      <c r="AY925" s="153"/>
      <c r="AZ925" s="153"/>
      <c r="BA925" s="153"/>
      <c r="BB925" s="153"/>
      <c r="BC925" s="153"/>
      <c r="BD925" s="151"/>
      <c r="BE925" s="152"/>
      <c r="BF925" s="151"/>
      <c r="BG925" s="94">
        <f>SUM($AV$4:AV925)</f>
        <v>6694.2108375297139</v>
      </c>
      <c r="BH925" s="95">
        <f>SUM($AU$4:AU925)</f>
        <v>41228.423836163201</v>
      </c>
      <c r="BI925" s="80">
        <f>SUMIFS($AU$3:AU926,$Q$3:Q926,"F")</f>
        <v>29235.078121878127</v>
      </c>
      <c r="BJ925" s="80">
        <f>SUMIFS($AU$3:AU926,$Q$3:Q926,"S")</f>
        <v>16610.28571428571</v>
      </c>
      <c r="BK925" s="87">
        <f>SUMIFS($AU$3:AU926,$P$3:P926,"W")</f>
        <v>15816.143836163405</v>
      </c>
      <c r="BL925" s="87">
        <f>SUMIFS($AU$3:AU926,$P$3:P926,"R")</f>
        <v>22616.400000000325</v>
      </c>
      <c r="BM925" s="87">
        <f>SUMIFS($AU$3:AU926,$AQ$3:AQ926,"M")</f>
        <v>8875.1799999983887</v>
      </c>
      <c r="BN925" s="87">
        <f>SUMIFS($AU$3:AU926,$AQ$3:AQ926,"H")</f>
        <v>11643.200000000877</v>
      </c>
      <c r="BO925" s="87">
        <f>SUMIFS($AU$3:AU926,$AQ$3:AQ926,"D")</f>
        <v>11794.377472527352</v>
      </c>
      <c r="BP925" s="87">
        <f>SUMIFS($AS$3:AS1301,$AO$3:AO1301,"W")</f>
        <v>0</v>
      </c>
      <c r="BQ925" s="87">
        <f>SUMIFS($AU$3:AU926,$Q$3:Q926,"O")</f>
        <v>-9340.9400000006026</v>
      </c>
      <c r="BR925" s="87">
        <f>SUMIFS($AU$3:AU926,$AA$3:AA926,"*")</f>
        <v>38233.5220779214</v>
      </c>
      <c r="BS925" s="87">
        <f>SUMIFS($AU$3:AU926,$AB$3:AB926,"*")</f>
        <v>7475.8599999999715</v>
      </c>
      <c r="BT925" s="87">
        <f>SUMIFS($AU$3:AU926,$AC$3:AC926,"*")</f>
        <v>31571.078121878119</v>
      </c>
      <c r="BU925" s="87">
        <f>SUMIFS($AU$3:AU926,$AA$3:AA926,"*",$AB$3:AB926,"*")</f>
        <v>7915.9999999997544</v>
      </c>
      <c r="BV925" s="87">
        <f>SUMIFS($AU$3:AU926,$AA$3:AA926,"*",$AC$3:AC926,"*")</f>
        <v>29696.036363636529</v>
      </c>
      <c r="BW925" s="87">
        <f>SUMIFS($AU$3:AU926,$AB$3:AB926,"*",$AC$3:AC926,"*")</f>
        <v>3863.9999999999991</v>
      </c>
      <c r="BX925" s="87">
        <f>SUMIFS($AV$3:AV926,$Q$3:Q926,"F")</f>
        <v>383.04019562430165</v>
      </c>
      <c r="BY925" s="87">
        <f>SUMIFS($AV$3:AV926,$Q$3:Q926,"S")</f>
        <v>684.61134190572739</v>
      </c>
      <c r="BZ925" s="87">
        <f>SUMIFS($AV$3:AV926,$Q$3:Q926,"O")</f>
        <v>378.55929999967736</v>
      </c>
    </row>
    <row r="926" spans="1:78" ht="15.75" customHeight="1">
      <c r="A926" s="45" t="s">
        <v>2792</v>
      </c>
      <c r="B926" s="59">
        <v>45481</v>
      </c>
      <c r="C926" s="46" t="s">
        <v>2847</v>
      </c>
      <c r="D926" s="46" t="s">
        <v>115</v>
      </c>
      <c r="E926" s="66"/>
      <c r="F926" s="47"/>
      <c r="G926" s="48" t="s">
        <v>2821</v>
      </c>
      <c r="H926" s="49"/>
      <c r="I926" s="49"/>
      <c r="J926" s="49"/>
      <c r="K926" s="50"/>
      <c r="L926" s="49"/>
      <c r="M926" s="49"/>
      <c r="N926" s="49"/>
      <c r="O926" s="50"/>
      <c r="P926" s="50"/>
      <c r="Q926" s="50"/>
      <c r="R926" s="50"/>
      <c r="S926" s="50"/>
      <c r="T926" s="50"/>
      <c r="U926" s="50"/>
      <c r="V926" s="50"/>
      <c r="W926" s="50"/>
      <c r="X926" s="50"/>
      <c r="Y926" s="51"/>
      <c r="Z926" s="52"/>
      <c r="AA926" s="52"/>
      <c r="AB926" s="52"/>
      <c r="AC926" s="52"/>
      <c r="AD926" s="231"/>
      <c r="AE926" s="49"/>
      <c r="AF926" s="84"/>
      <c r="AG926" s="49"/>
      <c r="AH926" s="49"/>
      <c r="AI926" s="49"/>
      <c r="AJ926" s="226"/>
      <c r="AK926" s="49"/>
      <c r="AL926" s="113">
        <f t="shared" si="363"/>
        <v>0</v>
      </c>
      <c r="AM926" s="113">
        <f t="shared" si="361"/>
        <v>0</v>
      </c>
      <c r="AN926" s="218"/>
      <c r="AO926" s="49"/>
      <c r="AP926" s="49"/>
      <c r="AQ926" s="84" t="str">
        <f>UPPER(RIGHT(Journal_Live[[#This Row],[DURATION ]]))</f>
        <v/>
      </c>
      <c r="AR926" s="49"/>
      <c r="AS926" s="55"/>
      <c r="AT926" s="55">
        <f t="shared" si="365"/>
        <v>0</v>
      </c>
      <c r="AU926" s="54">
        <f t="shared" si="366"/>
        <v>0</v>
      </c>
      <c r="AV926" s="56">
        <f t="shared" si="364"/>
        <v>0</v>
      </c>
      <c r="AW926" s="57"/>
      <c r="AX926" s="153" t="s">
        <v>2848</v>
      </c>
      <c r="AY926" s="153" t="s">
        <v>2849</v>
      </c>
      <c r="AZ926" s="153" t="s">
        <v>1588</v>
      </c>
      <c r="BA926" s="153" t="s">
        <v>2850</v>
      </c>
      <c r="BB926" s="153" t="s">
        <v>2851</v>
      </c>
      <c r="BC926" s="153"/>
      <c r="BD926" s="151"/>
      <c r="BE926" s="152"/>
      <c r="BF926" s="151"/>
      <c r="BG926" s="94">
        <f>SUM($AV$4:AV926)</f>
        <v>6694.2108375297139</v>
      </c>
      <c r="BH926" s="95">
        <f>SUM($AU$4:AU926)</f>
        <v>41228.423836163201</v>
      </c>
      <c r="BI926" s="80">
        <f>SUMIFS($AU$3:AU927,$Q$3:Q927,"F")</f>
        <v>29235.078121878127</v>
      </c>
      <c r="BJ926" s="80">
        <f>SUMIFS($AU$3:AU927,$Q$3:Q927,"S")</f>
        <v>16866.285714285717</v>
      </c>
      <c r="BK926" s="87">
        <f>SUMIFS($AU$3:AU927,$P$3:P927,"W")</f>
        <v>16072.14383616341</v>
      </c>
      <c r="BL926" s="87">
        <f>SUMIFS($AU$3:AU927,$P$3:P927,"R")</f>
        <v>22616.400000000325</v>
      </c>
      <c r="BM926" s="87">
        <f>SUMIFS($AU$3:AU927,$AQ$3:AQ927,"M")</f>
        <v>8875.1799999983887</v>
      </c>
      <c r="BN926" s="87">
        <f>SUMIFS($AU$3:AU927,$AQ$3:AQ927,"H")</f>
        <v>11643.200000000877</v>
      </c>
      <c r="BO926" s="87">
        <f>SUMIFS($AU$3:AU927,$AQ$3:AQ927,"D")</f>
        <v>12050.377472527358</v>
      </c>
      <c r="BP926" s="87">
        <f>SUMIFS($AS$3:AS1302,$AO$3:AO1302,"W")</f>
        <v>0</v>
      </c>
      <c r="BQ926" s="87">
        <f>SUMIFS($AU$3:AU927,$Q$3:Q927,"O")</f>
        <v>-9340.9400000006026</v>
      </c>
      <c r="BR926" s="87">
        <f>SUMIFS($AU$3:AU927,$AA$3:AA927,"*")</f>
        <v>38489.522077921407</v>
      </c>
      <c r="BS926" s="87">
        <f>SUMIFS($AU$3:AU927,$AB$3:AB927,"*")</f>
        <v>7475.8599999999715</v>
      </c>
      <c r="BT926" s="87">
        <f>SUMIFS($AU$3:AU927,$AC$3:AC927,"*")</f>
        <v>31571.078121878119</v>
      </c>
      <c r="BU926" s="87">
        <f>SUMIFS($AU$3:AU927,$AA$3:AA927,"*",$AB$3:AB927,"*")</f>
        <v>7915.9999999997544</v>
      </c>
      <c r="BV926" s="87">
        <f>SUMIFS($AU$3:AU927,$AA$3:AA927,"*",$AC$3:AC927,"*")</f>
        <v>29696.036363636529</v>
      </c>
      <c r="BW926" s="87">
        <f>SUMIFS($AU$3:AU927,$AB$3:AB927,"*",$AC$3:AC927,"*")</f>
        <v>3863.9999999999991</v>
      </c>
      <c r="BX926" s="87">
        <f>SUMIFS($AV$3:AV927,$Q$3:Q927,"F")</f>
        <v>383.04019562430165</v>
      </c>
      <c r="BY926" s="87">
        <f>SUMIFS($AV$3:AV927,$Q$3:Q927,"S")</f>
        <v>689.94467523906087</v>
      </c>
      <c r="BZ926" s="87">
        <f>SUMIFS($AV$3:AV927,$Q$3:Q927,"O")</f>
        <v>378.55929999967736</v>
      </c>
    </row>
    <row r="927" spans="1:78" ht="15.75" customHeight="1">
      <c r="A927" s="45" t="s">
        <v>2792</v>
      </c>
      <c r="B927" s="59">
        <v>45481</v>
      </c>
      <c r="C927" s="46" t="s">
        <v>2852</v>
      </c>
      <c r="D927" s="46" t="s">
        <v>176</v>
      </c>
      <c r="E927" s="66"/>
      <c r="F927" s="47"/>
      <c r="G927" s="155" t="s">
        <v>2466</v>
      </c>
      <c r="H927" s="49"/>
      <c r="I927" s="49"/>
      <c r="J927" s="49"/>
      <c r="K927" s="50"/>
      <c r="L927" s="49"/>
      <c r="M927" s="49">
        <v>1</v>
      </c>
      <c r="N927" s="49"/>
      <c r="O927" s="50" t="s">
        <v>100</v>
      </c>
      <c r="P927" s="50" t="s">
        <v>101</v>
      </c>
      <c r="Q927" s="50" t="s">
        <v>102</v>
      </c>
      <c r="R927" s="50">
        <v>48</v>
      </c>
      <c r="S927" s="50">
        <v>16</v>
      </c>
      <c r="T927" s="50">
        <v>14</v>
      </c>
      <c r="U927" s="50" t="s">
        <v>22</v>
      </c>
      <c r="V927" s="50"/>
      <c r="W927" s="50"/>
      <c r="X927" s="50"/>
      <c r="Y927" s="51">
        <f>IF(ISBLANK(O927),"",(IF(O927=UPPER("IB"),0.005,0.01)))</f>
        <v>0.01</v>
      </c>
      <c r="Z927" s="52">
        <f>IF(ISBLANK(O927),"",IF(O927="IB",8.63*200,IF(O927="IR",16*100,IF(O927="YT",20*100,IF(O927="YT-XT",24*200,IF(O927="TED",80*100,IF(O927="IR|YT",300*100)))))))</f>
        <v>1600</v>
      </c>
      <c r="AA927" s="52" t="s">
        <v>2853</v>
      </c>
      <c r="AB927" s="52"/>
      <c r="AC927" s="52"/>
      <c r="AD927" s="231">
        <f>((-0.37*32)+(-0.38*16))/48</f>
        <v>-0.37333333333333335</v>
      </c>
      <c r="AE927" s="49"/>
      <c r="AF927" s="84"/>
      <c r="AG927" s="49"/>
      <c r="AH927" s="49"/>
      <c r="AI927" s="49"/>
      <c r="AJ927" s="226"/>
      <c r="AK927" s="49"/>
      <c r="AL927" s="113">
        <f t="shared" si="363"/>
        <v>-32</v>
      </c>
      <c r="AM927" s="113">
        <f t="shared" si="361"/>
        <v>-1024</v>
      </c>
      <c r="AN927" s="218"/>
      <c r="AO927" s="49"/>
      <c r="AP927" s="49" t="s">
        <v>1369</v>
      </c>
      <c r="AQ927" s="84" t="s">
        <v>155</v>
      </c>
      <c r="AR927" s="49" t="s">
        <v>2843</v>
      </c>
      <c r="AS927" s="55">
        <f>((-0.37*16)+(-0.37*32))/48</f>
        <v>-0.36999999999999994</v>
      </c>
      <c r="AT927" s="55">
        <f t="shared" si="365"/>
        <v>3.3333333333334103E-3</v>
      </c>
      <c r="AU927" s="54">
        <f t="shared" si="366"/>
        <v>256.00000000000591</v>
      </c>
      <c r="AV927" s="56">
        <f t="shared" si="364"/>
        <v>5.3333333333334565</v>
      </c>
      <c r="AW927" s="57" t="s">
        <v>101</v>
      </c>
      <c r="AX927" s="153"/>
      <c r="AY927" s="153"/>
      <c r="AZ927" s="153"/>
      <c r="BA927" s="153"/>
      <c r="BB927" s="153"/>
      <c r="BC927" s="153"/>
      <c r="BD927" s="151"/>
      <c r="BE927" s="152"/>
      <c r="BF927" s="151"/>
      <c r="BG927" s="94">
        <f>SUM($AV$4:AV927)</f>
        <v>6699.5441708630469</v>
      </c>
      <c r="BH927" s="95">
        <f>SUM($AU$4:AU927)</f>
        <v>41484.423836163209</v>
      </c>
      <c r="BI927" s="80">
        <f>SUMIFS($AU$3:AU928,$Q$3:Q928,"F")</f>
        <v>29235.078121878127</v>
      </c>
      <c r="BJ927" s="80">
        <f>SUMIFS($AU$3:AU928,$Q$3:Q928,"S")</f>
        <v>16866.285714285717</v>
      </c>
      <c r="BK927" s="87">
        <f>SUMIFS($AU$3:AU928,$P$3:P928,"W")</f>
        <v>16072.14383616341</v>
      </c>
      <c r="BL927" s="87">
        <f>SUMIFS($AU$3:AU928,$P$3:P928,"R")</f>
        <v>22616.400000000325</v>
      </c>
      <c r="BM927" s="87">
        <f>SUMIFS($AU$3:AU928,$AQ$3:AQ928,"M")</f>
        <v>8875.1799999983887</v>
      </c>
      <c r="BN927" s="87">
        <f>SUMIFS($AU$3:AU928,$AQ$3:AQ928,"H")</f>
        <v>11643.200000000877</v>
      </c>
      <c r="BO927" s="87">
        <f>SUMIFS($AU$3:AU928,$AQ$3:AQ928,"D")</f>
        <v>12050.377472527358</v>
      </c>
      <c r="BP927" s="87">
        <f>SUMIFS($AS$3:AS1303,$AO$3:AO1303,"W")</f>
        <v>0</v>
      </c>
      <c r="BQ927" s="87">
        <f>SUMIFS($AU$3:AU928,$Q$3:Q928,"O")</f>
        <v>-9340.9400000006026</v>
      </c>
      <c r="BR927" s="87">
        <f>SUMIFS($AU$3:AU928,$AA$3:AA928,"*")</f>
        <v>38489.522077921407</v>
      </c>
      <c r="BS927" s="87">
        <f>SUMIFS($AU$3:AU928,$AB$3:AB928,"*")</f>
        <v>7475.8599999999715</v>
      </c>
      <c r="BT927" s="87">
        <f>SUMIFS($AU$3:AU928,$AC$3:AC928,"*")</f>
        <v>31571.078121878119</v>
      </c>
      <c r="BU927" s="87">
        <f>SUMIFS($AU$3:AU928,$AA$3:AA928,"*",$AB$3:AB928,"*")</f>
        <v>7915.9999999997544</v>
      </c>
      <c r="BV927" s="87">
        <f>SUMIFS($AU$3:AU928,$AA$3:AA928,"*",$AC$3:AC928,"*")</f>
        <v>29696.036363636529</v>
      </c>
      <c r="BW927" s="87">
        <f>SUMIFS($AU$3:AU928,$AB$3:AB928,"*",$AC$3:AC928,"*")</f>
        <v>3863.9999999999991</v>
      </c>
      <c r="BX927" s="87">
        <f>SUMIFS($AV$3:AV928,$Q$3:Q928,"F")</f>
        <v>383.04019562430165</v>
      </c>
      <c r="BY927" s="87">
        <f>SUMIFS($AV$3:AV928,$Q$3:Q928,"S")</f>
        <v>689.94467523906087</v>
      </c>
      <c r="BZ927" s="87">
        <f>SUMIFS($AV$3:AV928,$Q$3:Q928,"O")</f>
        <v>378.55929999967736</v>
      </c>
    </row>
    <row r="928" spans="1:78" ht="15.75" customHeight="1">
      <c r="A928" s="45" t="s">
        <v>2792</v>
      </c>
      <c r="B928" s="59"/>
      <c r="C928" s="46"/>
      <c r="D928" s="46"/>
      <c r="E928" s="66"/>
      <c r="F928" s="47"/>
      <c r="G928" s="48"/>
      <c r="H928" s="49"/>
      <c r="I928" s="49"/>
      <c r="J928" s="49"/>
      <c r="K928" s="50"/>
      <c r="L928" s="49"/>
      <c r="M928" s="49"/>
      <c r="N928" s="49"/>
      <c r="O928" s="50"/>
      <c r="P928" s="50"/>
      <c r="Q928" s="50"/>
      <c r="R928" s="50"/>
      <c r="S928" s="50"/>
      <c r="T928" s="50"/>
      <c r="U928" s="50"/>
      <c r="V928" s="50"/>
      <c r="W928" s="50"/>
      <c r="X928" s="50"/>
      <c r="Y928" s="51"/>
      <c r="Z928" s="52"/>
      <c r="AA928" s="52"/>
      <c r="AB928" s="52"/>
      <c r="AC928" s="52"/>
      <c r="AD928" s="231"/>
      <c r="AE928" s="49"/>
      <c r="AF928" s="84"/>
      <c r="AG928" s="49"/>
      <c r="AH928" s="49"/>
      <c r="AI928" s="49"/>
      <c r="AJ928" s="226"/>
      <c r="AK928" s="49"/>
      <c r="AL928" s="113">
        <f t="shared" si="363"/>
        <v>0</v>
      </c>
      <c r="AM928" s="113">
        <f t="shared" si="361"/>
        <v>0</v>
      </c>
      <c r="AN928" s="218"/>
      <c r="AO928" s="49"/>
      <c r="AP928" s="49"/>
      <c r="AQ928" s="84" t="str">
        <f>UPPER(RIGHT(Journal_Live[[#This Row],[DURATION ]]))</f>
        <v/>
      </c>
      <c r="AR928" s="49"/>
      <c r="AS928" s="55"/>
      <c r="AT928" s="55">
        <f t="shared" si="365"/>
        <v>0</v>
      </c>
      <c r="AU928" s="54">
        <f t="shared" si="366"/>
        <v>0</v>
      </c>
      <c r="AV928" s="56">
        <f t="shared" si="364"/>
        <v>0</v>
      </c>
      <c r="AW928" s="57"/>
      <c r="AX928" s="153" t="s">
        <v>2854</v>
      </c>
      <c r="AY928" s="153"/>
      <c r="AZ928" s="153"/>
      <c r="BA928" s="153"/>
      <c r="BB928" s="153"/>
      <c r="BC928" s="153"/>
      <c r="BD928" s="151"/>
      <c r="BE928" s="152"/>
      <c r="BF928" s="151"/>
      <c r="BG928" s="94">
        <f>SUM($AV$4:AV928)</f>
        <v>6699.5441708630469</v>
      </c>
      <c r="BH928" s="95">
        <f>SUM($AU$4:AU928)</f>
        <v>41484.423836163209</v>
      </c>
      <c r="BI928" s="80">
        <f>SUMIFS($AU$3:AU929,$Q$3:Q929,"F")</f>
        <v>29347.078121878127</v>
      </c>
      <c r="BJ928" s="80">
        <f>SUMIFS($AU$3:AU929,$Q$3:Q929,"S")</f>
        <v>16866.285714285717</v>
      </c>
      <c r="BK928" s="87">
        <f>SUMIFS($AU$3:AU929,$P$3:P929,"W")</f>
        <v>16072.14383616341</v>
      </c>
      <c r="BL928" s="87">
        <f>SUMIFS($AU$3:AU929,$P$3:P929,"R")</f>
        <v>22728.400000000325</v>
      </c>
      <c r="BM928" s="87">
        <f>SUMIFS($AU$3:AU929,$AQ$3:AQ929,"M")</f>
        <v>8875.1799999983887</v>
      </c>
      <c r="BN928" s="87">
        <f>SUMIFS($AU$3:AU929,$AQ$3:AQ929,"H")</f>
        <v>11643.200000000877</v>
      </c>
      <c r="BO928" s="87">
        <f>SUMIFS($AU$3:AU929,$AQ$3:AQ929,"D")</f>
        <v>12162.377472527358</v>
      </c>
      <c r="BP928" s="87">
        <f>SUMIFS($AS$3:AS1304,$AO$3:AO1304,"W")</f>
        <v>0</v>
      </c>
      <c r="BQ928" s="87">
        <f>SUMIFS($AU$3:AU929,$Q$3:Q929,"O")</f>
        <v>-9340.9400000006026</v>
      </c>
      <c r="BR928" s="87">
        <f>SUMIFS($AU$3:AU929,$AA$3:AA929,"*")</f>
        <v>38601.522077921407</v>
      </c>
      <c r="BS928" s="87">
        <f>SUMIFS($AU$3:AU929,$AB$3:AB929,"*")</f>
        <v>7475.8599999999715</v>
      </c>
      <c r="BT928" s="87">
        <f>SUMIFS($AU$3:AU929,$AC$3:AC929,"*")</f>
        <v>31683.078121878119</v>
      </c>
      <c r="BU928" s="87">
        <f>SUMIFS($AU$3:AU929,$AA$3:AA929,"*",$AB$3:AB929,"*")</f>
        <v>7915.9999999997544</v>
      </c>
      <c r="BV928" s="87">
        <f>SUMIFS($AU$3:AU929,$AA$3:AA929,"*",$AC$3:AC929,"*")</f>
        <v>29808.036363636529</v>
      </c>
      <c r="BW928" s="87">
        <f>SUMIFS($AU$3:AU929,$AB$3:AB929,"*",$AC$3:AC929,"*")</f>
        <v>3863.9999999999991</v>
      </c>
      <c r="BX928" s="87">
        <f>SUMIFS($AV$3:AV929,$Q$3:Q929,"F")</f>
        <v>399.04019562430165</v>
      </c>
      <c r="BY928" s="87">
        <f>SUMIFS($AV$3:AV929,$Q$3:Q929,"S")</f>
        <v>689.94467523906087</v>
      </c>
      <c r="BZ928" s="87">
        <f>SUMIFS($AV$3:AV929,$Q$3:Q929,"O")</f>
        <v>378.55929999967736</v>
      </c>
    </row>
    <row r="929" spans="1:78" ht="15.75" customHeight="1">
      <c r="A929" s="45" t="s">
        <v>2792</v>
      </c>
      <c r="B929" s="59">
        <v>45483</v>
      </c>
      <c r="C929" s="46" t="s">
        <v>1538</v>
      </c>
      <c r="D929" s="46" t="s">
        <v>186</v>
      </c>
      <c r="E929" s="66"/>
      <c r="F929" s="47"/>
      <c r="G929" s="110" t="s">
        <v>2855</v>
      </c>
      <c r="H929" s="49"/>
      <c r="I929" s="49"/>
      <c r="J929" s="49"/>
      <c r="K929" s="50"/>
      <c r="L929" s="49"/>
      <c r="M929" s="49">
        <v>2</v>
      </c>
      <c r="N929" s="49"/>
      <c r="O929" s="50" t="s">
        <v>100</v>
      </c>
      <c r="P929" s="50" t="s">
        <v>126</v>
      </c>
      <c r="Q929" s="50" t="s">
        <v>127</v>
      </c>
      <c r="R929" s="50">
        <v>7</v>
      </c>
      <c r="S929" s="50">
        <v>0</v>
      </c>
      <c r="T929" s="50">
        <v>7</v>
      </c>
      <c r="U929" s="50" t="s">
        <v>102</v>
      </c>
      <c r="V929" s="50"/>
      <c r="W929" s="50"/>
      <c r="X929" s="50"/>
      <c r="Y929" s="51">
        <f>IF(ISBLANK(O929),"",(IF(O929=UPPER("IB"),0.005,0.01)))</f>
        <v>0.01</v>
      </c>
      <c r="Z929" s="52">
        <f>IF(ISBLANK(O929),"",IF(O929="IB",8.63*200,IF(O929="IR",16*100,IF(O929="YT",20*100,IF(O929="YT-XT",24*200,IF(O929="TED",80*100,IF(O929="IR|YT",300*100)))))))</f>
        <v>1600</v>
      </c>
      <c r="AA929" s="52" t="s">
        <v>2856</v>
      </c>
      <c r="AB929" s="52"/>
      <c r="AC929" s="52" t="s">
        <v>1281</v>
      </c>
      <c r="AD929" s="231">
        <v>0.02</v>
      </c>
      <c r="AE929" s="49"/>
      <c r="AF929" s="84"/>
      <c r="AG929" s="49"/>
      <c r="AH929" s="49"/>
      <c r="AI929" s="49"/>
      <c r="AJ929" s="226" t="s">
        <v>2857</v>
      </c>
      <c r="AK929" s="49"/>
      <c r="AL929" s="113">
        <f t="shared" si="363"/>
        <v>-32</v>
      </c>
      <c r="AM929" s="113">
        <f t="shared" ref="AM929:AM957" si="367">AL929*(R929-S929)</f>
        <v>-224</v>
      </c>
      <c r="AN929" s="218"/>
      <c r="AO929" s="49"/>
      <c r="AP929" s="49"/>
      <c r="AQ929" s="84" t="s">
        <v>155</v>
      </c>
      <c r="AR929" s="49" t="s">
        <v>2858</v>
      </c>
      <c r="AS929" s="55">
        <v>0.01</v>
      </c>
      <c r="AT929" s="55">
        <f t="shared" si="365"/>
        <v>0.01</v>
      </c>
      <c r="AU929" s="54">
        <f t="shared" si="366"/>
        <v>112</v>
      </c>
      <c r="AV929" s="56">
        <f t="shared" si="364"/>
        <v>16</v>
      </c>
      <c r="AW929" s="57" t="s">
        <v>101</v>
      </c>
      <c r="AX929" s="153"/>
      <c r="AY929" s="153"/>
      <c r="AZ929" s="153"/>
      <c r="BA929" s="153"/>
      <c r="BB929" s="153"/>
      <c r="BC929" s="153"/>
      <c r="BD929" s="151"/>
      <c r="BE929" s="152"/>
      <c r="BF929" s="151"/>
      <c r="BG929" s="94">
        <f>SUM($AV$4:AV929)</f>
        <v>6715.5441708630469</v>
      </c>
      <c r="BH929" s="95">
        <f>SUM($AU$4:AU929)</f>
        <v>41596.423836163209</v>
      </c>
      <c r="BI929" s="80">
        <f>SUMIFS($AU$3:AU930,$Q$3:Q930,"F")</f>
        <v>29347.078121878127</v>
      </c>
      <c r="BJ929" s="80">
        <f>SUMIFS($AU$3:AU930,$Q$3:Q930,"S")</f>
        <v>16866.285714285717</v>
      </c>
      <c r="BK929" s="87">
        <f>SUMIFS($AU$3:AU930,$P$3:P930,"W")</f>
        <v>16072.14383616341</v>
      </c>
      <c r="BL929" s="87">
        <f>SUMIFS($AU$3:AU930,$P$3:P930,"R")</f>
        <v>22728.400000000325</v>
      </c>
      <c r="BM929" s="87">
        <f>SUMIFS($AU$3:AU930,$AQ$3:AQ930,"M")</f>
        <v>8875.1799999983887</v>
      </c>
      <c r="BN929" s="87">
        <f>SUMIFS($AU$3:AU930,$AQ$3:AQ930,"H")</f>
        <v>11643.200000000877</v>
      </c>
      <c r="BO929" s="87">
        <f>SUMIFS($AU$3:AU930,$AQ$3:AQ930,"D")</f>
        <v>12162.377472527358</v>
      </c>
      <c r="BP929" s="87">
        <f>SUMIFS($AS$3:AS1305,$AO$3:AO1305,"W")</f>
        <v>0</v>
      </c>
      <c r="BQ929" s="87">
        <f>SUMIFS($AU$3:AU930,$Q$3:Q930,"O")</f>
        <v>-9340.9400000006026</v>
      </c>
      <c r="BR929" s="87">
        <f>SUMIFS($AU$3:AU930,$AA$3:AA930,"*")</f>
        <v>38601.522077921407</v>
      </c>
      <c r="BS929" s="87">
        <f>SUMIFS($AU$3:AU930,$AB$3:AB930,"*")</f>
        <v>7475.8599999999715</v>
      </c>
      <c r="BT929" s="87">
        <f>SUMIFS($AU$3:AU930,$AC$3:AC930,"*")</f>
        <v>31683.078121878119</v>
      </c>
      <c r="BU929" s="87">
        <f>SUMIFS($AU$3:AU930,$AA$3:AA930,"*",$AB$3:AB930,"*")</f>
        <v>7915.9999999997544</v>
      </c>
      <c r="BV929" s="87">
        <f>SUMIFS($AU$3:AU930,$AA$3:AA930,"*",$AC$3:AC930,"*")</f>
        <v>29808.036363636529</v>
      </c>
      <c r="BW929" s="87">
        <f>SUMIFS($AU$3:AU930,$AB$3:AB930,"*",$AC$3:AC930,"*")</f>
        <v>3863.9999999999991</v>
      </c>
      <c r="BX929" s="87">
        <f>SUMIFS($AV$3:AV930,$Q$3:Q930,"F")</f>
        <v>399.04019562430165</v>
      </c>
      <c r="BY929" s="87">
        <f>SUMIFS($AV$3:AV930,$Q$3:Q930,"S")</f>
        <v>689.94467523906087</v>
      </c>
      <c r="BZ929" s="87">
        <f>SUMIFS($AV$3:AV930,$Q$3:Q930,"O")</f>
        <v>378.55929999967736</v>
      </c>
    </row>
    <row r="930" spans="1:78" ht="15.75" customHeight="1">
      <c r="A930" s="45" t="s">
        <v>2792</v>
      </c>
      <c r="B930" s="59"/>
      <c r="C930" s="46"/>
      <c r="D930" s="46"/>
      <c r="E930" s="66"/>
      <c r="F930" s="47"/>
      <c r="G930" s="48"/>
      <c r="H930" s="49"/>
      <c r="I930" s="49"/>
      <c r="J930" s="49"/>
      <c r="K930" s="50"/>
      <c r="L930" s="49"/>
      <c r="M930" s="49"/>
      <c r="N930" s="49"/>
      <c r="O930" s="50"/>
      <c r="P930" s="50"/>
      <c r="Q930" s="50"/>
      <c r="R930" s="50"/>
      <c r="S930" s="50"/>
      <c r="T930" s="50"/>
      <c r="U930" s="50"/>
      <c r="V930" s="50"/>
      <c r="W930" s="50"/>
      <c r="X930" s="50"/>
      <c r="Y930" s="51"/>
      <c r="Z930" s="52"/>
      <c r="AA930" s="52"/>
      <c r="AB930" s="52"/>
      <c r="AC930" s="52"/>
      <c r="AD930" s="231"/>
      <c r="AE930" s="49"/>
      <c r="AF930" s="84"/>
      <c r="AG930" s="49"/>
      <c r="AH930" s="49"/>
      <c r="AI930" s="49"/>
      <c r="AJ930" s="226"/>
      <c r="AK930" s="49"/>
      <c r="AL930" s="113">
        <f t="shared" si="363"/>
        <v>0</v>
      </c>
      <c r="AM930" s="113">
        <f t="shared" si="367"/>
        <v>0</v>
      </c>
      <c r="AN930" s="218"/>
      <c r="AO930" s="49"/>
      <c r="AP930" s="49"/>
      <c r="AQ930" s="84" t="str">
        <f>UPPER(RIGHT(Journal_Live[[#This Row],[DURATION ]]))</f>
        <v/>
      </c>
      <c r="AR930" s="49"/>
      <c r="AS930" s="55"/>
      <c r="AT930" s="55">
        <f t="shared" si="365"/>
        <v>0</v>
      </c>
      <c r="AU930" s="54">
        <f t="shared" si="366"/>
        <v>0</v>
      </c>
      <c r="AV930" s="56">
        <f t="shared" si="364"/>
        <v>0</v>
      </c>
      <c r="AW930" s="57"/>
      <c r="AX930" s="151" t="s">
        <v>2432</v>
      </c>
      <c r="AY930" s="151" t="s">
        <v>2859</v>
      </c>
      <c r="AZ930" s="151" t="s">
        <v>2434</v>
      </c>
      <c r="BA930" s="153"/>
      <c r="BB930" s="153"/>
      <c r="BC930" s="153"/>
      <c r="BD930" s="151"/>
      <c r="BE930" s="152"/>
      <c r="BF930" s="151"/>
      <c r="BG930" s="94">
        <f>SUM($AV$4:AV930)</f>
        <v>6715.5441708630469</v>
      </c>
      <c r="BH930" s="95">
        <f>SUM($AU$4:AU930)</f>
        <v>41596.423836163209</v>
      </c>
      <c r="BI930" s="80">
        <f>SUMIFS($AU$3:AU931,$Q$3:Q931,"F")</f>
        <v>29347.078121878127</v>
      </c>
      <c r="BJ930" s="80">
        <f>SUMIFS($AU$3:AU931,$Q$3:Q931,"S")</f>
        <v>16866.285714285717</v>
      </c>
      <c r="BK930" s="87">
        <f>SUMIFS($AU$3:AU931,$P$3:P931,"W")</f>
        <v>16072.14383616341</v>
      </c>
      <c r="BL930" s="87">
        <f>SUMIFS($AU$3:AU931,$P$3:P931,"R")</f>
        <v>22728.400000000325</v>
      </c>
      <c r="BM930" s="87">
        <f>SUMIFS($AU$3:AU931,$AQ$3:AQ931,"M")</f>
        <v>8875.1799999983887</v>
      </c>
      <c r="BN930" s="87">
        <f>SUMIFS($AU$3:AU931,$AQ$3:AQ931,"H")</f>
        <v>11643.200000000877</v>
      </c>
      <c r="BO930" s="87">
        <f>SUMIFS($AU$3:AU931,$AQ$3:AQ931,"D")</f>
        <v>12162.377472527358</v>
      </c>
      <c r="BP930" s="87">
        <f>SUMIFS($AS$3:AS1306,$AO$3:AO1306,"W")</f>
        <v>0</v>
      </c>
      <c r="BQ930" s="87">
        <f>SUMIFS($AU$3:AU931,$Q$3:Q931,"O")</f>
        <v>-9340.9400000006026</v>
      </c>
      <c r="BR930" s="87">
        <f>SUMIFS($AU$3:AU931,$AA$3:AA931,"*")</f>
        <v>38601.522077921407</v>
      </c>
      <c r="BS930" s="87">
        <f>SUMIFS($AU$3:AU931,$AB$3:AB931,"*")</f>
        <v>7475.8599999999715</v>
      </c>
      <c r="BT930" s="87">
        <f>SUMIFS($AU$3:AU931,$AC$3:AC931,"*")</f>
        <v>31683.078121878119</v>
      </c>
      <c r="BU930" s="87">
        <f>SUMIFS($AU$3:AU931,$AA$3:AA931,"*",$AB$3:AB931,"*")</f>
        <v>7915.9999999997544</v>
      </c>
      <c r="BV930" s="87">
        <f>SUMIFS($AU$3:AU931,$AA$3:AA931,"*",$AC$3:AC931,"*")</f>
        <v>29808.036363636529</v>
      </c>
      <c r="BW930" s="87">
        <f>SUMIFS($AU$3:AU931,$AB$3:AB931,"*",$AC$3:AC931,"*")</f>
        <v>3863.9999999999991</v>
      </c>
      <c r="BX930" s="87">
        <f>SUMIFS($AV$3:AV931,$Q$3:Q931,"F")</f>
        <v>399.04019562430165</v>
      </c>
      <c r="BY930" s="87">
        <f>SUMIFS($AV$3:AV931,$Q$3:Q931,"S")</f>
        <v>689.94467523906087</v>
      </c>
      <c r="BZ930" s="87">
        <f>SUMIFS($AV$3:AV931,$Q$3:Q931,"O")</f>
        <v>378.55929999967736</v>
      </c>
    </row>
    <row r="931" spans="1:78" ht="15.75" customHeight="1">
      <c r="A931" s="45" t="s">
        <v>2792</v>
      </c>
      <c r="B931" s="59">
        <v>45484</v>
      </c>
      <c r="C931" s="46" t="s">
        <v>2860</v>
      </c>
      <c r="D931" s="46" t="s">
        <v>107</v>
      </c>
      <c r="E931" s="66"/>
      <c r="F931" s="47"/>
      <c r="G931" s="155" t="s">
        <v>2861</v>
      </c>
      <c r="H931" s="49"/>
      <c r="I931" s="49"/>
      <c r="J931" s="49"/>
      <c r="K931" s="50"/>
      <c r="L931" s="49">
        <v>1</v>
      </c>
      <c r="M931" s="49"/>
      <c r="N931" s="49"/>
      <c r="O931" s="50" t="s">
        <v>100</v>
      </c>
      <c r="P931" s="50" t="s">
        <v>101</v>
      </c>
      <c r="Q931" s="50" t="s">
        <v>102</v>
      </c>
      <c r="R931" s="50">
        <v>10</v>
      </c>
      <c r="S931" s="50">
        <v>0</v>
      </c>
      <c r="T931" s="50">
        <v>10</v>
      </c>
      <c r="U931" s="50" t="s">
        <v>22</v>
      </c>
      <c r="V931" s="50"/>
      <c r="W931" s="50"/>
      <c r="X931" s="50"/>
      <c r="Y931" s="51">
        <f>IF(ISBLANK(O931),"",(IF(O931=UPPER("IB"),0.005,0.01)))</f>
        <v>0.01</v>
      </c>
      <c r="Z931" s="52">
        <f>IF(ISBLANK(O931),"",IF(O931="IB",8.63*200,IF(O931="IR",16*100,IF(O931="YT",20*100,IF(O931="YT-XT",24*200,IF(O931="TED",80*100,IF(O931="IR|YT",300*100)))))))</f>
        <v>1600</v>
      </c>
      <c r="AA931" s="52" t="s">
        <v>2862</v>
      </c>
      <c r="AB931" s="52"/>
      <c r="AC931" s="52"/>
      <c r="AD931" s="231">
        <v>-0.2</v>
      </c>
      <c r="AE931" s="49"/>
      <c r="AF931" s="84"/>
      <c r="AG931" s="49"/>
      <c r="AH931" s="49"/>
      <c r="AI931" s="49"/>
      <c r="AJ931" s="226"/>
      <c r="AK931" s="49"/>
      <c r="AL931" s="113">
        <f t="shared" si="363"/>
        <v>-32</v>
      </c>
      <c r="AM931" s="113">
        <f t="shared" si="367"/>
        <v>-320</v>
      </c>
      <c r="AN931" s="218"/>
      <c r="AO931" s="49"/>
      <c r="AP931" s="49"/>
      <c r="AQ931" s="84" t="str">
        <f>UPPER(RIGHT(Journal_Live[[#This Row],[DURATION ]]))</f>
        <v/>
      </c>
      <c r="AR931" s="49"/>
      <c r="AS931" s="55">
        <v>-0.2</v>
      </c>
      <c r="AT931" s="55">
        <f t="shared" si="365"/>
        <v>0</v>
      </c>
      <c r="AU931" s="54">
        <f t="shared" si="366"/>
        <v>0</v>
      </c>
      <c r="AV931" s="56">
        <f t="shared" si="364"/>
        <v>0</v>
      </c>
      <c r="AW931" s="57" t="s">
        <v>155</v>
      </c>
      <c r="AX931" s="153"/>
      <c r="AY931" s="153"/>
      <c r="AZ931" s="153"/>
      <c r="BA931" s="153"/>
      <c r="BB931" s="153"/>
      <c r="BC931" s="153"/>
      <c r="BD931" s="151"/>
      <c r="BE931" s="152"/>
      <c r="BF931" s="151"/>
      <c r="BG931" s="94">
        <f>SUM($AV$4:AV931)</f>
        <v>6715.5441708630469</v>
      </c>
      <c r="BH931" s="95">
        <f>SUM($AU$4:AU931)</f>
        <v>41596.423836163209</v>
      </c>
      <c r="BI931" s="80">
        <f>SUMIFS($AU$3:AU932,$Q$3:Q932,"F")</f>
        <v>29347.078121878127</v>
      </c>
      <c r="BJ931" s="80">
        <f>SUMIFS($AU$3:AU932,$Q$3:Q932,"S")</f>
        <v>16866.285714285717</v>
      </c>
      <c r="BK931" s="87">
        <f>SUMIFS($AU$3:AU932,$P$3:P932,"W")</f>
        <v>15912.143836163443</v>
      </c>
      <c r="BL931" s="87">
        <f>SUMIFS($AU$3:AU932,$P$3:P932,"R")</f>
        <v>22728.400000000325</v>
      </c>
      <c r="BM931" s="87">
        <f>SUMIFS($AU$3:AU932,$AQ$3:AQ932,"M")</f>
        <v>8715.1799999984214</v>
      </c>
      <c r="BN931" s="87">
        <f>SUMIFS($AU$3:AU932,$AQ$3:AQ932,"H")</f>
        <v>11643.200000000877</v>
      </c>
      <c r="BO931" s="87">
        <f>SUMIFS($AU$3:AU932,$AQ$3:AQ932,"D")</f>
        <v>12162.377472527358</v>
      </c>
      <c r="BP931" s="87">
        <f>SUMIFS($AS$3:AS1307,$AO$3:AO1307,"W")</f>
        <v>0</v>
      </c>
      <c r="BQ931" s="87">
        <f>SUMIFS($AU$3:AU932,$Q$3:Q932,"O")</f>
        <v>-9500.9400000005699</v>
      </c>
      <c r="BR931" s="87">
        <f>SUMIFS($AU$3:AU932,$AA$3:AA932,"*")</f>
        <v>38441.522077921436</v>
      </c>
      <c r="BS931" s="87">
        <f>SUMIFS($AU$3:AU932,$AB$3:AB932,"*")</f>
        <v>7475.8599999999715</v>
      </c>
      <c r="BT931" s="87">
        <f>SUMIFS($AU$3:AU932,$AC$3:AC932,"*")</f>
        <v>31683.078121878119</v>
      </c>
      <c r="BU931" s="87">
        <f>SUMIFS($AU$3:AU932,$AA$3:AA932,"*",$AB$3:AB932,"*")</f>
        <v>7915.9999999997544</v>
      </c>
      <c r="BV931" s="87">
        <f>SUMIFS($AU$3:AU932,$AA$3:AA932,"*",$AC$3:AC932,"*")</f>
        <v>29808.036363636529</v>
      </c>
      <c r="BW931" s="87">
        <f>SUMIFS($AU$3:AU932,$AB$3:AB932,"*",$AC$3:AC932,"*")</f>
        <v>3863.9999999999991</v>
      </c>
      <c r="BX931" s="87">
        <f>SUMIFS($AV$3:AV932,$Q$3:Q932,"F")</f>
        <v>399.04019562430165</v>
      </c>
      <c r="BY931" s="87">
        <f>SUMIFS($AV$3:AV932,$Q$3:Q932,"S")</f>
        <v>689.94467523906087</v>
      </c>
      <c r="BZ931" s="87">
        <f>SUMIFS($AV$3:AV932,$Q$3:Q932,"O")</f>
        <v>346.55929999968373</v>
      </c>
    </row>
    <row r="932" spans="1:78" ht="15.75" customHeight="1">
      <c r="A932" s="45" t="s">
        <v>2792</v>
      </c>
      <c r="B932" s="59">
        <v>45484</v>
      </c>
      <c r="C932" s="46" t="s">
        <v>1885</v>
      </c>
      <c r="D932" s="46" t="s">
        <v>107</v>
      </c>
      <c r="E932" s="66"/>
      <c r="F932" s="47"/>
      <c r="G932" s="48" t="s">
        <v>1918</v>
      </c>
      <c r="H932" s="49"/>
      <c r="I932" s="49"/>
      <c r="J932" s="49"/>
      <c r="K932" s="50"/>
      <c r="L932" s="49">
        <v>1</v>
      </c>
      <c r="M932" s="49"/>
      <c r="N932" s="49"/>
      <c r="O932" s="50" t="s">
        <v>100</v>
      </c>
      <c r="P932" s="50" t="s">
        <v>101</v>
      </c>
      <c r="Q932" s="50" t="s">
        <v>198</v>
      </c>
      <c r="R932" s="50">
        <v>5</v>
      </c>
      <c r="S932" s="50">
        <v>0</v>
      </c>
      <c r="T932" s="50">
        <v>5</v>
      </c>
      <c r="U932" s="50" t="s">
        <v>22</v>
      </c>
      <c r="V932" s="50"/>
      <c r="W932" s="50"/>
      <c r="X932" s="50"/>
      <c r="Y932" s="51">
        <f>IF(ISBLANK(O932),"",(IF(O932=UPPER("IB"),0.005,0.01)))</f>
        <v>0.01</v>
      </c>
      <c r="Z932" s="52">
        <f>IF(ISBLANK(O932),"",IF(O932="IB",8.63*200,IF(O932="IR",16*100,IF(O932="YT",20*100,IF(O932="YT-XT",24*200,IF(O932="TED",80*100,IF(O932="IR|YT",300*100)))))))</f>
        <v>1600</v>
      </c>
      <c r="AA932" s="52" t="s">
        <v>2863</v>
      </c>
      <c r="AB932" s="52"/>
      <c r="AC932" s="52"/>
      <c r="AD932" s="231">
        <v>95.77</v>
      </c>
      <c r="AE932" s="49"/>
      <c r="AF932" s="84"/>
      <c r="AG932" s="49"/>
      <c r="AH932" s="49"/>
      <c r="AI932" s="49"/>
      <c r="AJ932" s="226"/>
      <c r="AK932" s="49"/>
      <c r="AL932" s="113">
        <f t="shared" ref="AL932:AL936" si="368">-0.02*Z932</f>
        <v>-32</v>
      </c>
      <c r="AM932" s="113">
        <f t="shared" si="367"/>
        <v>-160</v>
      </c>
      <c r="AN932" s="218"/>
      <c r="AO932" s="49"/>
      <c r="AP932" s="49"/>
      <c r="AQ932" s="84" t="s">
        <v>350</v>
      </c>
      <c r="AR932" s="49"/>
      <c r="AS932" s="55">
        <v>95.75</v>
      </c>
      <c r="AT932" s="55">
        <f t="shared" si="365"/>
        <v>-1.9999999999996021E-2</v>
      </c>
      <c r="AU932" s="54">
        <f t="shared" si="366"/>
        <v>-159.99999999996817</v>
      </c>
      <c r="AV932" s="56">
        <f t="shared" ref="AV932:AV933" si="369">IF(ISBLANK(AS932),,(AT932*Z932))</f>
        <v>-31.999999999993634</v>
      </c>
      <c r="AW932" s="57" t="s">
        <v>121</v>
      </c>
      <c r="AX932" s="153"/>
      <c r="AY932" s="153"/>
      <c r="AZ932" s="153"/>
      <c r="BA932" s="153"/>
      <c r="BB932" s="153"/>
      <c r="BC932" s="153"/>
      <c r="BD932" s="151"/>
      <c r="BE932" s="152"/>
      <c r="BF932" s="151"/>
      <c r="BG932" s="94">
        <f>SUM($AV$4:AV932)</f>
        <v>6683.5441708630533</v>
      </c>
      <c r="BH932" s="95">
        <f>SUM($AU$4:AU932)</f>
        <v>41436.423836163238</v>
      </c>
      <c r="BI932" s="80">
        <f>SUMIFS($AU$3:AU933,$Q$3:Q933,"F")</f>
        <v>29347.078121878127</v>
      </c>
      <c r="BJ932" s="80">
        <f>SUMIFS($AU$3:AU933,$Q$3:Q933,"S")</f>
        <v>16866.285714285717</v>
      </c>
      <c r="BK932" s="87">
        <f>SUMIFS($AU$3:AU933,$P$3:P933,"W")</f>
        <v>15912.143836163443</v>
      </c>
      <c r="BL932" s="87">
        <f>SUMIFS($AU$3:AU933,$P$3:P933,"R")</f>
        <v>22728.400000000325</v>
      </c>
      <c r="BM932" s="87">
        <f>SUMIFS($AU$3:AU933,$AQ$3:AQ933,"M")</f>
        <v>8715.1799999984214</v>
      </c>
      <c r="BN932" s="87">
        <f>SUMIFS($AU$3:AU933,$AQ$3:AQ933,"H")</f>
        <v>11643.200000000877</v>
      </c>
      <c r="BO932" s="87">
        <f>SUMIFS($AU$3:AU933,$AQ$3:AQ933,"D")</f>
        <v>12162.377472527358</v>
      </c>
      <c r="BP932" s="87">
        <f>SUMIFS($AS$3:AS1308,$AO$3:AO1308,"W")</f>
        <v>0</v>
      </c>
      <c r="BQ932" s="87">
        <f>SUMIFS($AU$3:AU933,$Q$3:Q933,"O")</f>
        <v>-9500.9400000005699</v>
      </c>
      <c r="BR932" s="87">
        <f>SUMIFS($AU$3:AU933,$AA$3:AA933,"*")</f>
        <v>38441.522077921436</v>
      </c>
      <c r="BS932" s="87">
        <f>SUMIFS($AU$3:AU933,$AB$3:AB933,"*")</f>
        <v>7475.8599999999715</v>
      </c>
      <c r="BT932" s="87">
        <f>SUMIFS($AU$3:AU933,$AC$3:AC933,"*")</f>
        <v>31683.078121878119</v>
      </c>
      <c r="BU932" s="87">
        <f>SUMIFS($AU$3:AU933,$AA$3:AA933,"*",$AB$3:AB933,"*")</f>
        <v>7915.9999999997544</v>
      </c>
      <c r="BV932" s="87">
        <f>SUMIFS($AU$3:AU933,$AA$3:AA933,"*",$AC$3:AC933,"*")</f>
        <v>29808.036363636529</v>
      </c>
      <c r="BW932" s="87">
        <f>SUMIFS($AU$3:AU933,$AB$3:AB933,"*",$AC$3:AC933,"*")</f>
        <v>3863.9999999999991</v>
      </c>
      <c r="BX932" s="87">
        <f>SUMIFS($AV$3:AV933,$Q$3:Q933,"F")</f>
        <v>399.04019562430165</v>
      </c>
      <c r="BY932" s="87">
        <f>SUMIFS($AV$3:AV933,$Q$3:Q933,"S")</f>
        <v>689.94467523906087</v>
      </c>
      <c r="BZ932" s="87">
        <f>SUMIFS($AV$3:AV933,$Q$3:Q933,"O")</f>
        <v>346.55929999968373</v>
      </c>
    </row>
    <row r="933" spans="1:78" ht="15.75" customHeight="1">
      <c r="A933" s="45" t="s">
        <v>2792</v>
      </c>
      <c r="B933" s="59">
        <v>45484</v>
      </c>
      <c r="C933" s="46" t="s">
        <v>2864</v>
      </c>
      <c r="D933" s="46" t="s">
        <v>107</v>
      </c>
      <c r="E933" s="66"/>
      <c r="F933" s="47"/>
      <c r="G933" s="155" t="s">
        <v>2821</v>
      </c>
      <c r="H933" s="49"/>
      <c r="I933" s="49"/>
      <c r="J933" s="49"/>
      <c r="K933" s="50"/>
      <c r="L933" s="49">
        <v>1</v>
      </c>
      <c r="M933" s="49"/>
      <c r="N933" s="49"/>
      <c r="O933" s="50" t="s">
        <v>100</v>
      </c>
      <c r="P933" s="50" t="s">
        <v>101</v>
      </c>
      <c r="Q933" s="50" t="s">
        <v>102</v>
      </c>
      <c r="R933" s="50">
        <v>5</v>
      </c>
      <c r="S933" s="50">
        <v>0</v>
      </c>
      <c r="T933" s="50">
        <v>5</v>
      </c>
      <c r="U933" s="50" t="s">
        <v>102</v>
      </c>
      <c r="V933" s="50"/>
      <c r="W933" s="50"/>
      <c r="X933" s="50"/>
      <c r="Y933" s="51">
        <f>IF(ISBLANK(O933),"",(IF(O933=UPPER("IB"),0.005,0.01)))</f>
        <v>0.01</v>
      </c>
      <c r="Z933" s="52">
        <f>IF(ISBLANK(O933),"",IF(O933="IB",8.63*200,IF(O933="IR",16*100,IF(O933="YT",20*100,IF(O933="YT-XT",24*200,IF(O933="TED",80*100,IF(O933="IR|YT",300*100)))))))</f>
        <v>1600</v>
      </c>
      <c r="AA933" s="52" t="s">
        <v>2865</v>
      </c>
      <c r="AB933" s="52"/>
      <c r="AC933" s="52"/>
      <c r="AD933" s="231">
        <v>-0.21</v>
      </c>
      <c r="AE933" s="49"/>
      <c r="AF933" s="84"/>
      <c r="AG933" s="49"/>
      <c r="AH933" s="49"/>
      <c r="AI933" s="49"/>
      <c r="AJ933" s="226"/>
      <c r="AK933" s="49"/>
      <c r="AL933" s="113">
        <f t="shared" si="368"/>
        <v>-32</v>
      </c>
      <c r="AM933" s="113">
        <f t="shared" si="367"/>
        <v>-160</v>
      </c>
      <c r="AN933" s="218"/>
      <c r="AO933" s="49"/>
      <c r="AP933" s="49"/>
      <c r="AQ933" s="84" t="s">
        <v>142</v>
      </c>
      <c r="AR933" s="49" t="s">
        <v>2866</v>
      </c>
      <c r="AS933" s="55">
        <v>-0.21</v>
      </c>
      <c r="AT933" s="55">
        <f t="shared" si="365"/>
        <v>0</v>
      </c>
      <c r="AU933" s="54">
        <f t="shared" si="366"/>
        <v>0</v>
      </c>
      <c r="AV933" s="56">
        <f t="shared" si="369"/>
        <v>0</v>
      </c>
      <c r="AW933" s="57" t="s">
        <v>155</v>
      </c>
      <c r="AX933" s="153" t="s">
        <v>2867</v>
      </c>
      <c r="AY933" s="153"/>
      <c r="AZ933" s="153"/>
      <c r="BA933" s="153"/>
      <c r="BB933" s="153"/>
      <c r="BC933" s="153"/>
      <c r="BD933" s="151"/>
      <c r="BE933" s="152"/>
      <c r="BF933" s="151"/>
      <c r="BG933" s="94">
        <f>SUM($AV$4:AV933)</f>
        <v>6683.5441708630533</v>
      </c>
      <c r="BH933" s="95">
        <f>SUM($AU$4:AU933)</f>
        <v>41436.423836163238</v>
      </c>
      <c r="BI933" s="80">
        <f>SUMIFS($AU$3:AU934,$Q$3:Q934,"F")</f>
        <v>29347.078121878127</v>
      </c>
      <c r="BJ933" s="80">
        <f>SUMIFS($AU$3:AU934,$Q$3:Q934,"S")</f>
        <v>16866.285714285717</v>
      </c>
      <c r="BK933" s="87">
        <f>SUMIFS($AU$3:AU934,$P$3:P934,"W")</f>
        <v>15912.143836163443</v>
      </c>
      <c r="BL933" s="87">
        <f>SUMIFS($AU$3:AU934,$P$3:P934,"R")</f>
        <v>22728.400000000325</v>
      </c>
      <c r="BM933" s="87">
        <f>SUMIFS($AU$3:AU934,$AQ$3:AQ934,"M")</f>
        <v>8715.1799999984214</v>
      </c>
      <c r="BN933" s="87">
        <f>SUMIFS($AU$3:AU934,$AQ$3:AQ934,"H")</f>
        <v>11643.200000000877</v>
      </c>
      <c r="BO933" s="87">
        <f>SUMIFS($AU$3:AU934,$AQ$3:AQ934,"D")</f>
        <v>12162.377472527358</v>
      </c>
      <c r="BP933" s="87">
        <f>SUMIFS($AS$3:AS1309,$AO$3:AO1309,"W")</f>
        <v>0</v>
      </c>
      <c r="BQ933" s="87">
        <f>SUMIFS($AU$3:AU934,$Q$3:Q934,"O")</f>
        <v>-9500.9400000005699</v>
      </c>
      <c r="BR933" s="87">
        <f>SUMIFS($AU$3:AU934,$AA$3:AA934,"*")</f>
        <v>38441.522077921436</v>
      </c>
      <c r="BS933" s="87">
        <f>SUMIFS($AU$3:AU934,$AB$3:AB934,"*")</f>
        <v>7475.8599999999715</v>
      </c>
      <c r="BT933" s="87">
        <f>SUMIFS($AU$3:AU934,$AC$3:AC934,"*")</f>
        <v>31683.078121878119</v>
      </c>
      <c r="BU933" s="87">
        <f>SUMIFS($AU$3:AU934,$AA$3:AA934,"*",$AB$3:AB934,"*")</f>
        <v>7915.9999999997544</v>
      </c>
      <c r="BV933" s="87">
        <f>SUMIFS($AU$3:AU934,$AA$3:AA934,"*",$AC$3:AC934,"*")</f>
        <v>29808.036363636529</v>
      </c>
      <c r="BW933" s="87">
        <f>SUMIFS($AU$3:AU934,$AB$3:AB934,"*",$AC$3:AC934,"*")</f>
        <v>3863.9999999999991</v>
      </c>
      <c r="BX933" s="87">
        <f>SUMIFS($AV$3:AV934,$Q$3:Q934,"F")</f>
        <v>399.04019562430165</v>
      </c>
      <c r="BY933" s="87">
        <f>SUMIFS($AV$3:AV934,$Q$3:Q934,"S")</f>
        <v>689.94467523906087</v>
      </c>
      <c r="BZ933" s="87">
        <f>SUMIFS($AV$3:AV934,$Q$3:Q934,"O")</f>
        <v>346.55929999968373</v>
      </c>
    </row>
    <row r="934" spans="1:78" ht="15.75" customHeight="1">
      <c r="A934" s="45" t="s">
        <v>2792</v>
      </c>
      <c r="B934" s="59">
        <v>45484</v>
      </c>
      <c r="C934" s="46" t="s">
        <v>1573</v>
      </c>
      <c r="D934" s="46" t="s">
        <v>107</v>
      </c>
      <c r="E934" s="66" t="s">
        <v>2868</v>
      </c>
      <c r="F934" s="47"/>
      <c r="G934" s="48"/>
      <c r="H934" s="49">
        <v>1</v>
      </c>
      <c r="I934" s="49"/>
      <c r="J934" s="49"/>
      <c r="K934" s="50" t="s">
        <v>142</v>
      </c>
      <c r="L934" s="49"/>
      <c r="M934" s="49"/>
      <c r="N934" s="49"/>
      <c r="O934" s="50"/>
      <c r="P934" s="50"/>
      <c r="Q934" s="50"/>
      <c r="R934" s="50"/>
      <c r="S934" s="50"/>
      <c r="T934" s="50"/>
      <c r="U934" s="50"/>
      <c r="V934" s="50"/>
      <c r="W934" s="50"/>
      <c r="X934" s="50"/>
      <c r="Y934" s="51"/>
      <c r="Z934" s="52"/>
      <c r="AA934" s="52"/>
      <c r="AB934" s="52"/>
      <c r="AC934" s="52"/>
      <c r="AD934" s="231"/>
      <c r="AE934" s="49"/>
      <c r="AF934" s="84"/>
      <c r="AG934" s="49"/>
      <c r="AH934" s="49"/>
      <c r="AI934" s="49"/>
      <c r="AJ934" s="226"/>
      <c r="AK934" s="49"/>
      <c r="AL934" s="113">
        <f t="shared" si="368"/>
        <v>0</v>
      </c>
      <c r="AM934" s="113">
        <f t="shared" si="367"/>
        <v>0</v>
      </c>
      <c r="AN934" s="218"/>
      <c r="AO934" s="49"/>
      <c r="AP934" s="49"/>
      <c r="AQ934" s="84" t="str">
        <f>UPPER(RIGHT(Journal_Live[[#This Row],[DURATION ]]))</f>
        <v/>
      </c>
      <c r="AR934" s="49"/>
      <c r="AS934" s="55"/>
      <c r="AT934" s="55"/>
      <c r="AU934" s="54"/>
      <c r="AV934" s="56"/>
      <c r="AW934" s="57"/>
      <c r="AX934" s="153"/>
      <c r="AY934" s="153"/>
      <c r="AZ934" s="153"/>
      <c r="BA934" s="153"/>
      <c r="BB934" s="153"/>
      <c r="BC934" s="153"/>
      <c r="BD934" s="151"/>
      <c r="BE934" s="152"/>
      <c r="BF934" s="151"/>
      <c r="BG934" s="94">
        <f>SUM($AV$4:AV934)</f>
        <v>6683.5441708630533</v>
      </c>
      <c r="BH934" s="95">
        <f>SUM($AU$4:AU934)</f>
        <v>41436.423836163238</v>
      </c>
      <c r="BI934" s="80">
        <f>SUMIFS($AU$3:AU935,$Q$3:Q935,"F")</f>
        <v>29347.078121878127</v>
      </c>
      <c r="BJ934" s="80">
        <f>SUMIFS($AU$3:AU935,$Q$3:Q935,"S")</f>
        <v>16866.285714285717</v>
      </c>
      <c r="BK934" s="87">
        <f>SUMIFS($AU$3:AU935,$P$3:P935,"W")</f>
        <v>15912.143836163443</v>
      </c>
      <c r="BL934" s="87">
        <f>SUMIFS($AU$3:AU935,$P$3:P935,"R")</f>
        <v>22728.400000000325</v>
      </c>
      <c r="BM934" s="87">
        <f>SUMIFS($AU$3:AU935,$AQ$3:AQ935,"M")</f>
        <v>8715.1799999984214</v>
      </c>
      <c r="BN934" s="87">
        <f>SUMIFS($AU$3:AU935,$AQ$3:AQ935,"H")</f>
        <v>11643.200000000877</v>
      </c>
      <c r="BO934" s="87">
        <f>SUMIFS($AU$3:AU935,$AQ$3:AQ935,"D")</f>
        <v>12162.377472527358</v>
      </c>
      <c r="BP934" s="87">
        <f>SUMIFS($AS$3:AS1310,$AO$3:AO1310,"W")</f>
        <v>0</v>
      </c>
      <c r="BQ934" s="87">
        <f>SUMIFS($AU$3:AU935,$Q$3:Q935,"O")</f>
        <v>-9500.9400000005699</v>
      </c>
      <c r="BR934" s="87">
        <f>SUMIFS($AU$3:AU935,$AA$3:AA935,"*")</f>
        <v>38441.522077921436</v>
      </c>
      <c r="BS934" s="87">
        <f>SUMIFS($AU$3:AU935,$AB$3:AB935,"*")</f>
        <v>7475.8599999999715</v>
      </c>
      <c r="BT934" s="87">
        <f>SUMIFS($AU$3:AU935,$AC$3:AC935,"*")</f>
        <v>31683.078121878119</v>
      </c>
      <c r="BU934" s="87">
        <f>SUMIFS($AU$3:AU935,$AA$3:AA935,"*",$AB$3:AB935,"*")</f>
        <v>7915.9999999997544</v>
      </c>
      <c r="BV934" s="87">
        <f>SUMIFS($AU$3:AU935,$AA$3:AA935,"*",$AC$3:AC935,"*")</f>
        <v>29808.036363636529</v>
      </c>
      <c r="BW934" s="87">
        <f>SUMIFS($AU$3:AU935,$AB$3:AB935,"*",$AC$3:AC935,"*")</f>
        <v>3863.9999999999991</v>
      </c>
      <c r="BX934" s="87">
        <f>SUMIFS($AV$3:AV935,$Q$3:Q935,"F")</f>
        <v>399.04019562430165</v>
      </c>
      <c r="BY934" s="87">
        <f>SUMIFS($AV$3:AV935,$Q$3:Q935,"S")</f>
        <v>689.94467523906087</v>
      </c>
      <c r="BZ934" s="87">
        <f>SUMIFS($AV$3:AV935,$Q$3:Q935,"O")</f>
        <v>346.55929999968373</v>
      </c>
    </row>
    <row r="935" spans="1:78" ht="15.75" customHeight="1">
      <c r="A935" s="45" t="s">
        <v>2792</v>
      </c>
      <c r="B935" s="59">
        <v>45484</v>
      </c>
      <c r="C935" s="46" t="s">
        <v>871</v>
      </c>
      <c r="D935" s="46" t="s">
        <v>107</v>
      </c>
      <c r="E935" s="66" t="s">
        <v>2869</v>
      </c>
      <c r="F935" s="47"/>
      <c r="G935" s="48"/>
      <c r="H935" s="49"/>
      <c r="I935" s="49"/>
      <c r="J935" s="49">
        <v>1</v>
      </c>
      <c r="K935" s="50" t="s">
        <v>155</v>
      </c>
      <c r="L935" s="49"/>
      <c r="M935" s="49"/>
      <c r="N935" s="49"/>
      <c r="O935" s="50"/>
      <c r="P935" s="50"/>
      <c r="Q935" s="50"/>
      <c r="R935" s="50"/>
      <c r="S935" s="50"/>
      <c r="T935" s="50"/>
      <c r="U935" s="50"/>
      <c r="V935" s="50"/>
      <c r="W935" s="50"/>
      <c r="X935" s="50"/>
      <c r="Y935" s="51"/>
      <c r="Z935" s="52"/>
      <c r="AA935" s="52"/>
      <c r="AB935" s="52"/>
      <c r="AC935" s="52"/>
      <c r="AD935" s="231"/>
      <c r="AE935" s="49"/>
      <c r="AF935" s="84"/>
      <c r="AG935" s="49"/>
      <c r="AH935" s="49"/>
      <c r="AI935" s="49"/>
      <c r="AJ935" s="226"/>
      <c r="AK935" s="49"/>
      <c r="AL935" s="113">
        <f t="shared" si="368"/>
        <v>0</v>
      </c>
      <c r="AM935" s="113">
        <f t="shared" si="367"/>
        <v>0</v>
      </c>
      <c r="AN935" s="218"/>
      <c r="AO935" s="49"/>
      <c r="AP935" s="49"/>
      <c r="AQ935" s="84" t="str">
        <f>UPPER(RIGHT(Journal_Live[[#This Row],[DURATION ]]))</f>
        <v/>
      </c>
      <c r="AR935" s="49"/>
      <c r="AS935" s="55"/>
      <c r="AT935" s="55"/>
      <c r="AU935" s="54"/>
      <c r="AV935" s="56"/>
      <c r="AW935" s="57"/>
      <c r="AX935" s="153"/>
      <c r="AY935" s="153"/>
      <c r="AZ935" s="153"/>
      <c r="BA935" s="153"/>
      <c r="BB935" s="153"/>
      <c r="BC935" s="153"/>
      <c r="BD935" s="151"/>
      <c r="BE935" s="152"/>
      <c r="BF935" s="151"/>
      <c r="BG935" s="94">
        <f>SUM($AV$4:AV935)</f>
        <v>6683.5441708630533</v>
      </c>
      <c r="BH935" s="95">
        <f>SUM($AU$4:AU935)</f>
        <v>41436.423836163238</v>
      </c>
      <c r="BI935" s="80">
        <f>SUMIFS($AU$3:AU936,$Q$3:Q936,"F")</f>
        <v>29347.078121878127</v>
      </c>
      <c r="BJ935" s="80">
        <f>SUMIFS($AU$3:AU936,$Q$3:Q936,"S")</f>
        <v>16866.285714285717</v>
      </c>
      <c r="BK935" s="87">
        <f>SUMIFS($AU$3:AU936,$P$3:P936,"W")</f>
        <v>15912.143836163443</v>
      </c>
      <c r="BL935" s="87">
        <f>SUMIFS($AU$3:AU936,$P$3:P936,"R")</f>
        <v>22728.400000000325</v>
      </c>
      <c r="BM935" s="87">
        <f>SUMIFS($AU$3:AU936,$AQ$3:AQ936,"M")</f>
        <v>8715.1799999984214</v>
      </c>
      <c r="BN935" s="87">
        <f>SUMIFS($AU$3:AU936,$AQ$3:AQ936,"H")</f>
        <v>11643.200000000877</v>
      </c>
      <c r="BO935" s="87">
        <f>SUMIFS($AU$3:AU936,$AQ$3:AQ936,"D")</f>
        <v>12162.377472527358</v>
      </c>
      <c r="BP935" s="87">
        <f>SUMIFS($AS$3:AS1311,$AO$3:AO1311,"W")</f>
        <v>0</v>
      </c>
      <c r="BQ935" s="87">
        <f>SUMIFS($AU$3:AU936,$Q$3:Q936,"O")</f>
        <v>-9500.9400000005699</v>
      </c>
      <c r="BR935" s="87">
        <f>SUMIFS($AU$3:AU936,$AA$3:AA936,"*")</f>
        <v>38441.522077921436</v>
      </c>
      <c r="BS935" s="87">
        <f>SUMIFS($AU$3:AU936,$AB$3:AB936,"*")</f>
        <v>7475.8599999999715</v>
      </c>
      <c r="BT935" s="87">
        <f>SUMIFS($AU$3:AU936,$AC$3:AC936,"*")</f>
        <v>31683.078121878119</v>
      </c>
      <c r="BU935" s="87">
        <f>SUMIFS($AU$3:AU936,$AA$3:AA936,"*",$AB$3:AB936,"*")</f>
        <v>7915.9999999997544</v>
      </c>
      <c r="BV935" s="87">
        <f>SUMIFS($AU$3:AU936,$AA$3:AA936,"*",$AC$3:AC936,"*")</f>
        <v>29808.036363636529</v>
      </c>
      <c r="BW935" s="87">
        <f>SUMIFS($AU$3:AU936,$AB$3:AB936,"*",$AC$3:AC936,"*")</f>
        <v>3863.9999999999991</v>
      </c>
      <c r="BX935" s="87">
        <f>SUMIFS($AV$3:AV936,$Q$3:Q936,"F")</f>
        <v>399.04019562430165</v>
      </c>
      <c r="BY935" s="87">
        <f>SUMIFS($AV$3:AV936,$Q$3:Q936,"S")</f>
        <v>689.94467523906087</v>
      </c>
      <c r="BZ935" s="87">
        <f>SUMIFS($AV$3:AV936,$Q$3:Q936,"O")</f>
        <v>346.55929999968373</v>
      </c>
    </row>
    <row r="936" spans="1:78" ht="15.75" customHeight="1">
      <c r="A936" s="45" t="s">
        <v>2792</v>
      </c>
      <c r="B936" s="59"/>
      <c r="C936" s="46"/>
      <c r="D936" s="46"/>
      <c r="E936" s="66" t="s">
        <v>2870</v>
      </c>
      <c r="F936" s="47"/>
      <c r="G936" s="48"/>
      <c r="H936" s="49"/>
      <c r="I936" s="49"/>
      <c r="J936" s="49">
        <v>1</v>
      </c>
      <c r="K936" s="50" t="s">
        <v>155</v>
      </c>
      <c r="L936" s="49"/>
      <c r="M936" s="49"/>
      <c r="N936" s="49"/>
      <c r="O936" s="50"/>
      <c r="P936" s="50"/>
      <c r="Q936" s="50"/>
      <c r="R936" s="50"/>
      <c r="S936" s="50"/>
      <c r="T936" s="50"/>
      <c r="U936" s="50"/>
      <c r="V936" s="50"/>
      <c r="W936" s="50"/>
      <c r="X936" s="50"/>
      <c r="Y936" s="51"/>
      <c r="Z936" s="52"/>
      <c r="AA936" s="52"/>
      <c r="AB936" s="52"/>
      <c r="AC936" s="52"/>
      <c r="AD936" s="231"/>
      <c r="AE936" s="49"/>
      <c r="AF936" s="84"/>
      <c r="AG936" s="49"/>
      <c r="AH936" s="49"/>
      <c r="AI936" s="49"/>
      <c r="AJ936" s="226"/>
      <c r="AK936" s="49"/>
      <c r="AL936" s="113">
        <f t="shared" si="368"/>
        <v>0</v>
      </c>
      <c r="AM936" s="113">
        <f t="shared" si="367"/>
        <v>0</v>
      </c>
      <c r="AN936" s="218"/>
      <c r="AO936" s="49"/>
      <c r="AP936" s="49"/>
      <c r="AQ936" s="84" t="str">
        <f>UPPER(RIGHT(Journal_Live[[#This Row],[DURATION ]]))</f>
        <v/>
      </c>
      <c r="AR936" s="49"/>
      <c r="AS936" s="55"/>
      <c r="AT936" s="55"/>
      <c r="AU936" s="54"/>
      <c r="AV936" s="56"/>
      <c r="AW936" s="57"/>
      <c r="AX936" s="153"/>
      <c r="AY936" s="153"/>
      <c r="AZ936" s="153"/>
      <c r="BA936" s="153"/>
      <c r="BB936" s="153"/>
      <c r="BC936" s="153"/>
      <c r="BD936" s="151"/>
      <c r="BE936" s="152"/>
      <c r="BF936" s="151"/>
      <c r="BG936" s="94">
        <f>SUM($AV$4:AV936)</f>
        <v>6683.5441708630533</v>
      </c>
      <c r="BH936" s="95">
        <f>SUM($AU$4:AU936)</f>
        <v>41436.423836163238</v>
      </c>
      <c r="BI936" s="80">
        <f>SUMIFS($AU$3:AU937,$Q$3:Q937,"F")</f>
        <v>29347.078121878127</v>
      </c>
      <c r="BJ936" s="80">
        <f>SUMIFS($AU$3:AU937,$Q$3:Q937,"S")</f>
        <v>16866.285714285717</v>
      </c>
      <c r="BK936" s="87">
        <f>SUMIFS($AU$3:AU937,$P$3:P937,"W")</f>
        <v>15912.143836163443</v>
      </c>
      <c r="BL936" s="87">
        <f>SUMIFS($AU$3:AU937,$P$3:P937,"R")</f>
        <v>22728.400000000325</v>
      </c>
      <c r="BM936" s="87">
        <f>SUMIFS($AU$3:AU937,$AQ$3:AQ937,"M")</f>
        <v>8715.1799999984214</v>
      </c>
      <c r="BN936" s="87">
        <f>SUMIFS($AU$3:AU937,$AQ$3:AQ937,"H")</f>
        <v>11643.200000000877</v>
      </c>
      <c r="BO936" s="87">
        <f>SUMIFS($AU$3:AU937,$AQ$3:AQ937,"D")</f>
        <v>12162.377472527358</v>
      </c>
      <c r="BP936" s="87">
        <f>SUMIFS($AS$3:AS1312,$AO$3:AO1312,"W")</f>
        <v>0</v>
      </c>
      <c r="BQ936" s="87">
        <f>SUMIFS($AU$3:AU937,$Q$3:Q937,"O")</f>
        <v>-9500.9400000005699</v>
      </c>
      <c r="BR936" s="87">
        <f>SUMIFS($AU$3:AU937,$AA$3:AA937,"*")</f>
        <v>38441.522077921436</v>
      </c>
      <c r="BS936" s="87">
        <f>SUMIFS($AU$3:AU937,$AB$3:AB937,"*")</f>
        <v>7475.8599999999715</v>
      </c>
      <c r="BT936" s="87">
        <f>SUMIFS($AU$3:AU937,$AC$3:AC937,"*")</f>
        <v>31683.078121878119</v>
      </c>
      <c r="BU936" s="87">
        <f>SUMIFS($AU$3:AU937,$AA$3:AA937,"*",$AB$3:AB937,"*")</f>
        <v>7915.9999999997544</v>
      </c>
      <c r="BV936" s="87">
        <f>SUMIFS($AU$3:AU937,$AA$3:AA937,"*",$AC$3:AC937,"*")</f>
        <v>29808.036363636529</v>
      </c>
      <c r="BW936" s="87">
        <f>SUMIFS($AU$3:AU937,$AB$3:AB937,"*",$AC$3:AC937,"*")</f>
        <v>3863.9999999999991</v>
      </c>
      <c r="BX936" s="87">
        <f>SUMIFS($AV$3:AV937,$Q$3:Q937,"F")</f>
        <v>399.04019562430165</v>
      </c>
      <c r="BY936" s="87">
        <f>SUMIFS($AV$3:AV937,$Q$3:Q937,"S")</f>
        <v>689.94467523906087</v>
      </c>
      <c r="BZ936" s="87">
        <f>SUMIFS($AV$3:AV937,$Q$3:Q937,"O")</f>
        <v>346.55929999968373</v>
      </c>
    </row>
    <row r="937" spans="1:78" ht="15.75" customHeight="1">
      <c r="A937" s="45" t="s">
        <v>2792</v>
      </c>
      <c r="B937" s="59"/>
      <c r="C937" s="46"/>
      <c r="D937" s="46"/>
      <c r="E937" s="66" t="s">
        <v>2871</v>
      </c>
      <c r="F937" s="47"/>
      <c r="G937" s="48"/>
      <c r="H937" s="49"/>
      <c r="I937" s="49"/>
      <c r="J937" s="49">
        <v>1</v>
      </c>
      <c r="K937" s="50" t="s">
        <v>155</v>
      </c>
      <c r="L937" s="49"/>
      <c r="M937" s="49"/>
      <c r="N937" s="49"/>
      <c r="O937" s="50"/>
      <c r="P937" s="50"/>
      <c r="Q937" s="50"/>
      <c r="R937" s="50"/>
      <c r="S937" s="50"/>
      <c r="T937" s="50"/>
      <c r="U937" s="50"/>
      <c r="V937" s="50"/>
      <c r="W937" s="50"/>
      <c r="X937" s="50"/>
      <c r="Y937" s="51"/>
      <c r="Z937" s="52"/>
      <c r="AA937" s="52"/>
      <c r="AB937" s="52"/>
      <c r="AC937" s="52"/>
      <c r="AD937" s="231"/>
      <c r="AE937" s="49"/>
      <c r="AF937" s="84"/>
      <c r="AG937" s="49"/>
      <c r="AH937" s="49"/>
      <c r="AI937" s="49"/>
      <c r="AJ937" s="226"/>
      <c r="AK937" s="49"/>
      <c r="AL937" s="113">
        <f t="shared" si="363"/>
        <v>0</v>
      </c>
      <c r="AM937" s="113">
        <f t="shared" si="367"/>
        <v>0</v>
      </c>
      <c r="AN937" s="218"/>
      <c r="AO937" s="49"/>
      <c r="AP937" s="49"/>
      <c r="AQ937" s="84" t="str">
        <f>UPPER(RIGHT(Journal_Live[[#This Row],[DURATION ]]))</f>
        <v/>
      </c>
      <c r="AR937" s="49"/>
      <c r="AS937" s="55"/>
      <c r="AT937" s="55"/>
      <c r="AU937" s="54"/>
      <c r="AV937" s="56"/>
      <c r="AW937" s="57"/>
      <c r="AX937" s="153"/>
      <c r="AY937" s="153"/>
      <c r="AZ937" s="153"/>
      <c r="BA937" s="153"/>
      <c r="BB937" s="153"/>
      <c r="BC937" s="153"/>
      <c r="BD937" s="151"/>
      <c r="BE937" s="152"/>
      <c r="BF937" s="151"/>
      <c r="BG937" s="94">
        <f>SUM($AV$4:AV937)</f>
        <v>6683.5441708630533</v>
      </c>
      <c r="BH937" s="95">
        <f>SUM($AU$4:AU937)</f>
        <v>41436.423836163238</v>
      </c>
      <c r="BI937" s="80">
        <f>SUMIFS($AU$3:AU938,$Q$3:Q938,"F")</f>
        <v>29347.078121878127</v>
      </c>
      <c r="BJ937" s="80">
        <f>SUMIFS($AU$3:AU938,$Q$3:Q938,"S")</f>
        <v>16866.285714285717</v>
      </c>
      <c r="BK937" s="87">
        <f>SUMIFS($AU$3:AU938,$P$3:P938,"W")</f>
        <v>15912.143836163443</v>
      </c>
      <c r="BL937" s="87">
        <f>SUMIFS($AU$3:AU938,$P$3:P938,"R")</f>
        <v>22728.400000000325</v>
      </c>
      <c r="BM937" s="87">
        <f>SUMIFS($AU$3:AU938,$AQ$3:AQ938,"M")</f>
        <v>8715.1799999984214</v>
      </c>
      <c r="BN937" s="87">
        <f>SUMIFS($AU$3:AU938,$AQ$3:AQ938,"H")</f>
        <v>11643.200000000877</v>
      </c>
      <c r="BO937" s="87">
        <f>SUMIFS($AU$3:AU938,$AQ$3:AQ938,"D")</f>
        <v>12162.377472527358</v>
      </c>
      <c r="BP937" s="87">
        <f>SUMIFS($AS$3:AS1313,$AO$3:AO1313,"W")</f>
        <v>0</v>
      </c>
      <c r="BQ937" s="87">
        <f>SUMIFS($AU$3:AU938,$Q$3:Q938,"O")</f>
        <v>-9500.9400000005699</v>
      </c>
      <c r="BR937" s="87">
        <f>SUMIFS($AU$3:AU938,$AA$3:AA938,"*")</f>
        <v>38441.522077921436</v>
      </c>
      <c r="BS937" s="87">
        <f>SUMIFS($AU$3:AU938,$AB$3:AB938,"*")</f>
        <v>7475.8599999999715</v>
      </c>
      <c r="BT937" s="87">
        <f>SUMIFS($AU$3:AU938,$AC$3:AC938,"*")</f>
        <v>31683.078121878119</v>
      </c>
      <c r="BU937" s="87">
        <f>SUMIFS($AU$3:AU938,$AA$3:AA938,"*",$AB$3:AB938,"*")</f>
        <v>7915.9999999997544</v>
      </c>
      <c r="BV937" s="87">
        <f>SUMIFS($AU$3:AU938,$AA$3:AA938,"*",$AC$3:AC938,"*")</f>
        <v>29808.036363636529</v>
      </c>
      <c r="BW937" s="87">
        <f>SUMIFS($AU$3:AU938,$AB$3:AB938,"*",$AC$3:AC938,"*")</f>
        <v>3863.9999999999991</v>
      </c>
      <c r="BX937" s="87">
        <f>SUMIFS($AV$3:AV938,$Q$3:Q938,"F")</f>
        <v>399.04019562430165</v>
      </c>
      <c r="BY937" s="87">
        <f>SUMIFS($AV$3:AV938,$Q$3:Q938,"S")</f>
        <v>689.94467523906087</v>
      </c>
      <c r="BZ937" s="87">
        <f>SUMIFS($AV$3:AV938,$Q$3:Q938,"O")</f>
        <v>346.55929999968373</v>
      </c>
    </row>
    <row r="938" spans="1:78" ht="15.75" customHeight="1">
      <c r="A938" s="45" t="s">
        <v>2792</v>
      </c>
      <c r="B938" s="59"/>
      <c r="C938" s="46"/>
      <c r="D938" s="46"/>
      <c r="E938" s="66" t="s">
        <v>2872</v>
      </c>
      <c r="F938" s="47"/>
      <c r="G938" s="48"/>
      <c r="H938" s="49"/>
      <c r="I938" s="49"/>
      <c r="J938" s="49">
        <v>1</v>
      </c>
      <c r="K938" s="50" t="s">
        <v>155</v>
      </c>
      <c r="L938" s="49"/>
      <c r="M938" s="49"/>
      <c r="N938" s="49"/>
      <c r="O938" s="50"/>
      <c r="P938" s="50"/>
      <c r="Q938" s="50"/>
      <c r="R938" s="50"/>
      <c r="S938" s="50"/>
      <c r="T938" s="50"/>
      <c r="U938" s="50"/>
      <c r="V938" s="50"/>
      <c r="W938" s="50"/>
      <c r="X938" s="50"/>
      <c r="Y938" s="51"/>
      <c r="Z938" s="52"/>
      <c r="AA938" s="52"/>
      <c r="AB938" s="52"/>
      <c r="AC938" s="52"/>
      <c r="AD938" s="231"/>
      <c r="AE938" s="49"/>
      <c r="AF938" s="84"/>
      <c r="AG938" s="49"/>
      <c r="AH938" s="49"/>
      <c r="AI938" s="49"/>
      <c r="AJ938" s="226"/>
      <c r="AK938" s="49"/>
      <c r="AL938" s="113">
        <f t="shared" ref="AL938:AL995" si="370">-0.02*Z938</f>
        <v>0</v>
      </c>
      <c r="AM938" s="113">
        <f t="shared" si="367"/>
        <v>0</v>
      </c>
      <c r="AN938" s="218"/>
      <c r="AO938" s="49"/>
      <c r="AP938" s="49"/>
      <c r="AQ938" s="84" t="str">
        <f>UPPER(RIGHT(Journal_Live[[#This Row],[DURATION ]]))</f>
        <v/>
      </c>
      <c r="AR938" s="49"/>
      <c r="AS938" s="55"/>
      <c r="AT938" s="55"/>
      <c r="AU938" s="54"/>
      <c r="AV938" s="56"/>
      <c r="AW938" s="57"/>
      <c r="AX938" s="153"/>
      <c r="AY938" s="153"/>
      <c r="AZ938" s="153"/>
      <c r="BA938" s="153"/>
      <c r="BB938" s="153"/>
      <c r="BC938" s="153"/>
      <c r="BD938" s="151"/>
      <c r="BE938" s="152"/>
      <c r="BF938" s="151"/>
      <c r="BG938" s="94">
        <f>SUM($AV$4:AV938)</f>
        <v>6683.5441708630533</v>
      </c>
      <c r="BH938" s="95">
        <f>SUM($AU$4:AU938)</f>
        <v>41436.423836163238</v>
      </c>
      <c r="BI938" s="80">
        <f>SUMIFS($AU$3:AU993,$Q$3:Q993,"F")</f>
        <v>28758.758121878131</v>
      </c>
      <c r="BJ938" s="80">
        <f>SUMIFS($AU$3:AU993,$Q$3:Q993,"S")</f>
        <v>18338.285714285717</v>
      </c>
      <c r="BK938" s="87">
        <f>SUMIFS($AU$3:AU993,$P$3:P993,"W")</f>
        <v>16085.423836163443</v>
      </c>
      <c r="BL938" s="87">
        <f>SUMIFS($AU$3:AU993,$P$3:P993,"R")</f>
        <v>23278.800000000327</v>
      </c>
      <c r="BM938" s="87">
        <f>SUMIFS($AU$3:AU993,$AQ$3:AQ993,"M")</f>
        <v>9563.1799999983832</v>
      </c>
      <c r="BN938" s="87">
        <f>SUMIFS($AU$3:AU993,$AQ$3:AQ993,"H")</f>
        <v>12587.200000000877</v>
      </c>
      <c r="BO938" s="87">
        <f>SUMIFS($AU$3:AU993,$AQ$3:AQ993,"D")</f>
        <v>11195.57747252718</v>
      </c>
      <c r="BP938" s="87">
        <f>SUMIFS($AS$3:AS1314,$AO$3:AO1314,"W")</f>
        <v>0</v>
      </c>
      <c r="BQ938" s="87">
        <f>SUMIFS($AU$3:AU993,$Q$3:Q993,"O")</f>
        <v>-9366.1400000007852</v>
      </c>
      <c r="BR938" s="87">
        <f>SUMIFS($AU$3:AU993,$AA$3:AA993,"*")</f>
        <v>39156.002077921221</v>
      </c>
      <c r="BS938" s="87">
        <f>SUMIFS($AU$3:AU993,$AB$3:AB993,"*")</f>
        <v>7005.8599999997941</v>
      </c>
      <c r="BT938" s="87">
        <f>SUMIFS($AU$3:AU993,$AC$3:AC993,"*")</f>
        <v>31968.358121878122</v>
      </c>
      <c r="BU938" s="87">
        <f>SUMIFS($AU$3:AU993,$AA$3:AA993,"*",$AB$3:AB993,"*")</f>
        <v>7301.9999999995771</v>
      </c>
      <c r="BV938" s="87">
        <f>SUMIFS($AU$3:AU993,$AA$3:AA993,"*",$AC$3:AC993,"*")</f>
        <v>29949.316363636532</v>
      </c>
      <c r="BW938" s="87">
        <f>SUMIFS($AU$3:AU993,$AB$3:AB993,"*",$AC$3:AC993,"*")</f>
        <v>3739.199999999998</v>
      </c>
      <c r="BX938" s="87">
        <f>SUMIFS($AV$3:AV993,$Q$3:Q993,"F")</f>
        <v>396.72999236351012</v>
      </c>
      <c r="BY938" s="87">
        <f>SUMIFS($AV$3:AV993,$Q$3:Q993,"S")</f>
        <v>775.76285705724263</v>
      </c>
      <c r="BZ938" s="87">
        <f>SUMIFS($AV$3:AV993,$Q$3:Q993,"O")</f>
        <v>569.29929999965555</v>
      </c>
    </row>
    <row r="939" spans="1:78" ht="15.75" customHeight="1">
      <c r="A939" s="45" t="s">
        <v>2792</v>
      </c>
      <c r="B939" s="59">
        <v>45484</v>
      </c>
      <c r="C939" s="46" t="s">
        <v>147</v>
      </c>
      <c r="D939" s="46" t="s">
        <v>107</v>
      </c>
      <c r="E939" s="66"/>
      <c r="F939" s="47"/>
      <c r="G939" s="155" t="s">
        <v>181</v>
      </c>
      <c r="H939" s="49"/>
      <c r="I939" s="49"/>
      <c r="J939" s="49"/>
      <c r="K939" s="50"/>
      <c r="L939" s="49"/>
      <c r="M939" s="49">
        <v>2</v>
      </c>
      <c r="N939" s="49"/>
      <c r="O939" s="50" t="s">
        <v>100</v>
      </c>
      <c r="P939" s="50" t="s">
        <v>101</v>
      </c>
      <c r="Q939" s="50" t="s">
        <v>102</v>
      </c>
      <c r="R939" s="50">
        <v>18</v>
      </c>
      <c r="S939" s="50">
        <v>0</v>
      </c>
      <c r="T939" s="50">
        <v>18</v>
      </c>
      <c r="U939" s="50" t="s">
        <v>22</v>
      </c>
      <c r="V939" s="50"/>
      <c r="W939" s="50"/>
      <c r="X939" s="50"/>
      <c r="Y939" s="51">
        <f>IF(ISBLANK(O939),"",(IF(O939=UPPER("IB"),0.005,0.01)))</f>
        <v>0.01</v>
      </c>
      <c r="Z939" s="52">
        <f>IF(ISBLANK(O939),"",IF(O939="IB",8.63*200,IF(O939="IR",16*100,IF(O939="YT",20*100,IF(O939="YT-XT",24*200,IF(O939="TED",80*100,IF(O939="IR|YT",300*100)))))))</f>
        <v>1600</v>
      </c>
      <c r="AA939" s="52" t="s">
        <v>2873</v>
      </c>
      <c r="AB939" s="52"/>
      <c r="AC939" s="52"/>
      <c r="AD939" s="231">
        <v>-0.1</v>
      </c>
      <c r="AE939" s="49"/>
      <c r="AF939" s="84"/>
      <c r="AG939" s="49"/>
      <c r="AH939" s="49"/>
      <c r="AI939" s="49"/>
      <c r="AJ939" s="226"/>
      <c r="AK939" s="49"/>
      <c r="AL939" s="113">
        <f t="shared" si="370"/>
        <v>-32</v>
      </c>
      <c r="AM939" s="113">
        <f t="shared" si="367"/>
        <v>-576</v>
      </c>
      <c r="AN939" s="218"/>
      <c r="AO939" s="49"/>
      <c r="AP939" s="49"/>
      <c r="AQ939" s="84" t="s">
        <v>350</v>
      </c>
      <c r="AR939" s="49"/>
      <c r="AS939" s="55">
        <v>-0.09</v>
      </c>
      <c r="AT939" s="55">
        <f>IF(ISBLANK(AS939),,IF(U939="S",AD939-AS939,AS939-AD939))</f>
        <v>1.0000000000000009E-2</v>
      </c>
      <c r="AU939" s="54">
        <f>AV939*R939</f>
        <v>288.00000000000023</v>
      </c>
      <c r="AV939" s="56">
        <f t="shared" ref="AV939:AV995" si="371">IF(ISBLANK(AS939),,(AT939*Z939))</f>
        <v>16.000000000000014</v>
      </c>
      <c r="AW939" s="57" t="s">
        <v>101</v>
      </c>
      <c r="AX939" s="153"/>
      <c r="AY939" s="153"/>
      <c r="AZ939" s="153"/>
      <c r="BA939" s="153"/>
      <c r="BB939" s="153"/>
      <c r="BC939" s="153"/>
      <c r="BD939" s="151"/>
      <c r="BE939" s="152"/>
      <c r="BF939" s="151"/>
      <c r="BG939" s="94">
        <f>SUM($AV$4:AV939)</f>
        <v>6699.5441708630533</v>
      </c>
      <c r="BH939" s="95">
        <f>SUM($AU$4:AU939)</f>
        <v>41724.423836163238</v>
      </c>
      <c r="BI939" s="80">
        <f>SUMIFS($AU$3:AU940,$Q$3:Q940,"F")</f>
        <v>29347.078121878127</v>
      </c>
      <c r="BJ939" s="80">
        <f>SUMIFS($AU$3:AU940,$Q$3:Q940,"S")</f>
        <v>17394.285714285717</v>
      </c>
      <c r="BK939" s="87">
        <f>SUMIFS($AU$3:AU940,$P$3:P940,"W")</f>
        <v>16440.143836163443</v>
      </c>
      <c r="BL939" s="87">
        <f>SUMIFS($AU$3:AU940,$P$3:P940,"R")</f>
        <v>22728.400000000325</v>
      </c>
      <c r="BM939" s="87">
        <f>SUMIFS($AU$3:AU940,$AQ$3:AQ940,"M")</f>
        <v>9243.1799999984214</v>
      </c>
      <c r="BN939" s="87">
        <f>SUMIFS($AU$3:AU940,$AQ$3:AQ940,"H")</f>
        <v>11643.200000000877</v>
      </c>
      <c r="BO939" s="87">
        <f>SUMIFS($AU$3:AU940,$AQ$3:AQ940,"D")</f>
        <v>12162.377472527358</v>
      </c>
      <c r="BP939" s="87">
        <f>SUMIFS($AS$3:AS1306,$AO$3:AO1306,"W")</f>
        <v>0</v>
      </c>
      <c r="BQ939" s="87">
        <f>SUMIFS($AU$3:AU940,$Q$3:Q940,"O")</f>
        <v>-9500.9400000005699</v>
      </c>
      <c r="BR939" s="87">
        <f>SUMIFS($AU$3:AU940,$AA$3:AA940,"*")</f>
        <v>38969.522077921436</v>
      </c>
      <c r="BS939" s="87">
        <f>SUMIFS($AU$3:AU940,$AB$3:AB940,"*")</f>
        <v>7475.8599999999715</v>
      </c>
      <c r="BT939" s="87">
        <f>SUMIFS($AU$3:AU940,$AC$3:AC940,"*")</f>
        <v>31683.078121878119</v>
      </c>
      <c r="BU939" s="87">
        <f>SUMIFS($AU$3:AU940,$AA$3:AA940,"*",$AB$3:AB940,"*")</f>
        <v>7915.9999999997544</v>
      </c>
      <c r="BV939" s="87">
        <f>SUMIFS($AU$3:AU940,$AA$3:AA940,"*",$AC$3:AC940,"*")</f>
        <v>29808.036363636529</v>
      </c>
      <c r="BW939" s="87">
        <f>SUMIFS($AU$3:AU940,$AB$3:AB940,"*",$AC$3:AC940,"*")</f>
        <v>3863.9999999999991</v>
      </c>
      <c r="BX939" s="87">
        <f>SUMIFS($AV$3:AV940,$Q$3:Q940,"F")</f>
        <v>399.04019562430165</v>
      </c>
      <c r="BY939" s="87">
        <f>SUMIFS($AV$3:AV940,$Q$3:Q940,"S")</f>
        <v>721.94467523906087</v>
      </c>
      <c r="BZ939" s="87">
        <f>SUMIFS($AV$3:AV940,$Q$3:Q940,"O")</f>
        <v>346.55929999968373</v>
      </c>
    </row>
    <row r="940" spans="1:78" ht="15.75" customHeight="1">
      <c r="A940" s="45" t="s">
        <v>2792</v>
      </c>
      <c r="B940" s="59">
        <v>45484</v>
      </c>
      <c r="C940" s="46" t="s">
        <v>147</v>
      </c>
      <c r="D940" s="46" t="s">
        <v>107</v>
      </c>
      <c r="E940" s="66"/>
      <c r="F940" s="47"/>
      <c r="G940" s="155" t="s">
        <v>2686</v>
      </c>
      <c r="H940" s="49"/>
      <c r="I940" s="49"/>
      <c r="J940" s="49"/>
      <c r="K940" s="50"/>
      <c r="L940" s="49"/>
      <c r="M940" s="49">
        <v>2</v>
      </c>
      <c r="N940" s="49"/>
      <c r="O940" s="50" t="s">
        <v>100</v>
      </c>
      <c r="P940" s="50" t="s">
        <v>101</v>
      </c>
      <c r="Q940" s="50" t="s">
        <v>102</v>
      </c>
      <c r="R940" s="50">
        <v>15</v>
      </c>
      <c r="S940" s="50">
        <v>0</v>
      </c>
      <c r="T940" s="50">
        <v>15</v>
      </c>
      <c r="U940" s="50" t="s">
        <v>22</v>
      </c>
      <c r="V940" s="50"/>
      <c r="W940" s="50"/>
      <c r="X940" s="50"/>
      <c r="Y940" s="51">
        <f>IF(ISBLANK(O940),"",(IF(O940=UPPER("IB"),0.005,0.01)))</f>
        <v>0.01</v>
      </c>
      <c r="Z940" s="52">
        <f>IF(ISBLANK(O940),"",IF(O940="IB",8.63*200,IF(O940="IR",16*100,IF(O940="YT",20*100,IF(O940="YT-XT",24*200,IF(O940="TED",80*100,IF(O940="IR|YT",300*100)))))))</f>
        <v>1600</v>
      </c>
      <c r="AA940" s="52" t="s">
        <v>2873</v>
      </c>
      <c r="AB940" s="52"/>
      <c r="AC940" s="52"/>
      <c r="AD940" s="231">
        <v>-0.21</v>
      </c>
      <c r="AE940" s="49"/>
      <c r="AF940" s="84"/>
      <c r="AG940" s="49"/>
      <c r="AH940" s="49"/>
      <c r="AI940" s="49"/>
      <c r="AJ940" s="226"/>
      <c r="AK940" s="49"/>
      <c r="AL940" s="113">
        <f t="shared" si="370"/>
        <v>-32</v>
      </c>
      <c r="AM940" s="113">
        <f t="shared" si="367"/>
        <v>-480</v>
      </c>
      <c r="AN940" s="218"/>
      <c r="AO940" s="49"/>
      <c r="AP940" s="49"/>
      <c r="AQ940" s="84" t="s">
        <v>350</v>
      </c>
      <c r="AR940" s="49"/>
      <c r="AS940" s="55">
        <v>-0.2</v>
      </c>
      <c r="AT940" s="55">
        <f>IF(ISBLANK(AS940),,IF(U940="S",AD940-AS940,AS940-AD940))</f>
        <v>9.9999999999999811E-3</v>
      </c>
      <c r="AU940" s="54">
        <f>AV940*R940</f>
        <v>239.99999999999955</v>
      </c>
      <c r="AV940" s="56">
        <f t="shared" si="371"/>
        <v>15.99999999999997</v>
      </c>
      <c r="AW940" s="57" t="s">
        <v>101</v>
      </c>
      <c r="AX940" s="153"/>
      <c r="AY940" s="153"/>
      <c r="AZ940" s="153"/>
      <c r="BA940" s="153"/>
      <c r="BB940" s="153"/>
      <c r="BC940" s="153"/>
      <c r="BD940" s="151"/>
      <c r="BE940" s="152"/>
      <c r="BF940" s="151"/>
      <c r="BG940" s="94">
        <f>SUM($AV$4:AV940)</f>
        <v>6715.5441708630533</v>
      </c>
      <c r="BH940" s="95">
        <f>SUM($AU$4:AU940)</f>
        <v>41964.423836163238</v>
      </c>
      <c r="BI940" s="80">
        <f>SUMIFS($AU$3:AU941,$Q$3:Q941,"F")</f>
        <v>29347.078121878127</v>
      </c>
      <c r="BJ940" s="80">
        <f>SUMIFS($AU$3:AU941,$Q$3:Q941,"S")</f>
        <v>17394.285714285717</v>
      </c>
      <c r="BK940" s="87">
        <f>SUMIFS($AU$3:AU941,$P$3:P941,"W")</f>
        <v>16440.143836163443</v>
      </c>
      <c r="BL940" s="87">
        <f>SUMIFS($AU$3:AU941,$P$3:P941,"R")</f>
        <v>22728.400000000325</v>
      </c>
      <c r="BM940" s="87">
        <f>SUMIFS($AU$3:AU941,$AQ$3:AQ941,"M")</f>
        <v>9243.1799999984214</v>
      </c>
      <c r="BN940" s="87">
        <f>SUMIFS($AU$3:AU941,$AQ$3:AQ941,"H")</f>
        <v>11643.200000000877</v>
      </c>
      <c r="BO940" s="87">
        <f>SUMIFS($AU$3:AU941,$AQ$3:AQ941,"D")</f>
        <v>12162.377472527358</v>
      </c>
      <c r="BP940" s="87">
        <f>SUMIFS($AS$3:AS1307,$AO$3:AO1307,"W")</f>
        <v>0</v>
      </c>
      <c r="BQ940" s="87">
        <f>SUMIFS($AU$3:AU941,$Q$3:Q941,"O")</f>
        <v>-9500.9400000005699</v>
      </c>
      <c r="BR940" s="87">
        <f>SUMIFS($AU$3:AU941,$AA$3:AA941,"*")</f>
        <v>38969.522077921436</v>
      </c>
      <c r="BS940" s="87">
        <f>SUMIFS($AU$3:AU941,$AB$3:AB941,"*")</f>
        <v>7475.8599999999715</v>
      </c>
      <c r="BT940" s="87">
        <f>SUMIFS($AU$3:AU941,$AC$3:AC941,"*")</f>
        <v>31683.078121878119</v>
      </c>
      <c r="BU940" s="87">
        <f>SUMIFS($AU$3:AU941,$AA$3:AA941,"*",$AB$3:AB941,"*")</f>
        <v>7915.9999999997544</v>
      </c>
      <c r="BV940" s="87">
        <f>SUMIFS($AU$3:AU941,$AA$3:AA941,"*",$AC$3:AC941,"*")</f>
        <v>29808.036363636529</v>
      </c>
      <c r="BW940" s="87">
        <f>SUMIFS($AU$3:AU941,$AB$3:AB941,"*",$AC$3:AC941,"*")</f>
        <v>3863.9999999999991</v>
      </c>
      <c r="BX940" s="87">
        <f>SUMIFS($AV$3:AV941,$Q$3:Q941,"F")</f>
        <v>399.04019562430165</v>
      </c>
      <c r="BY940" s="87">
        <f>SUMIFS($AV$3:AV941,$Q$3:Q941,"S")</f>
        <v>721.94467523906087</v>
      </c>
      <c r="BZ940" s="87">
        <f>SUMIFS($AV$3:AV941,$Q$3:Q941,"O")</f>
        <v>346.55929999968373</v>
      </c>
    </row>
    <row r="941" spans="1:78" ht="15.75" customHeight="1">
      <c r="A941" s="45" t="s">
        <v>2792</v>
      </c>
      <c r="B941" s="59">
        <v>45484</v>
      </c>
      <c r="C941" s="46" t="s">
        <v>147</v>
      </c>
      <c r="D941" s="46" t="s">
        <v>107</v>
      </c>
      <c r="E941" s="66"/>
      <c r="F941" s="47"/>
      <c r="G941" s="155" t="s">
        <v>2541</v>
      </c>
      <c r="H941" s="49"/>
      <c r="I941" s="49"/>
      <c r="J941" s="49"/>
      <c r="K941" s="50"/>
      <c r="L941" s="49">
        <v>1</v>
      </c>
      <c r="M941" s="49"/>
      <c r="N941" s="49"/>
      <c r="O941" s="50" t="s">
        <v>196</v>
      </c>
      <c r="P941" s="50" t="s">
        <v>197</v>
      </c>
      <c r="Q941" s="50" t="s">
        <v>198</v>
      </c>
      <c r="R941" s="50">
        <v>1</v>
      </c>
      <c r="S941" s="50">
        <v>0</v>
      </c>
      <c r="T941" s="50">
        <v>1</v>
      </c>
      <c r="U941" s="50" t="s">
        <v>22</v>
      </c>
      <c r="V941" s="50"/>
      <c r="W941" s="50"/>
      <c r="X941" s="50"/>
      <c r="Y941" s="51">
        <f>IF(ISBLANK(O941),"",(IF(O941=UPPER("IB"),0.005,0.01)))</f>
        <v>0.01</v>
      </c>
      <c r="Z941" s="52">
        <f>IF(ISBLANK(O941),"",IF(O941="IB",8.63*200,IF(O941="IR",16*100,IF(O941="YT",20*100,IF(O941="YT-XT",24*200,IF(O941="TED",80*100,IF(O941="XT",29*200)))))))</f>
        <v>5800</v>
      </c>
      <c r="AA941" s="52" t="s">
        <v>908</v>
      </c>
      <c r="AB941" s="52"/>
      <c r="AC941" s="52"/>
      <c r="AD941" s="231">
        <v>95.694999999999993</v>
      </c>
      <c r="AE941" s="49"/>
      <c r="AF941" s="84"/>
      <c r="AG941" s="49"/>
      <c r="AH941" s="49"/>
      <c r="AI941" s="49"/>
      <c r="AJ941" s="226"/>
      <c r="AK941" s="49"/>
      <c r="AL941" s="113">
        <f t="shared" si="370"/>
        <v>-116</v>
      </c>
      <c r="AM941" s="113">
        <f t="shared" si="367"/>
        <v>-116</v>
      </c>
      <c r="AN941" s="218"/>
      <c r="AO941" s="49"/>
      <c r="AP941" s="49"/>
      <c r="AQ941" s="84" t="str">
        <f>UPPER(RIGHT(Journal_Live[[#This Row],[DURATION ]]))</f>
        <v/>
      </c>
      <c r="AR941" s="49"/>
      <c r="AS941" s="55">
        <v>95.694999999999993</v>
      </c>
      <c r="AT941" s="55">
        <f>IF(ISBLANK(AS941),,IF(U941="S",AD941-AS941,AS941-AD941))</f>
        <v>0</v>
      </c>
      <c r="AU941" s="54">
        <f>AV941*R941</f>
        <v>0</v>
      </c>
      <c r="AV941" s="56">
        <f t="shared" si="371"/>
        <v>0</v>
      </c>
      <c r="AW941" s="57" t="s">
        <v>155</v>
      </c>
      <c r="AX941" s="153"/>
      <c r="AY941" s="153"/>
      <c r="AZ941" s="153"/>
      <c r="BA941" s="153"/>
      <c r="BB941" s="153"/>
      <c r="BC941" s="153"/>
      <c r="BD941" s="151"/>
      <c r="BE941" s="152"/>
      <c r="BF941" s="151"/>
      <c r="BG941" s="94">
        <f>SUM($AV$4:AV941)</f>
        <v>6715.5441708630533</v>
      </c>
      <c r="BH941" s="95">
        <f>SUM($AU$4:AU941)</f>
        <v>41964.423836163238</v>
      </c>
      <c r="BI941" s="80">
        <f>SUMIFS($AU$3:AU942,$Q$3:Q942,"F")</f>
        <v>29347.078121878127</v>
      </c>
      <c r="BJ941" s="80">
        <f>SUMIFS($AU$3:AU942,$Q$3:Q942,"S")</f>
        <v>17394.285714285717</v>
      </c>
      <c r="BK941" s="87">
        <f>SUMIFS($AU$3:AU942,$P$3:P942,"W")</f>
        <v>16440.143836163443</v>
      </c>
      <c r="BL941" s="87">
        <f>SUMIFS($AU$3:AU942,$P$3:P942,"R")</f>
        <v>22728.400000000325</v>
      </c>
      <c r="BM941" s="87">
        <f>SUMIFS($AU$3:AU942,$AQ$3:AQ942,"M")</f>
        <v>9243.1799999984214</v>
      </c>
      <c r="BN941" s="87">
        <f>SUMIFS($AU$3:AU942,$AQ$3:AQ942,"H")</f>
        <v>11643.200000000877</v>
      </c>
      <c r="BO941" s="87">
        <f>SUMIFS($AU$3:AU942,$AQ$3:AQ942,"D")</f>
        <v>12162.377472527358</v>
      </c>
      <c r="BP941" s="87">
        <f>SUMIFS($AS$3:AS1308,$AO$3:AO1308,"W")</f>
        <v>0</v>
      </c>
      <c r="BQ941" s="87">
        <f>SUMIFS($AU$3:AU942,$Q$3:Q942,"O")</f>
        <v>-9500.9400000005699</v>
      </c>
      <c r="BR941" s="87">
        <f>SUMIFS($AU$3:AU942,$AA$3:AA942,"*")</f>
        <v>38969.522077921436</v>
      </c>
      <c r="BS941" s="87">
        <f>SUMIFS($AU$3:AU942,$AB$3:AB942,"*")</f>
        <v>7475.8599999999715</v>
      </c>
      <c r="BT941" s="87">
        <f>SUMIFS($AU$3:AU942,$AC$3:AC942,"*")</f>
        <v>31683.078121878119</v>
      </c>
      <c r="BU941" s="87">
        <f>SUMIFS($AU$3:AU942,$AA$3:AA942,"*",$AB$3:AB942,"*")</f>
        <v>7915.9999999997544</v>
      </c>
      <c r="BV941" s="87">
        <f>SUMIFS($AU$3:AU942,$AA$3:AA942,"*",$AC$3:AC942,"*")</f>
        <v>29808.036363636529</v>
      </c>
      <c r="BW941" s="87">
        <f>SUMIFS($AU$3:AU942,$AB$3:AB942,"*",$AC$3:AC942,"*")</f>
        <v>3863.9999999999991</v>
      </c>
      <c r="BX941" s="87">
        <f>SUMIFS($AV$3:AV942,$Q$3:Q942,"F")</f>
        <v>399.04019562430165</v>
      </c>
      <c r="BY941" s="87">
        <f>SUMIFS($AV$3:AV942,$Q$3:Q942,"S")</f>
        <v>721.94467523906087</v>
      </c>
      <c r="BZ941" s="87">
        <f>SUMIFS($AV$3:AV942,$Q$3:Q942,"O")</f>
        <v>346.55929999968373</v>
      </c>
    </row>
    <row r="942" spans="1:78" ht="15.75" customHeight="1">
      <c r="A942" s="45" t="s">
        <v>2792</v>
      </c>
      <c r="B942" s="59">
        <v>45484</v>
      </c>
      <c r="C942" s="46" t="s">
        <v>147</v>
      </c>
      <c r="D942" s="46" t="s">
        <v>107</v>
      </c>
      <c r="E942" s="66"/>
      <c r="F942" s="47"/>
      <c r="G942" s="48" t="s">
        <v>295</v>
      </c>
      <c r="H942" s="49"/>
      <c r="I942" s="49"/>
      <c r="J942" s="49"/>
      <c r="K942" s="50"/>
      <c r="L942" s="49"/>
      <c r="M942" s="49"/>
      <c r="N942" s="49"/>
      <c r="O942" s="50"/>
      <c r="P942" s="50"/>
      <c r="Q942" s="50"/>
      <c r="R942" s="50"/>
      <c r="S942" s="50"/>
      <c r="T942" s="50"/>
      <c r="U942" s="50"/>
      <c r="V942" s="50"/>
      <c r="W942" s="50"/>
      <c r="X942" s="50"/>
      <c r="Y942" s="51"/>
      <c r="Z942" s="52"/>
      <c r="AA942" s="52"/>
      <c r="AB942" s="52"/>
      <c r="AC942" s="52"/>
      <c r="AD942" s="231"/>
      <c r="AE942" s="49"/>
      <c r="AF942" s="84"/>
      <c r="AG942" s="49"/>
      <c r="AH942" s="49"/>
      <c r="AI942" s="49"/>
      <c r="AJ942" s="226"/>
      <c r="AK942" s="49"/>
      <c r="AL942" s="113">
        <f t="shared" si="370"/>
        <v>0</v>
      </c>
      <c r="AM942" s="113">
        <f t="shared" si="367"/>
        <v>0</v>
      </c>
      <c r="AN942" s="218"/>
      <c r="AO942" s="49"/>
      <c r="AP942" s="49"/>
      <c r="AQ942" s="84" t="str">
        <f>UPPER(RIGHT(Journal_Live[[#This Row],[DURATION ]]))</f>
        <v/>
      </c>
      <c r="AR942" s="49"/>
      <c r="AS942" s="55"/>
      <c r="AT942" s="55"/>
      <c r="AU942" s="54"/>
      <c r="AV942" s="56"/>
      <c r="AW942" s="57"/>
      <c r="AX942" s="153"/>
      <c r="AY942" s="153"/>
      <c r="AZ942" s="153"/>
      <c r="BA942" s="153"/>
      <c r="BB942" s="153"/>
      <c r="BC942" s="153"/>
      <c r="BD942" s="151"/>
      <c r="BE942" s="152"/>
      <c r="BF942" s="151"/>
      <c r="BG942" s="94">
        <f>SUM($AV$4:AV942)</f>
        <v>6715.5441708630533</v>
      </c>
      <c r="BH942" s="95">
        <f>SUM($AU$4:AU942)</f>
        <v>41964.423836163238</v>
      </c>
      <c r="BI942" s="80">
        <f>SUMIFS($AU$3:AU943,$Q$3:Q943,"F")</f>
        <v>29347.078121878127</v>
      </c>
      <c r="BJ942" s="80">
        <f>SUMIFS($AU$3:AU943,$Q$3:Q943,"S")</f>
        <v>17394.285714285717</v>
      </c>
      <c r="BK942" s="87">
        <f>SUMIFS($AU$3:AU943,$P$3:P943,"W")</f>
        <v>16440.143836163443</v>
      </c>
      <c r="BL942" s="87">
        <f>SUMIFS($AU$3:AU943,$P$3:P943,"R")</f>
        <v>22728.400000000325</v>
      </c>
      <c r="BM942" s="87">
        <f>SUMIFS($AU$3:AU943,$AQ$3:AQ943,"M")</f>
        <v>9243.1799999984214</v>
      </c>
      <c r="BN942" s="87">
        <f>SUMIFS($AU$3:AU943,$AQ$3:AQ943,"H")</f>
        <v>11643.200000000877</v>
      </c>
      <c r="BO942" s="87">
        <f>SUMIFS($AU$3:AU943,$AQ$3:AQ943,"D")</f>
        <v>11817.177472527181</v>
      </c>
      <c r="BP942" s="87">
        <f>SUMIFS($AS$3:AS1309,$AO$3:AO1309,"W")</f>
        <v>0</v>
      </c>
      <c r="BQ942" s="87">
        <f>SUMIFS($AU$3:AU943,$Q$3:Q943,"O")</f>
        <v>-9846.140000000747</v>
      </c>
      <c r="BR942" s="87">
        <f>SUMIFS($AU$3:AU943,$AA$3:AA943,"*")</f>
        <v>38624.322077921257</v>
      </c>
      <c r="BS942" s="87">
        <f>SUMIFS($AU$3:AU943,$AB$3:AB943,"*")</f>
        <v>7130.6599999997952</v>
      </c>
      <c r="BT942" s="87">
        <f>SUMIFS($AU$3:AU943,$AC$3:AC943,"*")</f>
        <v>31683.078121878119</v>
      </c>
      <c r="BU942" s="87">
        <f>SUMIFS($AU$3:AU943,$AA$3:AA943,"*",$AB$3:AB943,"*")</f>
        <v>7570.7999999995782</v>
      </c>
      <c r="BV942" s="87">
        <f>SUMIFS($AU$3:AU943,$AA$3:AA943,"*",$AC$3:AC943,"*")</f>
        <v>29808.036363636529</v>
      </c>
      <c r="BW942" s="87">
        <f>SUMIFS($AU$3:AU943,$AB$3:AB943,"*",$AC$3:AC943,"*")</f>
        <v>3863.9999999999991</v>
      </c>
      <c r="BX942" s="87">
        <f>SUMIFS($AV$3:AV943,$Q$3:Q943,"F")</f>
        <v>399.04019562430165</v>
      </c>
      <c r="BY942" s="87">
        <f>SUMIFS($AV$3:AV943,$Q$3:Q943,"S")</f>
        <v>721.94467523906087</v>
      </c>
      <c r="BZ942" s="87">
        <f>SUMIFS($AV$3:AV943,$Q$3:Q943,"O")</f>
        <v>329.29929999967487</v>
      </c>
    </row>
    <row r="943" spans="1:78" ht="15.75" customHeight="1">
      <c r="A943" s="45" t="s">
        <v>2792</v>
      </c>
      <c r="B943" s="59">
        <v>45484</v>
      </c>
      <c r="C943" s="46" t="s">
        <v>219</v>
      </c>
      <c r="D943" s="46" t="s">
        <v>107</v>
      </c>
      <c r="E943" s="66"/>
      <c r="F943" s="47"/>
      <c r="G943" s="155" t="s">
        <v>2874</v>
      </c>
      <c r="H943" s="49"/>
      <c r="I943" s="49"/>
      <c r="J943" s="49"/>
      <c r="K943" s="50"/>
      <c r="L943" s="49">
        <v>1</v>
      </c>
      <c r="M943" s="49"/>
      <c r="N943" s="49"/>
      <c r="O943" s="50" t="s">
        <v>559</v>
      </c>
      <c r="P943" s="50"/>
      <c r="Q943" s="50" t="s">
        <v>198</v>
      </c>
      <c r="R943" s="50">
        <v>20</v>
      </c>
      <c r="S943" s="50">
        <v>10</v>
      </c>
      <c r="T943" s="50">
        <v>10</v>
      </c>
      <c r="U943" s="50" t="s">
        <v>102</v>
      </c>
      <c r="V943" s="50"/>
      <c r="W943" s="50"/>
      <c r="X943" s="50"/>
      <c r="Y943" s="51">
        <f>IF(ISBLANK(O943),"",(IF(O943=UPPER("IB"),0.005,0.01)))</f>
        <v>5.0000000000000001E-3</v>
      </c>
      <c r="Z943" s="52">
        <f>IF(ISBLANK(O943),"",IF(O943="IB",8.63*200,IF(O943="IR",16*100,IF(O943="YT",20*100,IF(O943="YT-XT",24*200,IF(O943="TED",80*100,IF(O943="XT",29*200)))))))</f>
        <v>1726.0000000000002</v>
      </c>
      <c r="AA943" s="52" t="s">
        <v>2875</v>
      </c>
      <c r="AB943" s="52" t="s">
        <v>2876</v>
      </c>
      <c r="AC943" s="52"/>
      <c r="AD943" s="231">
        <v>95.614999999999995</v>
      </c>
      <c r="AE943" s="49"/>
      <c r="AF943" s="84"/>
      <c r="AG943" s="49"/>
      <c r="AH943" s="49"/>
      <c r="AI943" s="49"/>
      <c r="AJ943" s="226"/>
      <c r="AK943" s="49"/>
      <c r="AL943" s="113">
        <f t="shared" si="370"/>
        <v>-34.520000000000003</v>
      </c>
      <c r="AM943" s="113">
        <f t="shared" si="367"/>
        <v>-345.20000000000005</v>
      </c>
      <c r="AN943" s="218"/>
      <c r="AO943" s="49"/>
      <c r="AP943" s="49" t="s">
        <v>1369</v>
      </c>
      <c r="AQ943" s="84" t="s">
        <v>155</v>
      </c>
      <c r="AR943" s="49" t="s">
        <v>2877</v>
      </c>
      <c r="AS943" s="55">
        <v>95.625</v>
      </c>
      <c r="AT943" s="55">
        <f t="shared" ref="AT943:AT957" si="372">IF(ISBLANK(AS943),,IF(U943="S",AD943-AS943,AS943-AD943))</f>
        <v>-1.0000000000005116E-2</v>
      </c>
      <c r="AU943" s="54">
        <f t="shared" ref="AU943:AU957" si="373">AV943*R943</f>
        <v>-345.20000000017666</v>
      </c>
      <c r="AV943" s="56">
        <f t="shared" si="371"/>
        <v>-17.260000000008834</v>
      </c>
      <c r="AW943" s="57" t="s">
        <v>121</v>
      </c>
      <c r="AX943" s="153"/>
      <c r="AY943" s="153"/>
      <c r="AZ943" s="153"/>
      <c r="BA943" s="153"/>
      <c r="BB943" s="153"/>
      <c r="BC943" s="153"/>
      <c r="BD943" s="151"/>
      <c r="BE943" s="152"/>
      <c r="BF943" s="151"/>
      <c r="BG943" s="94">
        <f>SUM($AV$4:AV943)</f>
        <v>6698.2841708630449</v>
      </c>
      <c r="BH943" s="95">
        <f>SUM($AU$4:AU943)</f>
        <v>41619.223836163059</v>
      </c>
      <c r="BI943" s="80">
        <f>SUMIFS($AU$3:AU944,$Q$3:Q944,"F")</f>
        <v>29347.078121878127</v>
      </c>
      <c r="BJ943" s="80">
        <f>SUMIFS($AU$3:AU944,$Q$3:Q944,"S")</f>
        <v>17634.285714285717</v>
      </c>
      <c r="BK943" s="87">
        <f>SUMIFS($AU$3:AU944,$P$3:P944,"W")</f>
        <v>16680.143836163443</v>
      </c>
      <c r="BL943" s="87">
        <f>SUMIFS($AU$3:AU944,$P$3:P944,"R")</f>
        <v>22728.400000000325</v>
      </c>
      <c r="BM943" s="87">
        <f>SUMIFS($AU$3:AU944,$AQ$3:AQ944,"M")</f>
        <v>9243.1799999984214</v>
      </c>
      <c r="BN943" s="87">
        <f>SUMIFS($AU$3:AU944,$AQ$3:AQ944,"H")</f>
        <v>11883.200000000877</v>
      </c>
      <c r="BO943" s="87">
        <f>SUMIFS($AU$3:AU944,$AQ$3:AQ944,"D")</f>
        <v>11817.177472527181</v>
      </c>
      <c r="BP943" s="87">
        <f>SUMIFS($AS$3:AS1310,$AO$3:AO1310,"W")</f>
        <v>0</v>
      </c>
      <c r="BQ943" s="87">
        <f>SUMIFS($AU$3:AU944,$Q$3:Q944,"O")</f>
        <v>-9846.140000000747</v>
      </c>
      <c r="BR943" s="87">
        <f>SUMIFS($AU$3:AU944,$AA$3:AA944,"*")</f>
        <v>38864.322077921257</v>
      </c>
      <c r="BS943" s="87">
        <f>SUMIFS($AU$3:AU944,$AB$3:AB944,"*")</f>
        <v>7130.6599999997952</v>
      </c>
      <c r="BT943" s="87">
        <f>SUMIFS($AU$3:AU944,$AC$3:AC944,"*")</f>
        <v>31683.078121878119</v>
      </c>
      <c r="BU943" s="87">
        <f>SUMIFS($AU$3:AU944,$AA$3:AA944,"*",$AB$3:AB944,"*")</f>
        <v>7570.7999999995782</v>
      </c>
      <c r="BV943" s="87">
        <f>SUMIFS($AU$3:AU944,$AA$3:AA944,"*",$AC$3:AC944,"*")</f>
        <v>29808.036363636529</v>
      </c>
      <c r="BW943" s="87">
        <f>SUMIFS($AU$3:AU944,$AB$3:AB944,"*",$AC$3:AC944,"*")</f>
        <v>3863.9999999999991</v>
      </c>
      <c r="BX943" s="87">
        <f>SUMIFS($AV$3:AV944,$Q$3:Q944,"F")</f>
        <v>399.04019562430165</v>
      </c>
      <c r="BY943" s="87">
        <f>SUMIFS($AV$3:AV944,$Q$3:Q944,"S")</f>
        <v>737.94467523906087</v>
      </c>
      <c r="BZ943" s="87">
        <f>SUMIFS($AV$3:AV944,$Q$3:Q944,"O")</f>
        <v>329.29929999967487</v>
      </c>
    </row>
    <row r="944" spans="1:78" ht="15.75" customHeight="1">
      <c r="A944" s="45" t="s">
        <v>2792</v>
      </c>
      <c r="B944" s="59">
        <v>45484</v>
      </c>
      <c r="C944" s="46" t="s">
        <v>426</v>
      </c>
      <c r="D944" s="46" t="s">
        <v>107</v>
      </c>
      <c r="E944" s="66"/>
      <c r="F944" s="47"/>
      <c r="G944" s="155" t="s">
        <v>2686</v>
      </c>
      <c r="H944" s="49"/>
      <c r="I944" s="49"/>
      <c r="J944" s="49"/>
      <c r="K944" s="50"/>
      <c r="L944" s="49"/>
      <c r="M944" s="49">
        <v>2</v>
      </c>
      <c r="N944" s="49"/>
      <c r="O944" s="50" t="s">
        <v>100</v>
      </c>
      <c r="P944" s="50" t="s">
        <v>101</v>
      </c>
      <c r="Q944" s="50" t="s">
        <v>102</v>
      </c>
      <c r="R944" s="50">
        <v>15</v>
      </c>
      <c r="S944" s="50">
        <v>0</v>
      </c>
      <c r="T944" s="50">
        <v>8</v>
      </c>
      <c r="U944" s="50" t="s">
        <v>22</v>
      </c>
      <c r="V944" s="50"/>
      <c r="W944" s="50"/>
      <c r="X944" s="50"/>
      <c r="Y944" s="51">
        <f>IF(ISBLANK(O944),"",(IF(O944=UPPER("IB"),0.005,0.01)))</f>
        <v>0.01</v>
      </c>
      <c r="Z944" s="52">
        <f>IF(ISBLANK(O944),"",IF(O944="IB",8.63*200,IF(O944="IR",16*100,IF(O944="YT",20*100,IF(O944="YT-XT",24*200,IF(O944="TED",80*100,IF(O944="IR|YT",300*100)))))))</f>
        <v>1600</v>
      </c>
      <c r="AA944" s="52" t="s">
        <v>2878</v>
      </c>
      <c r="AB944" s="52"/>
      <c r="AC944" s="52"/>
      <c r="AD944" s="231">
        <v>-0.2</v>
      </c>
      <c r="AE944" s="49"/>
      <c r="AF944" s="84"/>
      <c r="AG944" s="49"/>
      <c r="AH944" s="49"/>
      <c r="AI944" s="49"/>
      <c r="AJ944" s="228" t="s">
        <v>2879</v>
      </c>
      <c r="AK944" s="49"/>
      <c r="AL944" s="113">
        <f t="shared" si="370"/>
        <v>-32</v>
      </c>
      <c r="AM944" s="113">
        <f t="shared" si="367"/>
        <v>-480</v>
      </c>
      <c r="AN944" s="218" t="s">
        <v>2880</v>
      </c>
      <c r="AO944" s="49"/>
      <c r="AP944" s="49" t="s">
        <v>2881</v>
      </c>
      <c r="AQ944" s="84" t="s">
        <v>142</v>
      </c>
      <c r="AR944" s="49" t="s">
        <v>2882</v>
      </c>
      <c r="AS944" s="55">
        <v>-0.19</v>
      </c>
      <c r="AT944" s="55">
        <f t="shared" si="372"/>
        <v>1.0000000000000009E-2</v>
      </c>
      <c r="AU944" s="54">
        <f t="shared" si="373"/>
        <v>240.00000000000023</v>
      </c>
      <c r="AV944" s="56">
        <f t="shared" si="371"/>
        <v>16.000000000000014</v>
      </c>
      <c r="AW944" s="57" t="s">
        <v>101</v>
      </c>
      <c r="AX944" s="153"/>
      <c r="AY944" s="153"/>
      <c r="AZ944" s="153"/>
      <c r="BA944" s="153"/>
      <c r="BB944" s="153"/>
      <c r="BC944" s="153"/>
      <c r="BD944" s="151"/>
      <c r="BE944" s="152"/>
      <c r="BF944" s="151"/>
      <c r="BG944" s="94">
        <f>SUM($AV$4:AV944)</f>
        <v>6714.2841708630449</v>
      </c>
      <c r="BH944" s="95">
        <f>SUM($AU$4:AU944)</f>
        <v>41859.223836163059</v>
      </c>
      <c r="BI944" s="80">
        <f>SUMIFS($AU$3:AU945,$Q$3:Q945,"F")</f>
        <v>29347.078121878127</v>
      </c>
      <c r="BJ944" s="80">
        <f>SUMIFS($AU$3:AU945,$Q$3:Q945,"S")</f>
        <v>17890.285714285717</v>
      </c>
      <c r="BK944" s="87">
        <f>SUMIFS($AU$3:AU945,$P$3:P945,"W")</f>
        <v>16936.143836163443</v>
      </c>
      <c r="BL944" s="87">
        <f>SUMIFS($AU$3:AU945,$P$3:P945,"R")</f>
        <v>22728.400000000325</v>
      </c>
      <c r="BM944" s="87">
        <f>SUMIFS($AU$3:AU945,$AQ$3:AQ945,"M")</f>
        <v>9243.1799999984214</v>
      </c>
      <c r="BN944" s="87">
        <f>SUMIFS($AU$3:AU945,$AQ$3:AQ945,"H")</f>
        <v>12139.200000000877</v>
      </c>
      <c r="BO944" s="87">
        <f>SUMIFS($AU$3:AU945,$AQ$3:AQ945,"D")</f>
        <v>11817.177472527181</v>
      </c>
      <c r="BP944" s="87">
        <f>SUMIFS($AS$3:AS1311,$AO$3:AO1311,"W")</f>
        <v>0</v>
      </c>
      <c r="BQ944" s="87">
        <f>SUMIFS($AU$3:AU945,$Q$3:Q945,"O")</f>
        <v>-9846.140000000747</v>
      </c>
      <c r="BR944" s="87">
        <f>SUMIFS($AU$3:AU945,$AA$3:AA945,"*")</f>
        <v>39120.322077921257</v>
      </c>
      <c r="BS944" s="87">
        <f>SUMIFS($AU$3:AU945,$AB$3:AB945,"*")</f>
        <v>7130.6599999997952</v>
      </c>
      <c r="BT944" s="87">
        <f>SUMIFS($AU$3:AU945,$AC$3:AC945,"*")</f>
        <v>31683.078121878119</v>
      </c>
      <c r="BU944" s="87">
        <f>SUMIFS($AU$3:AU945,$AA$3:AA945,"*",$AB$3:AB945,"*")</f>
        <v>7570.7999999995782</v>
      </c>
      <c r="BV944" s="87">
        <f>SUMIFS($AU$3:AU945,$AA$3:AA945,"*",$AC$3:AC945,"*")</f>
        <v>29808.036363636529</v>
      </c>
      <c r="BW944" s="87">
        <f>SUMIFS($AU$3:AU945,$AB$3:AB945,"*",$AC$3:AC945,"*")</f>
        <v>3863.9999999999991</v>
      </c>
      <c r="BX944" s="87">
        <f>SUMIFS($AV$3:AV945,$Q$3:Q945,"F")</f>
        <v>399.04019562430165</v>
      </c>
      <c r="BY944" s="87">
        <f>SUMIFS($AV$3:AV945,$Q$3:Q945,"S")</f>
        <v>753.94467523906087</v>
      </c>
      <c r="BZ944" s="87">
        <f>SUMIFS($AV$3:AV945,$Q$3:Q945,"O")</f>
        <v>329.29929999967487</v>
      </c>
    </row>
    <row r="945" spans="1:78" ht="15.75" customHeight="1">
      <c r="A945" s="45" t="s">
        <v>2792</v>
      </c>
      <c r="B945" s="59">
        <v>45484</v>
      </c>
      <c r="C945" s="46" t="s">
        <v>2883</v>
      </c>
      <c r="D945" s="46" t="s">
        <v>107</v>
      </c>
      <c r="E945" s="66"/>
      <c r="F945" s="47"/>
      <c r="G945" s="155" t="s">
        <v>2821</v>
      </c>
      <c r="H945" s="49"/>
      <c r="I945" s="49"/>
      <c r="J945" s="49"/>
      <c r="K945" s="50"/>
      <c r="L945" s="49"/>
      <c r="M945" s="49">
        <v>2</v>
      </c>
      <c r="N945" s="49"/>
      <c r="O945" s="50" t="s">
        <v>100</v>
      </c>
      <c r="P945" s="50" t="s">
        <v>101</v>
      </c>
      <c r="Q945" s="50" t="s">
        <v>102</v>
      </c>
      <c r="R945" s="50">
        <v>16</v>
      </c>
      <c r="S945" s="50">
        <v>8</v>
      </c>
      <c r="T945" s="50">
        <v>16</v>
      </c>
      <c r="U945" s="50" t="s">
        <v>22</v>
      </c>
      <c r="V945" s="50"/>
      <c r="W945" s="50"/>
      <c r="X945" s="50"/>
      <c r="Y945" s="51">
        <f>IF(ISBLANK(O945),"",(IF(O945=UPPER("IB"),0.005,0.01)))</f>
        <v>0.01</v>
      </c>
      <c r="Z945" s="52">
        <f>IF(ISBLANK(O945),"",IF(O945="IB",8.63*200,IF(O945="IR",16*100,IF(O945="YT",20*100,IF(O945="YT-XT",24*200,IF(O945="TED",80*100,IF(O945="IR|YT",300*100)))))))</f>
        <v>1600</v>
      </c>
      <c r="AA945" s="52" t="s">
        <v>2884</v>
      </c>
      <c r="AB945" s="52"/>
      <c r="AC945" s="52"/>
      <c r="AD945" s="231">
        <v>-0.23</v>
      </c>
      <c r="AE945" s="49"/>
      <c r="AF945" s="84"/>
      <c r="AG945" s="49"/>
      <c r="AH945" s="49"/>
      <c r="AI945" s="49"/>
      <c r="AJ945" s="226"/>
      <c r="AK945" s="49"/>
      <c r="AL945" s="113">
        <f t="shared" ref="AL945:AL954" si="374">-0.02*Z945</f>
        <v>-32</v>
      </c>
      <c r="AM945" s="113">
        <f t="shared" si="367"/>
        <v>-256</v>
      </c>
      <c r="AN945" s="218"/>
      <c r="AO945" s="49"/>
      <c r="AP945" s="49" t="s">
        <v>2885</v>
      </c>
      <c r="AQ945" s="84" t="s">
        <v>142</v>
      </c>
      <c r="AR945" s="49" t="s">
        <v>2886</v>
      </c>
      <c r="AS945" s="55">
        <f>((-0.22*8)+(-0.22*8))/16</f>
        <v>-0.22</v>
      </c>
      <c r="AT945" s="55">
        <f t="shared" si="372"/>
        <v>1.0000000000000009E-2</v>
      </c>
      <c r="AU945" s="54">
        <f t="shared" si="373"/>
        <v>256.00000000000023</v>
      </c>
      <c r="AV945" s="56">
        <f t="shared" ref="AV945:AV955" si="375">IF(ISBLANK(AS945),,(AT945*Z945))</f>
        <v>16.000000000000014</v>
      </c>
      <c r="AW945" s="57" t="s">
        <v>101</v>
      </c>
      <c r="AX945" s="153"/>
      <c r="AY945" s="153"/>
      <c r="AZ945" s="153"/>
      <c r="BA945" s="153"/>
      <c r="BB945" s="153"/>
      <c r="BC945" s="153"/>
      <c r="BD945" s="151"/>
      <c r="BE945" s="152"/>
      <c r="BF945" s="151"/>
      <c r="BG945" s="94">
        <f>SUM($AV$4:AV945)</f>
        <v>6730.2841708630449</v>
      </c>
      <c r="BH945" s="95">
        <f>SUM($AU$4:AU945)</f>
        <v>42115.223836163059</v>
      </c>
      <c r="BI945" s="80">
        <f>SUMIFS($AU$3:AU946,$Q$3:Q946,"F")</f>
        <v>29347.078121878127</v>
      </c>
      <c r="BJ945" s="80">
        <f>SUMIFS($AU$3:AU946,$Q$3:Q946,"S")</f>
        <v>17890.285714285717</v>
      </c>
      <c r="BK945" s="87">
        <f>SUMIFS($AU$3:AU946,$P$3:P946,"W")</f>
        <v>16936.143836163443</v>
      </c>
      <c r="BL945" s="87">
        <f>SUMIFS($AU$3:AU946,$P$3:P946,"R")</f>
        <v>22728.400000000325</v>
      </c>
      <c r="BM945" s="87">
        <f>SUMIFS($AU$3:AU946,$AQ$3:AQ946,"M")</f>
        <v>9243.1799999984214</v>
      </c>
      <c r="BN945" s="87">
        <f>SUMIFS($AU$3:AU946,$AQ$3:AQ946,"H")</f>
        <v>12139.200000000877</v>
      </c>
      <c r="BO945" s="87">
        <f>SUMIFS($AU$3:AU946,$AQ$3:AQ946,"D")</f>
        <v>11817.177472527181</v>
      </c>
      <c r="BP945" s="87">
        <f>SUMIFS($AS$3:AS1312,$AO$3:AO1312,"W")</f>
        <v>0</v>
      </c>
      <c r="BQ945" s="87">
        <f>SUMIFS($AU$3:AU946,$Q$3:Q946,"O")</f>
        <v>-9846.140000000747</v>
      </c>
      <c r="BR945" s="87">
        <f>SUMIFS($AU$3:AU946,$AA$3:AA946,"*")</f>
        <v>39120.322077921257</v>
      </c>
      <c r="BS945" s="87">
        <f>SUMIFS($AU$3:AU946,$AB$3:AB946,"*")</f>
        <v>7130.6599999997952</v>
      </c>
      <c r="BT945" s="87">
        <f>SUMIFS($AU$3:AU946,$AC$3:AC946,"*")</f>
        <v>31683.078121878119</v>
      </c>
      <c r="BU945" s="87">
        <f>SUMIFS($AU$3:AU946,$AA$3:AA946,"*",$AB$3:AB946,"*")</f>
        <v>7570.7999999995782</v>
      </c>
      <c r="BV945" s="87">
        <f>SUMIFS($AU$3:AU946,$AA$3:AA946,"*",$AC$3:AC946,"*")</f>
        <v>29808.036363636529</v>
      </c>
      <c r="BW945" s="87">
        <f>SUMIFS($AU$3:AU946,$AB$3:AB946,"*",$AC$3:AC946,"*")</f>
        <v>3863.9999999999991</v>
      </c>
      <c r="BX945" s="87">
        <f>SUMIFS($AV$3:AV946,$Q$3:Q946,"F")</f>
        <v>399.04019562430165</v>
      </c>
      <c r="BY945" s="87">
        <f>SUMIFS($AV$3:AV946,$Q$3:Q946,"S")</f>
        <v>753.94467523906087</v>
      </c>
      <c r="BZ945" s="87">
        <f>SUMIFS($AV$3:AV946,$Q$3:Q946,"O")</f>
        <v>329.29929999967487</v>
      </c>
    </row>
    <row r="946" spans="1:78" ht="15.75" customHeight="1">
      <c r="A946" s="45" t="s">
        <v>2792</v>
      </c>
      <c r="B946" s="59"/>
      <c r="C946" s="46"/>
      <c r="D946" s="46"/>
      <c r="E946" s="66"/>
      <c r="F946" s="47"/>
      <c r="G946" s="48"/>
      <c r="H946" s="49"/>
      <c r="I946" s="49"/>
      <c r="J946" s="49"/>
      <c r="K946" s="50"/>
      <c r="L946" s="49"/>
      <c r="M946" s="49"/>
      <c r="N946" s="49"/>
      <c r="O946" s="50"/>
      <c r="P946" s="50"/>
      <c r="Q946" s="50"/>
      <c r="R946" s="50"/>
      <c r="S946" s="50"/>
      <c r="T946" s="50"/>
      <c r="U946" s="50"/>
      <c r="V946" s="50"/>
      <c r="W946" s="50"/>
      <c r="X946" s="50"/>
      <c r="Y946" s="51"/>
      <c r="Z946" s="52"/>
      <c r="AA946" s="52"/>
      <c r="AB946" s="52"/>
      <c r="AC946" s="52"/>
      <c r="AD946" s="231"/>
      <c r="AE946" s="49"/>
      <c r="AF946" s="84"/>
      <c r="AG946" s="49"/>
      <c r="AH946" s="49"/>
      <c r="AI946" s="49"/>
      <c r="AJ946" s="226"/>
      <c r="AK946" s="49"/>
      <c r="AL946" s="113">
        <f t="shared" si="374"/>
        <v>0</v>
      </c>
      <c r="AM946" s="113">
        <f t="shared" si="367"/>
        <v>0</v>
      </c>
      <c r="AN946" s="218"/>
      <c r="AO946" s="49"/>
      <c r="AP946" s="49"/>
      <c r="AQ946" s="84" t="str">
        <f>UPPER(RIGHT(Journal_Live[[#This Row],[DURATION ]]))</f>
        <v/>
      </c>
      <c r="AR946" s="49"/>
      <c r="AS946" s="55"/>
      <c r="AT946" s="55">
        <f t="shared" si="372"/>
        <v>0</v>
      </c>
      <c r="AU946" s="54">
        <f t="shared" si="373"/>
        <v>0</v>
      </c>
      <c r="AV946" s="56">
        <f t="shared" si="375"/>
        <v>0</v>
      </c>
      <c r="AW946" s="57"/>
      <c r="AX946" s="153" t="s">
        <v>2887</v>
      </c>
      <c r="AY946" s="153"/>
      <c r="AZ946" s="153"/>
      <c r="BA946" s="153"/>
      <c r="BB946" s="153"/>
      <c r="BC946" s="153"/>
      <c r="BD946" s="151"/>
      <c r="BE946" s="152"/>
      <c r="BF946" s="151"/>
      <c r="BG946" s="94">
        <f>SUM($AV$4:AV946)</f>
        <v>6730.2841708630449</v>
      </c>
      <c r="BH946" s="95">
        <f>SUM($AU$4:AU946)</f>
        <v>42115.223836163059</v>
      </c>
      <c r="BI946" s="80">
        <f>SUMIFS($AU$3:AU947,$Q$3:Q947,"F")</f>
        <v>29347.078121878127</v>
      </c>
      <c r="BJ946" s="80">
        <f>SUMIFS($AU$3:AU947,$Q$3:Q947,"S")</f>
        <v>17890.285714285717</v>
      </c>
      <c r="BK946" s="87">
        <f>SUMIFS($AU$3:AU947,$P$3:P947,"W")</f>
        <v>16936.143836163443</v>
      </c>
      <c r="BL946" s="87">
        <f>SUMIFS($AU$3:AU947,$P$3:P947,"R")</f>
        <v>22728.400000000325</v>
      </c>
      <c r="BM946" s="87">
        <f>SUMIFS($AU$3:AU947,$AQ$3:AQ947,"M")</f>
        <v>9243.1799999984214</v>
      </c>
      <c r="BN946" s="87">
        <f>SUMIFS($AU$3:AU947,$AQ$3:AQ947,"H")</f>
        <v>12139.200000000877</v>
      </c>
      <c r="BO946" s="87">
        <f>SUMIFS($AU$3:AU947,$AQ$3:AQ947,"D")</f>
        <v>11817.177472527181</v>
      </c>
      <c r="BP946" s="87">
        <f>SUMIFS($AS$3:AS1313,$AO$3:AO1313,"W")</f>
        <v>0</v>
      </c>
      <c r="BQ946" s="87">
        <f>SUMIFS($AU$3:AU947,$Q$3:Q947,"O")</f>
        <v>-9846.140000000747</v>
      </c>
      <c r="BR946" s="87">
        <f>SUMIFS($AU$3:AU947,$AA$3:AA947,"*")</f>
        <v>39120.322077921257</v>
      </c>
      <c r="BS946" s="87">
        <f>SUMIFS($AU$3:AU947,$AB$3:AB947,"*")</f>
        <v>7130.6599999997952</v>
      </c>
      <c r="BT946" s="87">
        <f>SUMIFS($AU$3:AU947,$AC$3:AC947,"*")</f>
        <v>31683.078121878119</v>
      </c>
      <c r="BU946" s="87">
        <f>SUMIFS($AU$3:AU947,$AA$3:AA947,"*",$AB$3:AB947,"*")</f>
        <v>7570.7999999995782</v>
      </c>
      <c r="BV946" s="87">
        <f>SUMIFS($AU$3:AU947,$AA$3:AA947,"*",$AC$3:AC947,"*")</f>
        <v>29808.036363636529</v>
      </c>
      <c r="BW946" s="87">
        <f>SUMIFS($AU$3:AU947,$AB$3:AB947,"*",$AC$3:AC947,"*")</f>
        <v>3863.9999999999991</v>
      </c>
      <c r="BX946" s="87">
        <f>SUMIFS($AV$3:AV947,$Q$3:Q947,"F")</f>
        <v>399.04019562430165</v>
      </c>
      <c r="BY946" s="87">
        <f>SUMIFS($AV$3:AV947,$Q$3:Q947,"S")</f>
        <v>753.94467523906087</v>
      </c>
      <c r="BZ946" s="87">
        <f>SUMIFS($AV$3:AV947,$Q$3:Q947,"O")</f>
        <v>329.29929999967487</v>
      </c>
    </row>
    <row r="947" spans="1:78" ht="15.75" customHeight="1">
      <c r="A947" s="45" t="s">
        <v>2792</v>
      </c>
      <c r="B947" s="59">
        <v>45485</v>
      </c>
      <c r="C947" s="46" t="s">
        <v>504</v>
      </c>
      <c r="D947" s="46" t="s">
        <v>115</v>
      </c>
      <c r="E947" s="66"/>
      <c r="F947" s="47"/>
      <c r="G947" s="48" t="s">
        <v>2823</v>
      </c>
      <c r="H947" s="49"/>
      <c r="I947" s="49"/>
      <c r="J947" s="49"/>
      <c r="K947" s="50"/>
      <c r="L947" s="49"/>
      <c r="M947" s="49">
        <v>1</v>
      </c>
      <c r="N947" s="49"/>
      <c r="O947" s="50" t="s">
        <v>100</v>
      </c>
      <c r="P947" s="50" t="s">
        <v>126</v>
      </c>
      <c r="Q947" s="50" t="s">
        <v>102</v>
      </c>
      <c r="R947" s="50">
        <v>2</v>
      </c>
      <c r="S947" s="50">
        <v>0</v>
      </c>
      <c r="T947" s="50">
        <v>2</v>
      </c>
      <c r="U947" s="50" t="s">
        <v>102</v>
      </c>
      <c r="V947" s="50"/>
      <c r="W947" s="50"/>
      <c r="X947" s="50"/>
      <c r="Y947" s="51">
        <f>IF(ISBLANK(O947),"",(IF(O947=UPPER("IB"),0.005,0.01)))</f>
        <v>0.01</v>
      </c>
      <c r="Z947" s="52">
        <f>IF(ISBLANK(O947),"",IF(O947="IB",8.63*200,IF(O947="IR",16*100,IF(O947="YT",20*100,IF(O947="YT-XT",24*200,IF(O947="TED",80*100,IF(O947="IR|YT",300*100)))))))</f>
        <v>1600</v>
      </c>
      <c r="AA947" s="52" t="s">
        <v>2888</v>
      </c>
      <c r="AB947" s="52"/>
      <c r="AC947" s="52" t="s">
        <v>2889</v>
      </c>
      <c r="AD947" s="231">
        <v>-0.16</v>
      </c>
      <c r="AE947" s="49"/>
      <c r="AF947" s="84"/>
      <c r="AG947" s="49"/>
      <c r="AH947" s="49"/>
      <c r="AI947" s="49"/>
      <c r="AJ947" s="226"/>
      <c r="AK947" s="49"/>
      <c r="AL947" s="113">
        <f t="shared" si="374"/>
        <v>-32</v>
      </c>
      <c r="AM947" s="113">
        <f t="shared" si="367"/>
        <v>-64</v>
      </c>
      <c r="AN947" s="218"/>
      <c r="AO947" s="49"/>
      <c r="AP947" s="49"/>
      <c r="AQ947" s="84" t="s">
        <v>142</v>
      </c>
      <c r="AR947" s="49"/>
      <c r="AS947" s="55">
        <v>-0.16</v>
      </c>
      <c r="AT947" s="55">
        <f t="shared" si="372"/>
        <v>0</v>
      </c>
      <c r="AU947" s="54">
        <f t="shared" si="373"/>
        <v>0</v>
      </c>
      <c r="AV947" s="56">
        <f t="shared" si="375"/>
        <v>0</v>
      </c>
      <c r="AW947" s="57" t="s">
        <v>155</v>
      </c>
      <c r="AX947" s="153"/>
      <c r="AY947" s="153"/>
      <c r="AZ947" s="153"/>
      <c r="BA947" s="153"/>
      <c r="BB947" s="153"/>
      <c r="BC947" s="153"/>
      <c r="BD947" s="151"/>
      <c r="BE947" s="152"/>
      <c r="BF947" s="151"/>
      <c r="BG947" s="94">
        <f>SUM($AV$4:AV947)</f>
        <v>6730.2841708630449</v>
      </c>
      <c r="BH947" s="95">
        <f>SUM($AU$4:AU947)</f>
        <v>42115.223836163059</v>
      </c>
      <c r="BI947" s="80">
        <f>SUMIFS($AU$3:AU993,$Q$3:Q993,"F")</f>
        <v>28758.758121878131</v>
      </c>
      <c r="BJ947" s="80">
        <f>SUMIFS($AU$3:AU993,$Q$3:Q993,"S")</f>
        <v>18338.285714285717</v>
      </c>
      <c r="BK947" s="87">
        <f>SUMIFS($AU$3:AU993,$P$3:P993,"W")</f>
        <v>16085.423836163443</v>
      </c>
      <c r="BL947" s="87">
        <f>SUMIFS($AU$3:AU993,$P$3:P993,"R")</f>
        <v>23278.800000000327</v>
      </c>
      <c r="BM947" s="87">
        <f>SUMIFS($AU$3:AU993,$AQ$3:AQ993,"M")</f>
        <v>9563.1799999983832</v>
      </c>
      <c r="BN947" s="87">
        <f>SUMIFS($AU$3:AU993,$AQ$3:AQ993,"H")</f>
        <v>12587.200000000877</v>
      </c>
      <c r="BO947" s="87">
        <f>SUMIFS($AU$3:AU993,$AQ$3:AQ993,"D")</f>
        <v>11195.57747252718</v>
      </c>
      <c r="BP947" s="87">
        <f>SUMIFS($AS$3:AS1314,$AO$3:AO1314,"W")</f>
        <v>0</v>
      </c>
      <c r="BQ947" s="87">
        <f>SUMIFS($AU$3:AU993,$Q$3:Q993,"O")</f>
        <v>-9366.1400000007852</v>
      </c>
      <c r="BR947" s="87">
        <f>SUMIFS($AU$3:AU993,$AA$3:AA993,"*")</f>
        <v>39156.002077921221</v>
      </c>
      <c r="BS947" s="87">
        <f>SUMIFS($AU$3:AU993,$AB$3:AB993,"*")</f>
        <v>7005.8599999997941</v>
      </c>
      <c r="BT947" s="87">
        <f>SUMIFS($AU$3:AU993,$AC$3:AC993,"*")</f>
        <v>31968.358121878122</v>
      </c>
      <c r="BU947" s="87">
        <f>SUMIFS($AU$3:AU993,$AA$3:AA993,"*",$AB$3:AB993,"*")</f>
        <v>7301.9999999995771</v>
      </c>
      <c r="BV947" s="87">
        <f>SUMIFS($AU$3:AU993,$AA$3:AA993,"*",$AC$3:AC993,"*")</f>
        <v>29949.316363636532</v>
      </c>
      <c r="BW947" s="87">
        <f>SUMIFS($AU$3:AU993,$AB$3:AB993,"*",$AC$3:AC993,"*")</f>
        <v>3739.199999999998</v>
      </c>
      <c r="BX947" s="87">
        <f>SUMIFS($AV$3:AV993,$Q$3:Q993,"F")</f>
        <v>396.72999236351012</v>
      </c>
      <c r="BY947" s="87">
        <f>SUMIFS($AV$3:AV993,$Q$3:Q993,"S")</f>
        <v>775.76285705724263</v>
      </c>
      <c r="BZ947" s="87">
        <f>SUMIFS($AV$3:AV993,$Q$3:Q993,"O")</f>
        <v>569.29929999965555</v>
      </c>
    </row>
    <row r="948" spans="1:78" ht="15.75" customHeight="1">
      <c r="A948" s="45" t="s">
        <v>2792</v>
      </c>
      <c r="B948" s="59"/>
      <c r="C948" s="46"/>
      <c r="D948" s="46"/>
      <c r="E948" s="66"/>
      <c r="F948" s="47"/>
      <c r="G948" s="48"/>
      <c r="H948" s="49"/>
      <c r="I948" s="49"/>
      <c r="J948" s="49"/>
      <c r="K948" s="50"/>
      <c r="L948" s="49"/>
      <c r="M948" s="49"/>
      <c r="N948" s="49"/>
      <c r="O948" s="50"/>
      <c r="P948" s="50"/>
      <c r="Q948" s="50"/>
      <c r="R948" s="50"/>
      <c r="S948" s="50"/>
      <c r="T948" s="50"/>
      <c r="U948" s="50"/>
      <c r="V948" s="50"/>
      <c r="W948" s="50"/>
      <c r="X948" s="50"/>
      <c r="Y948" s="50"/>
      <c r="Z948" s="50"/>
      <c r="AA948" s="52"/>
      <c r="AB948" s="52"/>
      <c r="AC948" s="52"/>
      <c r="AD948" s="231"/>
      <c r="AE948" s="49"/>
      <c r="AF948" s="84"/>
      <c r="AG948" s="49"/>
      <c r="AH948" s="49"/>
      <c r="AI948" s="49"/>
      <c r="AJ948" s="226"/>
      <c r="AK948" s="49"/>
      <c r="AL948" s="113">
        <f t="shared" ref="AL948:AL953" si="376">-0.02*Z948</f>
        <v>0</v>
      </c>
      <c r="AM948" s="113">
        <f t="shared" si="367"/>
        <v>0</v>
      </c>
      <c r="AN948" s="218"/>
      <c r="AO948" s="49"/>
      <c r="AP948" s="49"/>
      <c r="AQ948" s="84" t="str">
        <f>UPPER(RIGHT(Journal_Live[[#This Row],[DURATION ]]))</f>
        <v/>
      </c>
      <c r="AR948" s="49"/>
      <c r="AS948" s="55"/>
      <c r="AT948" s="55">
        <f t="shared" si="372"/>
        <v>0</v>
      </c>
      <c r="AU948" s="54">
        <f t="shared" si="373"/>
        <v>0</v>
      </c>
      <c r="AV948" s="56">
        <f t="shared" ref="AV948:AV953" si="377">IF(ISBLANK(AS948),,(AT948*Z948))</f>
        <v>0</v>
      </c>
      <c r="AW948" s="57"/>
      <c r="AX948" s="153" t="s">
        <v>2890</v>
      </c>
      <c r="AY948" s="153" t="s">
        <v>2891</v>
      </c>
      <c r="AZ948" s="153" t="s">
        <v>2892</v>
      </c>
      <c r="BA948" s="153"/>
      <c r="BB948" s="153"/>
      <c r="BC948" s="153"/>
      <c r="BD948" s="151"/>
      <c r="BE948" s="152"/>
      <c r="BF948" s="151"/>
      <c r="BG948" s="94">
        <f>SUM($AV$4:AV948)</f>
        <v>6730.2841708630449</v>
      </c>
      <c r="BH948" s="95">
        <f>SUM($AU$4:AU948)</f>
        <v>42115.223836163059</v>
      </c>
      <c r="BI948" s="80">
        <f>SUMIFS($AU$3:AU949,$Q$3:Q949,"F")</f>
        <v>29347.078121878127</v>
      </c>
      <c r="BJ948" s="80">
        <f>SUMIFS($AU$3:AU949,$Q$3:Q949,"S")</f>
        <v>17890.285714285717</v>
      </c>
      <c r="BK948" s="87">
        <f>SUMIFS($AU$3:AU949,$P$3:P949,"W")</f>
        <v>16936.143836163443</v>
      </c>
      <c r="BL948" s="87">
        <f>SUMIFS($AU$3:AU949,$P$3:P949,"R")</f>
        <v>22728.400000000325</v>
      </c>
      <c r="BM948" s="87">
        <f>SUMIFS($AU$3:AU949,$AQ$3:AQ949,"M")</f>
        <v>9243.1799999984214</v>
      </c>
      <c r="BN948" s="87">
        <f>SUMIFS($AU$3:AU949,$AQ$3:AQ949,"H")</f>
        <v>12139.200000000877</v>
      </c>
      <c r="BO948" s="87">
        <f>SUMIFS($AU$3:AU949,$AQ$3:AQ949,"D")</f>
        <v>11817.177472527181</v>
      </c>
      <c r="BP948" s="87">
        <f>SUMIFS($AS$3:AS1306,$AO$3:AO1306,"W")</f>
        <v>0</v>
      </c>
      <c r="BQ948" s="87">
        <f>SUMIFS($AU$3:AU949,$Q$3:Q949,"O")</f>
        <v>-9846.140000000747</v>
      </c>
      <c r="BR948" s="87">
        <f>SUMIFS($AU$3:AU949,$AA$3:AA949,"*")</f>
        <v>39120.322077921257</v>
      </c>
      <c r="BS948" s="87">
        <f>SUMIFS($AU$3:AU949,$AB$3:AB949,"*")</f>
        <v>7130.6599999997952</v>
      </c>
      <c r="BT948" s="87">
        <f>SUMIFS($AU$3:AU949,$AC$3:AC949,"*")</f>
        <v>31683.078121878119</v>
      </c>
      <c r="BU948" s="87">
        <f>SUMIFS($AU$3:AU949,$AA$3:AA949,"*",$AB$3:AB949,"*")</f>
        <v>7570.7999999995782</v>
      </c>
      <c r="BV948" s="87">
        <f>SUMIFS($AU$3:AU949,$AA$3:AA949,"*",$AC$3:AC949,"*")</f>
        <v>29808.036363636529</v>
      </c>
      <c r="BW948" s="87">
        <f>SUMIFS($AU$3:AU949,$AB$3:AB949,"*",$AC$3:AC949,"*")</f>
        <v>3863.9999999999991</v>
      </c>
      <c r="BX948" s="87">
        <f>SUMIFS($AV$3:AV949,$Q$3:Q949,"F")</f>
        <v>399.04019562430165</v>
      </c>
      <c r="BY948" s="87">
        <f>SUMIFS($AV$3:AV949,$Q$3:Q949,"S")</f>
        <v>753.94467523906087</v>
      </c>
      <c r="BZ948" s="87">
        <f>SUMIFS($AV$3:AV949,$Q$3:Q949,"O")</f>
        <v>329.29929999967487</v>
      </c>
    </row>
    <row r="949" spans="1:78" ht="15.75" customHeight="1">
      <c r="A949" s="199" t="s">
        <v>2792</v>
      </c>
      <c r="B949" s="200"/>
      <c r="C949" s="201"/>
      <c r="D949" s="201"/>
      <c r="E949" s="202"/>
      <c r="F949" s="203"/>
      <c r="G949" s="204"/>
      <c r="H949" s="201"/>
      <c r="I949" s="201"/>
      <c r="J949" s="201"/>
      <c r="K949" s="204"/>
      <c r="L949" s="201"/>
      <c r="M949" s="201"/>
      <c r="N949" s="201"/>
      <c r="O949" s="204"/>
      <c r="P949" s="204"/>
      <c r="Q949" s="204"/>
      <c r="R949" s="204"/>
      <c r="S949" s="204"/>
      <c r="T949" s="204"/>
      <c r="U949" s="204"/>
      <c r="V949" s="204"/>
      <c r="W949" s="204"/>
      <c r="X949" s="204"/>
      <c r="Y949" s="204"/>
      <c r="Z949" s="204"/>
      <c r="AA949" s="205"/>
      <c r="AB949" s="205"/>
      <c r="AC949" s="205"/>
      <c r="AD949" s="234"/>
      <c r="AE949" s="201"/>
      <c r="AF949" s="206"/>
      <c r="AG949" s="201"/>
      <c r="AH949" s="201"/>
      <c r="AI949" s="201"/>
      <c r="AJ949" s="226"/>
      <c r="AK949" s="201"/>
      <c r="AL949" s="207">
        <f t="shared" si="376"/>
        <v>0</v>
      </c>
      <c r="AM949" s="207">
        <f t="shared" si="367"/>
        <v>0</v>
      </c>
      <c r="AN949" s="221"/>
      <c r="AO949" s="201"/>
      <c r="AP949" s="201"/>
      <c r="AQ949" s="206" t="str">
        <f>UPPER(RIGHT(Journal_Live[[#This Row],[DURATION ]]))</f>
        <v/>
      </c>
      <c r="AR949" s="201"/>
      <c r="AS949" s="208"/>
      <c r="AT949" s="208">
        <f t="shared" si="372"/>
        <v>0</v>
      </c>
      <c r="AU949" s="207">
        <f t="shared" si="373"/>
        <v>0</v>
      </c>
      <c r="AV949" s="209">
        <f t="shared" si="377"/>
        <v>0</v>
      </c>
      <c r="AW949" s="210"/>
      <c r="AX949" s="198" t="s">
        <v>2893</v>
      </c>
      <c r="AY949" s="198" t="s">
        <v>2894</v>
      </c>
      <c r="AZ949" s="198" t="s">
        <v>2895</v>
      </c>
      <c r="BA949" s="198" t="s">
        <v>2896</v>
      </c>
      <c r="BB949" s="198"/>
      <c r="BC949" s="198"/>
      <c r="BD949" s="211"/>
      <c r="BE949" s="212"/>
      <c r="BF949" s="211"/>
      <c r="BG949" s="213">
        <f>SUM($AV$4:AV949)</f>
        <v>6730.2841708630449</v>
      </c>
      <c r="BH949" s="214">
        <f>SUM($AU$4:AU949)</f>
        <v>42115.223836163059</v>
      </c>
      <c r="BI949" s="215">
        <f>SUMIFS($AU$3:AU950,$Q$3:Q950,"F")</f>
        <v>29347.078121878127</v>
      </c>
      <c r="BJ949" s="215">
        <f>SUMIFS($AU$3:AU950,$Q$3:Q950,"S")</f>
        <v>18034.285714285717</v>
      </c>
      <c r="BK949" s="216">
        <f>SUMIFS($AU$3:AU950,$P$3:P950,"W")</f>
        <v>17080.143836163443</v>
      </c>
      <c r="BL949" s="216">
        <f>SUMIFS($AU$3:AU950,$P$3:P950,"R")</f>
        <v>22728.400000000325</v>
      </c>
      <c r="BM949" s="216">
        <f>SUMIFS($AU$3:AU950,$AQ$3:AQ950,"M")</f>
        <v>9243.1799999984214</v>
      </c>
      <c r="BN949" s="216">
        <f>SUMIFS($AU$3:AU950,$AQ$3:AQ950,"H")</f>
        <v>12283.200000000877</v>
      </c>
      <c r="BO949" s="216">
        <f>SUMIFS($AU$3:AU950,$AQ$3:AQ950,"D")</f>
        <v>11817.177472527181</v>
      </c>
      <c r="BP949" s="216">
        <f>SUMIFS($AS$3:AS1307,$AO$3:AO1307,"W")</f>
        <v>0</v>
      </c>
      <c r="BQ949" s="216">
        <f>SUMIFS($AU$3:AU950,$Q$3:Q950,"O")</f>
        <v>-9846.140000000747</v>
      </c>
      <c r="BR949" s="216">
        <f>SUMIFS($AU$3:AU950,$AA$3:AA950,"*")</f>
        <v>39264.322077921257</v>
      </c>
      <c r="BS949" s="216">
        <f>SUMIFS($AU$3:AU950,$AB$3:AB950,"*")</f>
        <v>7130.6599999997952</v>
      </c>
      <c r="BT949" s="216">
        <f>SUMIFS($AU$3:AU950,$AC$3:AC950,"*")</f>
        <v>31683.078121878119</v>
      </c>
      <c r="BU949" s="216">
        <f>SUMIFS($AU$3:AU950,$AA$3:AA950,"*",$AB$3:AB950,"*")</f>
        <v>7570.7999999995782</v>
      </c>
      <c r="BV949" s="216">
        <f>SUMIFS($AU$3:AU950,$AA$3:AA950,"*",$AC$3:AC950,"*")</f>
        <v>29808.036363636529</v>
      </c>
      <c r="BW949" s="216">
        <f>SUMIFS($AU$3:AU950,$AB$3:AB950,"*",$AC$3:AC950,"*")</f>
        <v>3863.9999999999991</v>
      </c>
      <c r="BX949" s="216">
        <f>SUMIFS($AV$3:AV950,$Q$3:Q950,"F")</f>
        <v>399.04019562430165</v>
      </c>
      <c r="BY949" s="216">
        <f>SUMIFS($AV$3:AV950,$Q$3:Q950,"S")</f>
        <v>769.94467523906087</v>
      </c>
      <c r="BZ949" s="216">
        <f>SUMIFS($AV$3:AV950,$Q$3:Q950,"O")</f>
        <v>329.29929999967487</v>
      </c>
    </row>
    <row r="950" spans="1:78" ht="15.75" customHeight="1">
      <c r="A950" s="45" t="s">
        <v>2792</v>
      </c>
      <c r="B950" s="59">
        <v>45488</v>
      </c>
      <c r="C950" s="46" t="s">
        <v>2897</v>
      </c>
      <c r="D950" s="46" t="s">
        <v>176</v>
      </c>
      <c r="E950" s="66"/>
      <c r="F950" s="47"/>
      <c r="G950" s="155" t="s">
        <v>2821</v>
      </c>
      <c r="H950" s="49"/>
      <c r="I950" s="49"/>
      <c r="J950" s="49"/>
      <c r="K950" s="50"/>
      <c r="L950" s="49"/>
      <c r="M950" s="49">
        <v>2</v>
      </c>
      <c r="N950" s="49"/>
      <c r="O950" s="50" t="s">
        <v>100</v>
      </c>
      <c r="P950" s="50" t="s">
        <v>101</v>
      </c>
      <c r="Q950" s="50" t="s">
        <v>102</v>
      </c>
      <c r="R950" s="50">
        <v>9</v>
      </c>
      <c r="S950" s="50">
        <v>9</v>
      </c>
      <c r="T950" s="50">
        <v>9</v>
      </c>
      <c r="U950" s="50" t="s">
        <v>102</v>
      </c>
      <c r="V950" s="50" t="s">
        <v>2898</v>
      </c>
      <c r="W950" s="50" t="s">
        <v>22</v>
      </c>
      <c r="X950" s="50"/>
      <c r="Y950" s="51">
        <f t="shared" ref="Y950:Y957" si="378">IF(ISBLANK(O950),"",(IF(O950=UPPER("IB"),0.005,0.01)))</f>
        <v>0.01</v>
      </c>
      <c r="Z950" s="52">
        <f t="shared" ref="Z950:Z957" si="379">IF(ISBLANK(O950),"",IF(O950="IB",8.63*200,IF(O950="IR",16*100,IF(O950="YT",20*100,IF(O950="YT-XT",24*200,IF(O950="TED",80*100,IF(O950="IR|YT",300*100)))))))</f>
        <v>1600</v>
      </c>
      <c r="AA950" s="52" t="s">
        <v>2899</v>
      </c>
      <c r="AB950" s="52"/>
      <c r="AC950" s="52"/>
      <c r="AD950" s="231">
        <v>-0.2</v>
      </c>
      <c r="AE950" s="49"/>
      <c r="AF950" s="84"/>
      <c r="AG950" s="49"/>
      <c r="AH950" s="49">
        <v>-22</v>
      </c>
      <c r="AI950" s="49"/>
      <c r="AJ950" s="228" t="s">
        <v>2900</v>
      </c>
      <c r="AK950" s="49"/>
      <c r="AL950" s="113">
        <f t="shared" si="376"/>
        <v>-32</v>
      </c>
      <c r="AM950" s="113">
        <f t="shared" si="367"/>
        <v>0</v>
      </c>
      <c r="AN950" s="218"/>
      <c r="AO950" s="49"/>
      <c r="AP950" s="49"/>
      <c r="AQ950" s="84" t="s">
        <v>142</v>
      </c>
      <c r="AR950" s="74" t="s">
        <v>2901</v>
      </c>
      <c r="AS950" s="55">
        <f>((-0.21*9)+(-0.21*9))/18</f>
        <v>-0.21</v>
      </c>
      <c r="AT950" s="55">
        <f t="shared" si="372"/>
        <v>9.9999999999999811E-3</v>
      </c>
      <c r="AU950" s="54">
        <f t="shared" si="373"/>
        <v>143.99999999999972</v>
      </c>
      <c r="AV950" s="56">
        <f t="shared" si="377"/>
        <v>15.99999999999997</v>
      </c>
      <c r="AW950" s="57" t="s">
        <v>101</v>
      </c>
      <c r="AX950" s="153"/>
      <c r="AY950" s="153"/>
      <c r="AZ950" s="153"/>
      <c r="BA950" s="153"/>
      <c r="BB950" s="153"/>
      <c r="BC950" s="153"/>
      <c r="BD950" s="151"/>
      <c r="BE950" s="152"/>
      <c r="BF950" s="151"/>
      <c r="BG950" s="94">
        <f>SUM($AV$4:AV950)</f>
        <v>6746.2841708630449</v>
      </c>
      <c r="BH950" s="95">
        <f>SUM($AU$4:AU950)</f>
        <v>42259.223836163059</v>
      </c>
      <c r="BI950" s="80">
        <f>SUMIFS($AU$3:AU951,$Q$3:Q951,"F")</f>
        <v>29347.078121878127</v>
      </c>
      <c r="BJ950" s="80">
        <f>SUMIFS($AU$3:AU951,$Q$3:Q951,"S")</f>
        <v>18034.285714285717</v>
      </c>
      <c r="BK950" s="87">
        <f>SUMIFS($AU$3:AU951,$P$3:P951,"W")</f>
        <v>17080.143836163443</v>
      </c>
      <c r="BL950" s="87">
        <f>SUMIFS($AU$3:AU951,$P$3:P951,"R")</f>
        <v>22728.400000000325</v>
      </c>
      <c r="BM950" s="87">
        <f>SUMIFS($AU$3:AU951,$AQ$3:AQ951,"M")</f>
        <v>9243.1799999984214</v>
      </c>
      <c r="BN950" s="87">
        <f>SUMIFS($AU$3:AU951,$AQ$3:AQ951,"H")</f>
        <v>12283.200000000877</v>
      </c>
      <c r="BO950" s="87">
        <f>SUMIFS($AU$3:AU951,$AQ$3:AQ951,"D")</f>
        <v>11817.177472527181</v>
      </c>
      <c r="BP950" s="87">
        <f>SUMIFS($AS$3:AS1308,$AO$3:AO1308,"W")</f>
        <v>0</v>
      </c>
      <c r="BQ950" s="87">
        <f>SUMIFS($AU$3:AU951,$Q$3:Q951,"O")</f>
        <v>-9846.140000000747</v>
      </c>
      <c r="BR950" s="87">
        <f>SUMIFS($AU$3:AU951,$AA$3:AA951,"*")</f>
        <v>39264.322077921257</v>
      </c>
      <c r="BS950" s="87">
        <f>SUMIFS($AU$3:AU951,$AB$3:AB951,"*")</f>
        <v>7130.6599999997952</v>
      </c>
      <c r="BT950" s="87">
        <f>SUMIFS($AU$3:AU951,$AC$3:AC951,"*")</f>
        <v>31683.078121878119</v>
      </c>
      <c r="BU950" s="87">
        <f>SUMIFS($AU$3:AU951,$AA$3:AA951,"*",$AB$3:AB951,"*")</f>
        <v>7570.7999999995782</v>
      </c>
      <c r="BV950" s="87">
        <f>SUMIFS($AU$3:AU951,$AA$3:AA951,"*",$AC$3:AC951,"*")</f>
        <v>29808.036363636529</v>
      </c>
      <c r="BW950" s="87">
        <f>SUMIFS($AU$3:AU951,$AB$3:AB951,"*",$AC$3:AC951,"*")</f>
        <v>3863.9999999999991</v>
      </c>
      <c r="BX950" s="87">
        <f>SUMIFS($AV$3:AV951,$Q$3:Q951,"F")</f>
        <v>399.04019562430165</v>
      </c>
      <c r="BY950" s="87">
        <f>SUMIFS($AV$3:AV951,$Q$3:Q951,"S")</f>
        <v>769.94467523906087</v>
      </c>
      <c r="BZ950" s="87">
        <f>SUMIFS($AV$3:AV951,$Q$3:Q951,"O")</f>
        <v>329.29929999967487</v>
      </c>
    </row>
    <row r="951" spans="1:78" ht="15.75" customHeight="1">
      <c r="A951" s="45" t="s">
        <v>2792</v>
      </c>
      <c r="B951" s="59">
        <v>45488</v>
      </c>
      <c r="C951" s="46" t="s">
        <v>2902</v>
      </c>
      <c r="D951" s="46" t="s">
        <v>176</v>
      </c>
      <c r="E951" s="66"/>
      <c r="F951" s="47"/>
      <c r="G951" s="155" t="s">
        <v>2686</v>
      </c>
      <c r="H951" s="49"/>
      <c r="I951" s="49"/>
      <c r="J951" s="49"/>
      <c r="K951" s="50"/>
      <c r="L951" s="49"/>
      <c r="M951" s="49">
        <v>2</v>
      </c>
      <c r="N951" s="49"/>
      <c r="O951" s="50" t="s">
        <v>100</v>
      </c>
      <c r="P951" s="50" t="s">
        <v>101</v>
      </c>
      <c r="Q951" s="50" t="s">
        <v>102</v>
      </c>
      <c r="R951" s="50">
        <v>9</v>
      </c>
      <c r="S951" s="50">
        <v>9</v>
      </c>
      <c r="T951" s="50">
        <v>16</v>
      </c>
      <c r="U951" s="50" t="s">
        <v>22</v>
      </c>
      <c r="V951" s="50"/>
      <c r="W951" s="50"/>
      <c r="X951" s="50"/>
      <c r="Y951" s="51">
        <f t="shared" si="378"/>
        <v>0.01</v>
      </c>
      <c r="Z951" s="52">
        <f t="shared" si="379"/>
        <v>1600</v>
      </c>
      <c r="AA951" s="52" t="s">
        <v>2903</v>
      </c>
      <c r="AB951" s="52"/>
      <c r="AC951" s="52" t="s">
        <v>2904</v>
      </c>
      <c r="AD951" s="231">
        <v>-0.21</v>
      </c>
      <c r="AE951" s="49"/>
      <c r="AF951" s="84"/>
      <c r="AG951" s="49"/>
      <c r="AH951" s="49"/>
      <c r="AI951" s="49"/>
      <c r="AJ951" s="226"/>
      <c r="AK951" s="49"/>
      <c r="AL951" s="113">
        <f t="shared" si="376"/>
        <v>-32</v>
      </c>
      <c r="AM951" s="113">
        <f t="shared" si="367"/>
        <v>0</v>
      </c>
      <c r="AN951" s="218"/>
      <c r="AO951" s="49"/>
      <c r="AP951" s="49"/>
      <c r="AQ951" s="84" t="str">
        <f>UPPER(RIGHT(Journal_Live[[#This Row],[DURATION ]]))</f>
        <v/>
      </c>
      <c r="AR951" s="49"/>
      <c r="AS951" s="55">
        <v>-0.21</v>
      </c>
      <c r="AT951" s="55">
        <f t="shared" si="372"/>
        <v>0</v>
      </c>
      <c r="AU951" s="54">
        <f t="shared" si="373"/>
        <v>0</v>
      </c>
      <c r="AV951" s="56">
        <f t="shared" si="377"/>
        <v>0</v>
      </c>
      <c r="AW951" s="57" t="s">
        <v>155</v>
      </c>
      <c r="AX951" s="153"/>
      <c r="AY951" s="153"/>
      <c r="AZ951" s="153"/>
      <c r="BA951" s="153"/>
      <c r="BB951" s="153"/>
      <c r="BC951" s="153"/>
      <c r="BD951" s="151"/>
      <c r="BE951" s="152"/>
      <c r="BF951" s="151"/>
      <c r="BG951" s="94">
        <f>SUM($AV$4:AV951)</f>
        <v>6746.2841708630449</v>
      </c>
      <c r="BH951" s="95">
        <f>SUM($AU$4:AU951)</f>
        <v>42259.223836163059</v>
      </c>
      <c r="BI951" s="80">
        <f>SUMIFS($AU$3:AU952,$Q$3:Q952,"F")</f>
        <v>28737.158121878128</v>
      </c>
      <c r="BJ951" s="80">
        <f>SUMIFS($AU$3:AU952,$Q$3:Q952,"S")</f>
        <v>18034.285714285717</v>
      </c>
      <c r="BK951" s="87">
        <f>SUMIFS($AU$3:AU952,$P$3:P952,"W")</f>
        <v>16470.223836163445</v>
      </c>
      <c r="BL951" s="87">
        <f>SUMIFS($AU$3:AU952,$P$3:P952,"R")</f>
        <v>22728.400000000325</v>
      </c>
      <c r="BM951" s="87">
        <f>SUMIFS($AU$3:AU952,$AQ$3:AQ952,"M")</f>
        <v>9243.1799999984214</v>
      </c>
      <c r="BN951" s="87">
        <f>SUMIFS($AU$3:AU952,$AQ$3:AQ952,"H")</f>
        <v>12283.200000000877</v>
      </c>
      <c r="BO951" s="87">
        <f>SUMIFS($AU$3:AU952,$AQ$3:AQ952,"D")</f>
        <v>11817.177472527181</v>
      </c>
      <c r="BP951" s="87">
        <f>SUMIFS($AS$3:AS1309,$AO$3:AO1309,"W")</f>
        <v>0</v>
      </c>
      <c r="BQ951" s="87">
        <f>SUMIFS($AU$3:AU952,$Q$3:Q952,"O")</f>
        <v>-9846.140000000747</v>
      </c>
      <c r="BR951" s="87">
        <f>SUMIFS($AU$3:AU952,$AA$3:AA952,"*")</f>
        <v>38654.402077921259</v>
      </c>
      <c r="BS951" s="87">
        <f>SUMIFS($AU$3:AU952,$AB$3:AB952,"*")</f>
        <v>7130.6599999997952</v>
      </c>
      <c r="BT951" s="87">
        <f>SUMIFS($AU$3:AU952,$AC$3:AC952,"*")</f>
        <v>31073.158121878121</v>
      </c>
      <c r="BU951" s="87">
        <f>SUMIFS($AU$3:AU952,$AA$3:AA952,"*",$AB$3:AB952,"*")</f>
        <v>7570.7999999995782</v>
      </c>
      <c r="BV951" s="87">
        <f>SUMIFS($AU$3:AU952,$AA$3:AA952,"*",$AC$3:AC952,"*")</f>
        <v>29198.116363636531</v>
      </c>
      <c r="BW951" s="87">
        <f>SUMIFS($AU$3:AU952,$AB$3:AB952,"*",$AC$3:AC952,"*")</f>
        <v>3863.9999999999991</v>
      </c>
      <c r="BX951" s="87">
        <f>SUMIFS($AV$3:AV952,$Q$3:Q952,"F")</f>
        <v>381.10137209488988</v>
      </c>
      <c r="BY951" s="87">
        <f>SUMIFS($AV$3:AV952,$Q$3:Q952,"S")</f>
        <v>769.94467523906087</v>
      </c>
      <c r="BZ951" s="87">
        <f>SUMIFS($AV$3:AV952,$Q$3:Q952,"O")</f>
        <v>329.29929999967487</v>
      </c>
    </row>
    <row r="952" spans="1:78" ht="15.75" customHeight="1">
      <c r="A952" s="45" t="s">
        <v>2792</v>
      </c>
      <c r="B952" s="59">
        <v>45489</v>
      </c>
      <c r="C952" s="46" t="s">
        <v>2847</v>
      </c>
      <c r="D952" s="46" t="s">
        <v>98</v>
      </c>
      <c r="E952" s="66"/>
      <c r="F952" s="47"/>
      <c r="G952" s="170" t="s">
        <v>2905</v>
      </c>
      <c r="H952" s="49"/>
      <c r="I952" s="49"/>
      <c r="J952" s="49"/>
      <c r="K952" s="50"/>
      <c r="L952" s="49"/>
      <c r="M952" s="49">
        <v>2</v>
      </c>
      <c r="N952" s="49"/>
      <c r="O952" s="50" t="s">
        <v>100</v>
      </c>
      <c r="P952" s="50" t="s">
        <v>101</v>
      </c>
      <c r="Q952" s="50" t="s">
        <v>127</v>
      </c>
      <c r="R952" s="50">
        <v>34</v>
      </c>
      <c r="S952" s="50">
        <v>0</v>
      </c>
      <c r="T952" s="50">
        <v>9</v>
      </c>
      <c r="U952" s="50" t="s">
        <v>22</v>
      </c>
      <c r="V952" s="50" t="s">
        <v>2906</v>
      </c>
      <c r="W952" s="50" t="s">
        <v>20</v>
      </c>
      <c r="X952" s="50"/>
      <c r="Y952" s="51">
        <f t="shared" si="378"/>
        <v>0.01</v>
      </c>
      <c r="Z952" s="52">
        <f t="shared" si="379"/>
        <v>1600</v>
      </c>
      <c r="AA952" s="52" t="s">
        <v>1889</v>
      </c>
      <c r="AB952" s="52"/>
      <c r="AC952" s="52" t="s">
        <v>2907</v>
      </c>
      <c r="AD952" s="231">
        <f>((-0.0038*26)+(-0.01*8))/34</f>
        <v>-5.2588235294117654E-3</v>
      </c>
      <c r="AE952" s="49"/>
      <c r="AF952" s="84"/>
      <c r="AG952" s="49"/>
      <c r="AH952" s="49" t="s">
        <v>2908</v>
      </c>
      <c r="AI952" s="49" t="s">
        <v>2909</v>
      </c>
      <c r="AJ952" s="226"/>
      <c r="AK952" s="49"/>
      <c r="AL952" s="113">
        <f>-0.02*Z952</f>
        <v>-32</v>
      </c>
      <c r="AM952" s="113">
        <f t="shared" si="367"/>
        <v>-1088</v>
      </c>
      <c r="AN952" s="97" t="s">
        <v>2910</v>
      </c>
      <c r="AO952" s="49" t="s">
        <v>2911</v>
      </c>
      <c r="AP952" s="49" t="s">
        <v>1912</v>
      </c>
      <c r="AQ952" s="84" t="s">
        <v>101</v>
      </c>
      <c r="AR952" s="74">
        <v>45502</v>
      </c>
      <c r="AS952" s="55">
        <f>((-0.02*22)+(-0.01*12))/34</f>
        <v>-1.6470588235294119E-2</v>
      </c>
      <c r="AT952" s="55">
        <f t="shared" si="372"/>
        <v>-1.1211764705882353E-2</v>
      </c>
      <c r="AU952" s="54">
        <f t="shared" si="373"/>
        <v>-609.92000000000007</v>
      </c>
      <c r="AV952" s="56">
        <f t="shared" si="377"/>
        <v>-17.938823529411767</v>
      </c>
      <c r="AW952" s="57" t="s">
        <v>121</v>
      </c>
      <c r="AX952" s="153" t="s">
        <v>2912</v>
      </c>
      <c r="AY952" s="153" t="s">
        <v>2913</v>
      </c>
      <c r="AZ952" s="153" t="s">
        <v>2914</v>
      </c>
      <c r="BA952" s="153"/>
      <c r="BB952" s="153"/>
      <c r="BC952" s="153"/>
      <c r="BD952" s="151"/>
      <c r="BE952" s="152"/>
      <c r="BF952" s="151"/>
      <c r="BG952" s="94">
        <f>SUM($AV$4:AV952)</f>
        <v>6728.3453473336331</v>
      </c>
      <c r="BH952" s="95">
        <f>SUM($AU$4:AU952)</f>
        <v>41649.303836163061</v>
      </c>
      <c r="BI952" s="80">
        <f>SUMIFS($AU$3:AU953,$Q$3:Q953,"F")</f>
        <v>28468.358121878129</v>
      </c>
      <c r="BJ952" s="80">
        <f>SUMIFS($AU$3:AU953,$Q$3:Q953,"S")</f>
        <v>18034.285714285717</v>
      </c>
      <c r="BK952" s="87">
        <f>SUMIFS($AU$3:AU953,$P$3:P953,"W")</f>
        <v>16201.423836163443</v>
      </c>
      <c r="BL952" s="87">
        <f>SUMIFS($AU$3:AU953,$P$3:P953,"R")</f>
        <v>22728.400000000325</v>
      </c>
      <c r="BM952" s="87">
        <f>SUMIFS($AU$3:AU953,$AQ$3:AQ953,"M")</f>
        <v>9243.1799999984214</v>
      </c>
      <c r="BN952" s="87">
        <f>SUMIFS($AU$3:AU953,$AQ$3:AQ953,"H")</f>
        <v>12283.200000000877</v>
      </c>
      <c r="BO952" s="87">
        <f>SUMIFS($AU$3:AU953,$AQ$3:AQ953,"D")</f>
        <v>11817.177472527181</v>
      </c>
      <c r="BP952" s="87">
        <f>SUMIFS($AS$3:AS1310,$AO$3:AO1310,"W")</f>
        <v>0</v>
      </c>
      <c r="BQ952" s="87">
        <f>SUMIFS($AU$3:AU953,$Q$3:Q953,"O")</f>
        <v>-9846.140000000747</v>
      </c>
      <c r="BR952" s="87">
        <f>SUMIFS($AU$3:AU953,$AA$3:AA953,"*")</f>
        <v>38385.602077921256</v>
      </c>
      <c r="BS952" s="87">
        <f>SUMIFS($AU$3:AU953,$AB$3:AB953,"*")</f>
        <v>6861.8599999997941</v>
      </c>
      <c r="BT952" s="87">
        <f>SUMIFS($AU$3:AU953,$AC$3:AC953,"*")</f>
        <v>30804.358121878122</v>
      </c>
      <c r="BU952" s="87">
        <f>SUMIFS($AU$3:AU953,$AA$3:AA953,"*",$AB$3:AB953,"*")</f>
        <v>7301.9999999995771</v>
      </c>
      <c r="BV952" s="87">
        <f>SUMIFS($AU$3:AU953,$AA$3:AA953,"*",$AC$3:AC953,"*")</f>
        <v>28929.316363636532</v>
      </c>
      <c r="BW952" s="87">
        <f>SUMIFS($AU$3:AU953,$AB$3:AB953,"*",$AC$3:AC953,"*")</f>
        <v>3595.199999999998</v>
      </c>
      <c r="BX952" s="87">
        <f>SUMIFS($AV$3:AV953,$Q$3:Q953,"F")</f>
        <v>371.14581653933431</v>
      </c>
      <c r="BY952" s="87">
        <f>SUMIFS($AV$3:AV953,$Q$3:Q953,"S")</f>
        <v>769.94467523906087</v>
      </c>
      <c r="BZ952" s="87">
        <f>SUMIFS($AV$3:AV953,$Q$3:Q953,"O")</f>
        <v>329.29929999967487</v>
      </c>
    </row>
    <row r="953" spans="1:78" ht="15.75" customHeight="1">
      <c r="A953" s="45" t="s">
        <v>2792</v>
      </c>
      <c r="B953" s="59">
        <v>45459</v>
      </c>
      <c r="C953" s="46" t="s">
        <v>179</v>
      </c>
      <c r="D953" s="46" t="s">
        <v>98</v>
      </c>
      <c r="E953" s="66"/>
      <c r="F953" s="47"/>
      <c r="G953" s="104" t="s">
        <v>2915</v>
      </c>
      <c r="H953" s="49"/>
      <c r="I953" s="49"/>
      <c r="J953" s="49"/>
      <c r="K953" s="50"/>
      <c r="L953" s="49">
        <v>1</v>
      </c>
      <c r="M953" s="49">
        <v>2</v>
      </c>
      <c r="N953" s="49"/>
      <c r="O953" s="50" t="s">
        <v>100</v>
      </c>
      <c r="P953" s="50" t="s">
        <v>101</v>
      </c>
      <c r="Q953" s="50" t="s">
        <v>127</v>
      </c>
      <c r="R953" s="50">
        <v>27</v>
      </c>
      <c r="S953" s="50">
        <v>16</v>
      </c>
      <c r="T953" s="50">
        <v>16</v>
      </c>
      <c r="U953" s="50" t="s">
        <v>22</v>
      </c>
      <c r="V953" s="50" t="s">
        <v>2906</v>
      </c>
      <c r="W953" s="50" t="s">
        <v>2916</v>
      </c>
      <c r="X953" s="50"/>
      <c r="Y953" s="51">
        <f t="shared" si="378"/>
        <v>0.01</v>
      </c>
      <c r="Z953" s="52">
        <f t="shared" si="379"/>
        <v>1600</v>
      </c>
      <c r="AA953" s="52" t="s">
        <v>2917</v>
      </c>
      <c r="AB953" s="52" t="s">
        <v>2918</v>
      </c>
      <c r="AC953" s="52" t="s">
        <v>2919</v>
      </c>
      <c r="AD953" s="231">
        <f>-0.416+0.44</f>
        <v>2.4000000000000021E-2</v>
      </c>
      <c r="AE953" s="49"/>
      <c r="AF953" s="84"/>
      <c r="AG953" s="49"/>
      <c r="AH953" s="49">
        <v>4</v>
      </c>
      <c r="AI953" s="49"/>
      <c r="AJ953" s="226" t="s">
        <v>2920</v>
      </c>
      <c r="AK953" s="49"/>
      <c r="AL953" s="113">
        <f t="shared" si="376"/>
        <v>-32</v>
      </c>
      <c r="AM953" s="113">
        <f t="shared" si="367"/>
        <v>-352</v>
      </c>
      <c r="AN953" s="218" t="s">
        <v>2921</v>
      </c>
      <c r="AO953" s="49" t="s">
        <v>2922</v>
      </c>
      <c r="AP953" s="49" t="s">
        <v>1912</v>
      </c>
      <c r="AQ953" s="84" t="s">
        <v>101</v>
      </c>
      <c r="AR953" s="74">
        <v>45502</v>
      </c>
      <c r="AS953" s="55">
        <f>((0.03*16)+(0*11))/27</f>
        <v>1.7777777777777778E-2</v>
      </c>
      <c r="AT953" s="55">
        <f t="shared" si="372"/>
        <v>-6.2222222222222436E-3</v>
      </c>
      <c r="AU953" s="54">
        <f t="shared" si="373"/>
        <v>-268.80000000000092</v>
      </c>
      <c r="AV953" s="56">
        <f t="shared" si="377"/>
        <v>-9.9555555555555895</v>
      </c>
      <c r="AW953" s="57" t="s">
        <v>121</v>
      </c>
      <c r="AX953" s="153"/>
      <c r="AY953" s="153"/>
      <c r="AZ953" s="153"/>
      <c r="BA953" s="153"/>
      <c r="BB953" s="153"/>
      <c r="BC953" s="153"/>
      <c r="BD953" s="151"/>
      <c r="BE953" s="152"/>
      <c r="BF953" s="151"/>
      <c r="BG953" s="94">
        <f>SUM($AV$4:AV953)</f>
        <v>6718.3897917780778</v>
      </c>
      <c r="BH953" s="95">
        <f>SUM($AU$4:AU953)</f>
        <v>41380.503836163058</v>
      </c>
      <c r="BI953" s="80">
        <f>SUMIFS($AU$3:AU954,$Q$3:Q954,"F")</f>
        <v>28468.358121878129</v>
      </c>
      <c r="BJ953" s="80">
        <f>SUMIFS($AU$3:AU954,$Q$3:Q954,"S")</f>
        <v>17570.285714285717</v>
      </c>
      <c r="BK953" s="87">
        <f>SUMIFS($AU$3:AU954,$P$3:P954,"W")</f>
        <v>15737.423836163443</v>
      </c>
      <c r="BL953" s="87">
        <f>SUMIFS($AU$3:AU954,$P$3:P954,"R")</f>
        <v>22728.400000000325</v>
      </c>
      <c r="BM953" s="87">
        <f>SUMIFS($AU$3:AU954,$AQ$3:AQ954,"M")</f>
        <v>9243.1799999984214</v>
      </c>
      <c r="BN953" s="87">
        <f>SUMIFS($AU$3:AU954,$AQ$3:AQ954,"H")</f>
        <v>11819.200000000877</v>
      </c>
      <c r="BO953" s="87">
        <f>SUMIFS($AU$3:AU954,$AQ$3:AQ954,"D")</f>
        <v>11817.177472527181</v>
      </c>
      <c r="BP953" s="87">
        <f>SUMIFS($AS$3:AS1311,$AO$3:AO1311,"W")</f>
        <v>0</v>
      </c>
      <c r="BQ953" s="87">
        <f>SUMIFS($AU$3:AU954,$Q$3:Q954,"O")</f>
        <v>-9846.140000000747</v>
      </c>
      <c r="BR953" s="87">
        <f>SUMIFS($AU$3:AU954,$AA$3:AA954,"*")</f>
        <v>37921.602077921256</v>
      </c>
      <c r="BS953" s="87">
        <f>SUMIFS($AU$3:AU954,$AB$3:AB954,"*")</f>
        <v>6861.8599999997941</v>
      </c>
      <c r="BT953" s="87">
        <f>SUMIFS($AU$3:AU954,$AC$3:AC954,"*")</f>
        <v>30804.358121878122</v>
      </c>
      <c r="BU953" s="87">
        <f>SUMIFS($AU$3:AU954,$AA$3:AA954,"*",$AB$3:AB954,"*")</f>
        <v>7301.9999999995771</v>
      </c>
      <c r="BV953" s="87">
        <f>SUMIFS($AU$3:AU954,$AA$3:AA954,"*",$AC$3:AC954,"*")</f>
        <v>28929.316363636532</v>
      </c>
      <c r="BW953" s="87">
        <f>SUMIFS($AU$3:AU954,$AB$3:AB954,"*",$AC$3:AC954,"*")</f>
        <v>3595.199999999998</v>
      </c>
      <c r="BX953" s="87">
        <f>SUMIFS($AV$3:AV954,$Q$3:Q954,"F")</f>
        <v>371.14581653933431</v>
      </c>
      <c r="BY953" s="87">
        <f>SUMIFS($AV$3:AV954,$Q$3:Q954,"S")</f>
        <v>727.76285705724263</v>
      </c>
      <c r="BZ953" s="87">
        <f>SUMIFS($AV$3:AV954,$Q$3:Q954,"O")</f>
        <v>329.29929999967487</v>
      </c>
    </row>
    <row r="954" spans="1:78" ht="15.75" customHeight="1">
      <c r="A954" s="45" t="s">
        <v>2792</v>
      </c>
      <c r="B954" s="59">
        <v>45459</v>
      </c>
      <c r="C954" s="46" t="s">
        <v>179</v>
      </c>
      <c r="D954" s="46" t="s">
        <v>98</v>
      </c>
      <c r="E954" s="66"/>
      <c r="F954" s="47"/>
      <c r="G954" s="155" t="s">
        <v>2923</v>
      </c>
      <c r="H954" s="49"/>
      <c r="I954" s="49"/>
      <c r="J954" s="49"/>
      <c r="K954" s="50"/>
      <c r="L954" s="49">
        <v>1</v>
      </c>
      <c r="M954" s="49">
        <v>2</v>
      </c>
      <c r="N954" s="49"/>
      <c r="O954" s="50" t="s">
        <v>100</v>
      </c>
      <c r="P954" s="50" t="s">
        <v>101</v>
      </c>
      <c r="Q954" s="50" t="s">
        <v>102</v>
      </c>
      <c r="R954" s="50">
        <v>11</v>
      </c>
      <c r="S954" s="50">
        <v>4</v>
      </c>
      <c r="T954" s="50">
        <v>11</v>
      </c>
      <c r="U954" s="50" t="s">
        <v>22</v>
      </c>
      <c r="V954" s="50" t="s">
        <v>2898</v>
      </c>
      <c r="W954" s="50" t="s">
        <v>22</v>
      </c>
      <c r="X954" s="50"/>
      <c r="Y954" s="51">
        <f t="shared" si="378"/>
        <v>0.01</v>
      </c>
      <c r="Z954" s="52">
        <f t="shared" si="379"/>
        <v>1600</v>
      </c>
      <c r="AA954" s="52" t="s">
        <v>2917</v>
      </c>
      <c r="AB954" s="52"/>
      <c r="AC954" s="52"/>
      <c r="AD954" s="231">
        <v>-0.41</v>
      </c>
      <c r="AE954" s="49"/>
      <c r="AF954" s="84"/>
      <c r="AG954" s="49"/>
      <c r="AH954" s="49"/>
      <c r="AI954" s="49" t="s">
        <v>2924</v>
      </c>
      <c r="AJ954" s="226" t="s">
        <v>2925</v>
      </c>
      <c r="AK954" s="49"/>
      <c r="AL954" s="113">
        <f t="shared" si="374"/>
        <v>-32</v>
      </c>
      <c r="AM954" s="113">
        <f t="shared" si="367"/>
        <v>-224</v>
      </c>
      <c r="AN954" s="218"/>
      <c r="AO954" s="49"/>
      <c r="AP954" s="49"/>
      <c r="AQ954" s="84" t="s">
        <v>142</v>
      </c>
      <c r="AR954" s="49"/>
      <c r="AS954" s="55">
        <f>((-0.43*4)+(-0.44*7))/11</f>
        <v>-0.43636363636363634</v>
      </c>
      <c r="AT954" s="55">
        <f t="shared" si="372"/>
        <v>-2.6363636363636367E-2</v>
      </c>
      <c r="AU954" s="54">
        <f t="shared" si="373"/>
        <v>-464.00000000000006</v>
      </c>
      <c r="AV954" s="56">
        <f t="shared" si="375"/>
        <v>-42.181818181818187</v>
      </c>
      <c r="AW954" s="57" t="s">
        <v>121</v>
      </c>
      <c r="AX954" s="153" t="s">
        <v>2926</v>
      </c>
      <c r="AY954" s="153" t="s">
        <v>2927</v>
      </c>
      <c r="AZ954" s="153"/>
      <c r="BA954" s="153"/>
      <c r="BB954" s="153"/>
      <c r="BC954" s="153"/>
      <c r="BD954" s="151"/>
      <c r="BE954" s="152"/>
      <c r="BF954" s="151"/>
      <c r="BG954" s="94">
        <f>SUM($AV$4:AV954)</f>
        <v>6676.2079735962598</v>
      </c>
      <c r="BH954" s="95">
        <f>SUM($AU$4:AU954)</f>
        <v>40916.503836163058</v>
      </c>
      <c r="BI954" s="80">
        <f>SUMIFS($AU$3:AU955,$Q$3:Q955,"F")</f>
        <v>29380.358121878129</v>
      </c>
      <c r="BJ954" s="80">
        <f>SUMIFS($AU$3:AU955,$Q$3:Q955,"S")</f>
        <v>17570.285714285717</v>
      </c>
      <c r="BK954" s="87">
        <f>SUMIFS($AU$3:AU955,$P$3:P955,"W")</f>
        <v>15737.423836163443</v>
      </c>
      <c r="BL954" s="87">
        <f>SUMIFS($AU$3:AU955,$P$3:P955,"R")</f>
        <v>23640.400000000325</v>
      </c>
      <c r="BM954" s="87">
        <f>SUMIFS($AU$3:AU955,$AQ$3:AQ955,"M")</f>
        <v>9243.1799999984214</v>
      </c>
      <c r="BN954" s="87">
        <f>SUMIFS($AU$3:AU955,$AQ$3:AQ955,"H")</f>
        <v>11819.200000000877</v>
      </c>
      <c r="BO954" s="87">
        <f>SUMIFS($AU$3:AU955,$AQ$3:AQ955,"D")</f>
        <v>11817.177472527181</v>
      </c>
      <c r="BP954" s="87">
        <f>SUMIFS($AS$3:AS1312,$AO$3:AO1312,"W")</f>
        <v>0</v>
      </c>
      <c r="BQ954" s="87">
        <f>SUMIFS($AU$3:AU955,$Q$3:Q955,"O")</f>
        <v>-9846.140000000747</v>
      </c>
      <c r="BR954" s="87">
        <f>SUMIFS($AU$3:AU955,$AA$3:AA955,"*")</f>
        <v>38833.602077921256</v>
      </c>
      <c r="BS954" s="87">
        <f>SUMIFS($AU$3:AU955,$AB$3:AB955,"*")</f>
        <v>6861.8599999997941</v>
      </c>
      <c r="BT954" s="87">
        <f>SUMIFS($AU$3:AU955,$AC$3:AC955,"*")</f>
        <v>31716.358121878122</v>
      </c>
      <c r="BU954" s="87">
        <f>SUMIFS($AU$3:AU955,$AA$3:AA955,"*",$AB$3:AB955,"*")</f>
        <v>7301.9999999995771</v>
      </c>
      <c r="BV954" s="87">
        <f>SUMIFS($AU$3:AU955,$AA$3:AA955,"*",$AC$3:AC955,"*")</f>
        <v>29841.316363636532</v>
      </c>
      <c r="BW954" s="87">
        <f>SUMIFS($AU$3:AU955,$AB$3:AB955,"*",$AC$3:AC955,"*")</f>
        <v>3595.199999999998</v>
      </c>
      <c r="BX954" s="87">
        <f>SUMIFS($AV$3:AV955,$Q$3:Q955,"F")</f>
        <v>387.43153082504858</v>
      </c>
      <c r="BY954" s="87">
        <f>SUMIFS($AV$3:AV955,$Q$3:Q955,"S")</f>
        <v>727.76285705724263</v>
      </c>
      <c r="BZ954" s="87">
        <f>SUMIFS($AV$3:AV955,$Q$3:Q955,"O")</f>
        <v>329.29929999967487</v>
      </c>
    </row>
    <row r="955" spans="1:78" ht="15.75" customHeight="1">
      <c r="A955" s="45" t="s">
        <v>2792</v>
      </c>
      <c r="B955" s="59">
        <v>45459</v>
      </c>
      <c r="C955" s="46" t="s">
        <v>2928</v>
      </c>
      <c r="D955" s="46" t="s">
        <v>98</v>
      </c>
      <c r="E955" s="66"/>
      <c r="F955" s="47"/>
      <c r="G955" s="155" t="s">
        <v>2929</v>
      </c>
      <c r="H955" s="49"/>
      <c r="I955" s="49"/>
      <c r="J955" s="49"/>
      <c r="K955" s="50"/>
      <c r="L955" s="49"/>
      <c r="M955" s="49">
        <v>1</v>
      </c>
      <c r="N955" s="49"/>
      <c r="O955" s="50" t="s">
        <v>100</v>
      </c>
      <c r="P955" s="50" t="s">
        <v>126</v>
      </c>
      <c r="Q955" s="50" t="s">
        <v>127</v>
      </c>
      <c r="R955" s="50">
        <v>56</v>
      </c>
      <c r="S955" s="50">
        <v>56</v>
      </c>
      <c r="T955" s="50">
        <v>27</v>
      </c>
      <c r="U955" s="50" t="s">
        <v>22</v>
      </c>
      <c r="V955" s="50" t="s">
        <v>2906</v>
      </c>
      <c r="W955" s="50" t="s">
        <v>2916</v>
      </c>
      <c r="X955" s="50"/>
      <c r="Y955" s="51">
        <f t="shared" si="378"/>
        <v>0.01</v>
      </c>
      <c r="Z955" s="52">
        <f t="shared" si="379"/>
        <v>1600</v>
      </c>
      <c r="AA955" s="52" t="s">
        <v>2930</v>
      </c>
      <c r="AB955" s="52"/>
      <c r="AC955" s="52" t="s">
        <v>2931</v>
      </c>
      <c r="AD955" s="231">
        <f>((-0.055*54)+(-0.05*18))/72</f>
        <v>-5.3749999999999999E-2</v>
      </c>
      <c r="AE955" s="49"/>
      <c r="AF955" s="84"/>
      <c r="AG955" s="49"/>
      <c r="AH955" s="49" t="s">
        <v>2932</v>
      </c>
      <c r="AI955" s="49"/>
      <c r="AJ955" s="226" t="s">
        <v>2933</v>
      </c>
      <c r="AK955" s="49"/>
      <c r="AL955" s="113">
        <f>-0.01*Z955</f>
        <v>-16</v>
      </c>
      <c r="AM955" s="113">
        <f t="shared" si="367"/>
        <v>0</v>
      </c>
      <c r="AN955" s="218"/>
      <c r="AO955" s="49"/>
      <c r="AP955" s="49"/>
      <c r="AQ955" s="84" t="s">
        <v>101</v>
      </c>
      <c r="AR955" s="49" t="s">
        <v>2934</v>
      </c>
      <c r="AS955" s="55">
        <f>((-0.05*20)+(-0.04*36))/56</f>
        <v>-4.3571428571428573E-2</v>
      </c>
      <c r="AT955" s="55">
        <f t="shared" si="372"/>
        <v>1.0178571428571426E-2</v>
      </c>
      <c r="AU955" s="54">
        <f t="shared" si="373"/>
        <v>911.99999999999977</v>
      </c>
      <c r="AV955" s="56">
        <f t="shared" si="375"/>
        <v>16.285714285714281</v>
      </c>
      <c r="AW955" s="57" t="s">
        <v>101</v>
      </c>
      <c r="AX955" s="153" t="s">
        <v>2935</v>
      </c>
      <c r="AY955" s="153"/>
      <c r="AZ955" s="153"/>
      <c r="BA955" s="153"/>
      <c r="BB955" s="153"/>
      <c r="BC955" s="153"/>
      <c r="BD955" s="151"/>
      <c r="BE955" s="152"/>
      <c r="BF955" s="151"/>
      <c r="BG955" s="94">
        <f>SUM($AV$4:AV955)</f>
        <v>6692.4936878819744</v>
      </c>
      <c r="BH955" s="95">
        <f>SUM($AU$4:AU955)</f>
        <v>41828.503836163058</v>
      </c>
      <c r="BI955" s="80">
        <f>SUMIFS($AU$3:AU975,$Q$3:Q975,"F")</f>
        <v>29584.358121878129</v>
      </c>
      <c r="BJ955" s="80">
        <f>SUMIFS($AU$3:AU975,$Q$3:Q975,"S")</f>
        <v>18290.285714285717</v>
      </c>
      <c r="BK955" s="87">
        <f>SUMIFS($AU$3:AU975,$P$3:P975,"W")</f>
        <v>16085.423836163443</v>
      </c>
      <c r="BL955" s="87">
        <f>SUMIFS($AU$3:AU975,$P$3:P975,"R")</f>
        <v>24216.400000000325</v>
      </c>
      <c r="BM955" s="87">
        <f>SUMIFS($AU$3:AU975,$AQ$3:AQ975,"M")</f>
        <v>9283.179999998385</v>
      </c>
      <c r="BN955" s="87">
        <f>SUMIFS($AU$3:AU975,$AQ$3:AQ975,"H")</f>
        <v>12539.200000000877</v>
      </c>
      <c r="BO955" s="87">
        <f>SUMIFS($AU$3:AU975,$AQ$3:AQ975,"D")</f>
        <v>12021.177472527181</v>
      </c>
      <c r="BP955" s="87">
        <f>SUMIFS($AS$3:AS1313,$AO$3:AO1313,"W")</f>
        <v>0</v>
      </c>
      <c r="BQ955" s="87">
        <f>SUMIFS($AU$3:AU975,$Q$3:Q975,"O")</f>
        <v>-9806.1400000007834</v>
      </c>
      <c r="BR955" s="87">
        <f>SUMIFS($AU$3:AU975,$AA$3:AA975,"*")</f>
        <v>39653.602077921219</v>
      </c>
      <c r="BS955" s="87">
        <f>SUMIFS($AU$3:AU975,$AB$3:AB975,"*")</f>
        <v>7005.8599999997941</v>
      </c>
      <c r="BT955" s="87">
        <f>SUMIFS($AU$3:AU975,$AC$3:AC975,"*")</f>
        <v>31920.358121878122</v>
      </c>
      <c r="BU955" s="87">
        <f>SUMIFS($AU$3:AU975,$AA$3:AA975,"*",$AB$3:AB975,"*")</f>
        <v>7301.9999999995771</v>
      </c>
      <c r="BV955" s="87">
        <f>SUMIFS($AU$3:AU975,$AA$3:AA975,"*",$AC$3:AC975,"*")</f>
        <v>29901.316363636532</v>
      </c>
      <c r="BW955" s="87">
        <f>SUMIFS($AU$3:AU975,$AB$3:AB975,"*",$AC$3:AC975,"*")</f>
        <v>3739.199999999998</v>
      </c>
      <c r="BX955" s="87">
        <f>SUMIFS($AV$3:AV975,$Q$3:Q975,"F")</f>
        <v>409.43153082504858</v>
      </c>
      <c r="BY955" s="87">
        <f>SUMIFS($AV$3:AV975,$Q$3:Q975,"S")</f>
        <v>759.76285705724263</v>
      </c>
      <c r="BZ955" s="87">
        <f>SUMIFS($AV$3:AV975,$Q$3:Q975,"O")</f>
        <v>349.29929999965668</v>
      </c>
    </row>
    <row r="956" spans="1:78" ht="15.75" customHeight="1">
      <c r="A956" s="45" t="s">
        <v>2792</v>
      </c>
      <c r="B956" s="59">
        <v>45459</v>
      </c>
      <c r="C956" s="46" t="s">
        <v>1195</v>
      </c>
      <c r="D956" s="46" t="s">
        <v>98</v>
      </c>
      <c r="E956" s="66"/>
      <c r="F956" s="47"/>
      <c r="G956" s="48" t="s">
        <v>2686</v>
      </c>
      <c r="H956" s="49"/>
      <c r="I956" s="49"/>
      <c r="J956" s="49"/>
      <c r="K956" s="50"/>
      <c r="L956" s="49"/>
      <c r="M956" s="49">
        <v>1</v>
      </c>
      <c r="N956" s="49"/>
      <c r="O956" s="50" t="s">
        <v>100</v>
      </c>
      <c r="P956" s="50" t="s">
        <v>101</v>
      </c>
      <c r="Q956" s="50" t="s">
        <v>102</v>
      </c>
      <c r="R956" s="50">
        <v>18</v>
      </c>
      <c r="S956" s="50">
        <v>0</v>
      </c>
      <c r="T956" s="50">
        <v>18</v>
      </c>
      <c r="U956" s="50" t="s">
        <v>22</v>
      </c>
      <c r="V956" s="50"/>
      <c r="W956" s="50"/>
      <c r="X956" s="50"/>
      <c r="Y956" s="51">
        <f t="shared" si="378"/>
        <v>0.01</v>
      </c>
      <c r="Z956" s="52">
        <f t="shared" si="379"/>
        <v>1600</v>
      </c>
      <c r="AA956" s="52" t="s">
        <v>768</v>
      </c>
      <c r="AB956" s="52"/>
      <c r="AC956" s="52"/>
      <c r="AD956" s="231">
        <v>-0.24</v>
      </c>
      <c r="AE956" s="49"/>
      <c r="AF956" s="84"/>
      <c r="AG956" s="49"/>
      <c r="AH956" s="49"/>
      <c r="AI956" s="49"/>
      <c r="AJ956" s="226"/>
      <c r="AK956" s="49"/>
      <c r="AL956" s="113">
        <f t="shared" ref="AL956:AL974" si="380">-0.02*Z956</f>
        <v>-32</v>
      </c>
      <c r="AM956" s="113">
        <f t="shared" si="367"/>
        <v>-576</v>
      </c>
      <c r="AN956" s="218"/>
      <c r="AO956" s="49"/>
      <c r="AP956" s="49"/>
      <c r="AQ956" s="84" t="s">
        <v>350</v>
      </c>
      <c r="AR956" s="49"/>
      <c r="AS956" s="55">
        <v>-0.24</v>
      </c>
      <c r="AT956" s="55">
        <f t="shared" si="372"/>
        <v>0</v>
      </c>
      <c r="AU956" s="54">
        <f t="shared" si="373"/>
        <v>0</v>
      </c>
      <c r="AV956" s="56">
        <f t="shared" ref="AV956:AV992" si="381">IF(ISBLANK(AS956),,(AT956*Z956))</f>
        <v>0</v>
      </c>
      <c r="AW956" s="57" t="s">
        <v>155</v>
      </c>
      <c r="AX956" s="153" t="s">
        <v>2936</v>
      </c>
      <c r="AY956" s="153"/>
      <c r="AZ956" s="153"/>
      <c r="BA956" s="153"/>
      <c r="BB956" s="153"/>
      <c r="BC956" s="153"/>
      <c r="BD956" s="151"/>
      <c r="BE956" s="152"/>
      <c r="BF956" s="151"/>
      <c r="BG956" s="94">
        <f>SUM($AV$4:AV956)</f>
        <v>6692.4936878819744</v>
      </c>
      <c r="BH956" s="95">
        <f>SUM($AU$4:AU956)</f>
        <v>41828.503836163058</v>
      </c>
      <c r="BI956" s="80">
        <f>SUMIFS($AU$3:AU957,$Q$3:Q957,"F")</f>
        <v>29524.358121878129</v>
      </c>
      <c r="BJ956" s="80">
        <f>SUMIFS($AU$3:AU957,$Q$3:Q957,"S")</f>
        <v>17570.285714285717</v>
      </c>
      <c r="BK956" s="87">
        <f>SUMIFS($AU$3:AU957,$P$3:P957,"W")</f>
        <v>15881.423836163443</v>
      </c>
      <c r="BL956" s="87">
        <f>SUMIFS($AU$3:AU957,$P$3:P957,"R")</f>
        <v>23640.400000000325</v>
      </c>
      <c r="BM956" s="87">
        <f>SUMIFS($AU$3:AU957,$AQ$3:AQ957,"M")</f>
        <v>9243.1799999984214</v>
      </c>
      <c r="BN956" s="87">
        <f>SUMIFS($AU$3:AU957,$AQ$3:AQ957,"H")</f>
        <v>11819.200000000877</v>
      </c>
      <c r="BO956" s="87">
        <f>SUMIFS($AU$3:AU957,$AQ$3:AQ957,"D")</f>
        <v>11961.177472527181</v>
      </c>
      <c r="BP956" s="87">
        <f>SUMIFS($AS$3:AS1310,$AO$3:AO1310,"W")</f>
        <v>0</v>
      </c>
      <c r="BQ956" s="87">
        <f>SUMIFS($AU$3:AU957,$Q$3:Q957,"O")</f>
        <v>-9846.140000000747</v>
      </c>
      <c r="BR956" s="87">
        <f>SUMIFS($AU$3:AU957,$AA$3:AA957,"*")</f>
        <v>38833.602077921256</v>
      </c>
      <c r="BS956" s="87">
        <f>SUMIFS($AU$3:AU957,$AB$3:AB957,"*")</f>
        <v>7005.8599999997941</v>
      </c>
      <c r="BT956" s="87">
        <f>SUMIFS($AU$3:AU957,$AC$3:AC957,"*")</f>
        <v>31860.358121878122</v>
      </c>
      <c r="BU956" s="87">
        <f>SUMIFS($AU$3:AU957,$AA$3:AA957,"*",$AB$3:AB957,"*")</f>
        <v>7301.9999999995771</v>
      </c>
      <c r="BV956" s="87">
        <f>SUMIFS($AU$3:AU957,$AA$3:AA957,"*",$AC$3:AC957,"*")</f>
        <v>29841.316363636532</v>
      </c>
      <c r="BW956" s="87">
        <f>SUMIFS($AU$3:AU957,$AB$3:AB957,"*",$AC$3:AC957,"*")</f>
        <v>3739.199999999998</v>
      </c>
      <c r="BX956" s="87">
        <f>SUMIFS($AV$3:AV957,$Q$3:Q957,"F")</f>
        <v>403.43153082504858</v>
      </c>
      <c r="BY956" s="87">
        <f>SUMIFS($AV$3:AV957,$Q$3:Q957,"S")</f>
        <v>727.76285705724263</v>
      </c>
      <c r="BZ956" s="87">
        <f>SUMIFS($AV$3:AV957,$Q$3:Q957,"O")</f>
        <v>329.29929999967487</v>
      </c>
    </row>
    <row r="957" spans="1:78" ht="15.75" customHeight="1">
      <c r="A957" s="45" t="s">
        <v>2792</v>
      </c>
      <c r="B957" s="59">
        <v>45459</v>
      </c>
      <c r="C957" s="46" t="s">
        <v>2937</v>
      </c>
      <c r="D957" s="46" t="s">
        <v>98</v>
      </c>
      <c r="E957" s="66"/>
      <c r="F957" s="47"/>
      <c r="G957" s="155" t="s">
        <v>1756</v>
      </c>
      <c r="H957" s="49"/>
      <c r="I957" s="49"/>
      <c r="J957" s="49"/>
      <c r="K957" s="50"/>
      <c r="L957" s="49"/>
      <c r="M957" s="49">
        <v>1</v>
      </c>
      <c r="N957" s="49"/>
      <c r="O957" s="50" t="s">
        <v>100</v>
      </c>
      <c r="P957" s="50" t="s">
        <v>101</v>
      </c>
      <c r="Q957" s="50" t="s">
        <v>127</v>
      </c>
      <c r="R957" s="50">
        <v>9</v>
      </c>
      <c r="S957" s="50">
        <v>0</v>
      </c>
      <c r="T957" s="50">
        <v>9</v>
      </c>
      <c r="U957" s="50" t="s">
        <v>102</v>
      </c>
      <c r="V957" s="50" t="s">
        <v>2906</v>
      </c>
      <c r="W957" s="50" t="s">
        <v>155</v>
      </c>
      <c r="X957" s="50"/>
      <c r="Y957" s="51">
        <f t="shared" si="378"/>
        <v>0.01</v>
      </c>
      <c r="Z957" s="52">
        <f t="shared" si="379"/>
        <v>1600</v>
      </c>
      <c r="AA957" s="52"/>
      <c r="AB957" s="52" t="s">
        <v>2938</v>
      </c>
      <c r="AC957" s="52" t="s">
        <v>2939</v>
      </c>
      <c r="AD957" s="231">
        <v>-0.01</v>
      </c>
      <c r="AE957" s="49"/>
      <c r="AF957" s="84"/>
      <c r="AG957" s="49"/>
      <c r="AH957" s="49" t="s">
        <v>2940</v>
      </c>
      <c r="AI957" s="49"/>
      <c r="AJ957" s="226"/>
      <c r="AK957" s="49"/>
      <c r="AL957" s="113">
        <f t="shared" si="380"/>
        <v>-32</v>
      </c>
      <c r="AM957" s="113">
        <f t="shared" si="367"/>
        <v>-288</v>
      </c>
      <c r="AN957" s="218"/>
      <c r="AO957" s="49"/>
      <c r="AP957" s="49"/>
      <c r="AQ957" s="84" t="s">
        <v>155</v>
      </c>
      <c r="AR957" s="74">
        <v>45492</v>
      </c>
      <c r="AS957" s="55">
        <v>-0.02</v>
      </c>
      <c r="AT957" s="55">
        <f t="shared" si="372"/>
        <v>0.01</v>
      </c>
      <c r="AU957" s="54">
        <f t="shared" si="373"/>
        <v>144</v>
      </c>
      <c r="AV957" s="56">
        <f t="shared" si="381"/>
        <v>16</v>
      </c>
      <c r="AW957" s="57" t="s">
        <v>101</v>
      </c>
      <c r="AX957" s="153"/>
      <c r="AY957" s="153"/>
      <c r="AZ957" s="153"/>
      <c r="BA957" s="153"/>
      <c r="BB957" s="153"/>
      <c r="BC957" s="153"/>
      <c r="BD957" s="151"/>
      <c r="BE957" s="152"/>
      <c r="BF957" s="151"/>
      <c r="BG957" s="94">
        <f>SUM($AV$4:AV957)</f>
        <v>6708.4936878819744</v>
      </c>
      <c r="BH957" s="95">
        <f>SUM($AU$4:AU957)</f>
        <v>41972.503836163058</v>
      </c>
      <c r="BI957" s="80">
        <f>SUMIFS($AU$3:AU964,$Q$3:Q964,"F")</f>
        <v>29524.358121878129</v>
      </c>
      <c r="BJ957" s="80">
        <f>SUMIFS($AU$3:AU964,$Q$3:Q964,"S")</f>
        <v>17570.285714285717</v>
      </c>
      <c r="BK957" s="87">
        <f>SUMIFS($AU$3:AU964,$P$3:P964,"W")</f>
        <v>15881.423836163443</v>
      </c>
      <c r="BL957" s="87">
        <f>SUMIFS($AU$3:AU964,$P$3:P964,"R")</f>
        <v>23640.400000000325</v>
      </c>
      <c r="BM957" s="87">
        <f>SUMIFS($AU$3:AU964,$AQ$3:AQ964,"M")</f>
        <v>9283.179999998385</v>
      </c>
      <c r="BN957" s="87">
        <f>SUMIFS($AU$3:AU964,$AQ$3:AQ964,"H")</f>
        <v>11819.200000000877</v>
      </c>
      <c r="BO957" s="87">
        <f>SUMIFS($AU$3:AU964,$AQ$3:AQ964,"D")</f>
        <v>11961.177472527181</v>
      </c>
      <c r="BP957" s="87">
        <f>SUMIFS($AS$3:AS1311,$AO$3:AO1311,"W")</f>
        <v>0</v>
      </c>
      <c r="BQ957" s="87">
        <f>SUMIFS($AU$3:AU964,$Q$3:Q964,"O")</f>
        <v>-9806.1400000007834</v>
      </c>
      <c r="BR957" s="87">
        <f>SUMIFS($AU$3:AU964,$AA$3:AA964,"*")</f>
        <v>38873.602077921219</v>
      </c>
      <c r="BS957" s="87">
        <f>SUMIFS($AU$3:AU964,$AB$3:AB964,"*")</f>
        <v>7005.8599999997941</v>
      </c>
      <c r="BT957" s="87">
        <f>SUMIFS($AU$3:AU964,$AC$3:AC964,"*")</f>
        <v>31860.358121878122</v>
      </c>
      <c r="BU957" s="87">
        <f>SUMIFS($AU$3:AU964,$AA$3:AA964,"*",$AB$3:AB964,"*")</f>
        <v>7301.9999999995771</v>
      </c>
      <c r="BV957" s="87">
        <f>SUMIFS($AU$3:AU964,$AA$3:AA964,"*",$AC$3:AC964,"*")</f>
        <v>29841.316363636532</v>
      </c>
      <c r="BW957" s="87">
        <f>SUMIFS($AU$3:AU964,$AB$3:AB964,"*",$AC$3:AC964,"*")</f>
        <v>3739.199999999998</v>
      </c>
      <c r="BX957" s="87">
        <f>SUMIFS($AV$3:AV964,$Q$3:Q964,"F")</f>
        <v>403.43153082504858</v>
      </c>
      <c r="BY957" s="87">
        <f>SUMIFS($AV$3:AV964,$Q$3:Q964,"S")</f>
        <v>727.76285705724263</v>
      </c>
      <c r="BZ957" s="87">
        <f>SUMIFS($AV$3:AV964,$Q$3:Q964,"O")</f>
        <v>349.29929999965668</v>
      </c>
    </row>
    <row r="958" spans="1:78" ht="15.75" customHeight="1">
      <c r="A958" s="45" t="s">
        <v>2792</v>
      </c>
      <c r="B958" s="59"/>
      <c r="C958" s="46"/>
      <c r="D958" s="46"/>
      <c r="E958" s="66"/>
      <c r="F958" s="47"/>
      <c r="G958" s="48"/>
      <c r="H958" s="49"/>
      <c r="I958" s="49"/>
      <c r="J958" s="49"/>
      <c r="K958" s="50"/>
      <c r="L958" s="49"/>
      <c r="M958" s="49"/>
      <c r="N958" s="49"/>
      <c r="O958" s="50"/>
      <c r="P958" s="50"/>
      <c r="Q958" s="50"/>
      <c r="R958" s="50"/>
      <c r="S958" s="50"/>
      <c r="T958" s="50"/>
      <c r="U958" s="50"/>
      <c r="V958" s="50"/>
      <c r="W958" s="50"/>
      <c r="X958" s="50"/>
      <c r="Y958" s="51"/>
      <c r="Z958" s="52"/>
      <c r="AA958" s="52"/>
      <c r="AB958" s="52"/>
      <c r="AC958" s="52"/>
      <c r="AD958" s="231"/>
      <c r="AE958" s="49"/>
      <c r="AF958" s="84"/>
      <c r="AG958" s="49"/>
      <c r="AH958" s="49"/>
      <c r="AI958" s="49"/>
      <c r="AJ958" s="226"/>
      <c r="AK958" s="49"/>
      <c r="AL958" s="113">
        <f t="shared" ref="AL958:AL963" si="382">-0.02*Z958</f>
        <v>0</v>
      </c>
      <c r="AM958" s="113">
        <f t="shared" ref="AM958:AM963" si="383">AL958*(R958-S958)</f>
        <v>0</v>
      </c>
      <c r="AN958" s="218"/>
      <c r="AO958" s="49"/>
      <c r="AP958" s="49"/>
      <c r="AQ958" s="84" t="str">
        <f>UPPER(RIGHT(Journal_Live[[#This Row],[DURATION ]]))</f>
        <v/>
      </c>
      <c r="AR958" s="49"/>
      <c r="AS958" s="55"/>
      <c r="AT958" s="55"/>
      <c r="AU958" s="54"/>
      <c r="AV958" s="56"/>
      <c r="AW958" s="57"/>
      <c r="AX958" s="153" t="s">
        <v>2941</v>
      </c>
      <c r="AY958" s="153" t="s">
        <v>2942</v>
      </c>
      <c r="AZ958" s="153"/>
      <c r="BA958" s="153"/>
      <c r="BB958" s="153"/>
      <c r="BC958" s="153"/>
      <c r="BD958" s="151"/>
      <c r="BE958" s="152"/>
      <c r="BF958" s="151"/>
      <c r="BG958" s="94">
        <f>SUM($AV$4:AV958)</f>
        <v>6708.4936878819744</v>
      </c>
      <c r="BH958" s="95">
        <f>SUM($AU$4:AU958)</f>
        <v>41972.503836163058</v>
      </c>
      <c r="BI958" s="80">
        <f>SUMIFS($AU$3:AU959,$Q$3:Q959,"F")</f>
        <v>29524.358121878129</v>
      </c>
      <c r="BJ958" s="80">
        <f>SUMIFS($AU$3:AU959,$Q$3:Q959,"S")</f>
        <v>17570.285714285717</v>
      </c>
      <c r="BK958" s="87">
        <f>SUMIFS($AU$3:AU959,$P$3:P959,"W")</f>
        <v>15881.423836163443</v>
      </c>
      <c r="BL958" s="87">
        <f>SUMIFS($AU$3:AU959,$P$3:P959,"R")</f>
        <v>23640.400000000325</v>
      </c>
      <c r="BM958" s="87">
        <f>SUMIFS($AU$3:AU959,$AQ$3:AQ959,"M")</f>
        <v>9243.1799999984214</v>
      </c>
      <c r="BN958" s="87">
        <f>SUMIFS($AU$3:AU959,$AQ$3:AQ959,"H")</f>
        <v>11819.200000000877</v>
      </c>
      <c r="BO958" s="87">
        <f>SUMIFS($AU$3:AU959,$AQ$3:AQ959,"D")</f>
        <v>11961.177472527181</v>
      </c>
      <c r="BP958" s="87">
        <f>SUMIFS($AS$3:AS1306,$AO$3:AO1306,"W")</f>
        <v>0</v>
      </c>
      <c r="BQ958" s="87">
        <f>SUMIFS($AU$3:AU959,$Q$3:Q959,"O")</f>
        <v>-9846.140000000747</v>
      </c>
      <c r="BR958" s="87">
        <f>SUMIFS($AU$3:AU959,$AA$3:AA959,"*")</f>
        <v>38833.602077921256</v>
      </c>
      <c r="BS958" s="87">
        <f>SUMIFS($AU$3:AU959,$AB$3:AB959,"*")</f>
        <v>7005.8599999997941</v>
      </c>
      <c r="BT958" s="87">
        <f>SUMIFS($AU$3:AU959,$AC$3:AC959,"*")</f>
        <v>31860.358121878122</v>
      </c>
      <c r="BU958" s="87">
        <f>SUMIFS($AU$3:AU959,$AA$3:AA959,"*",$AB$3:AB959,"*")</f>
        <v>7301.9999999995771</v>
      </c>
      <c r="BV958" s="87">
        <f>SUMIFS($AU$3:AU959,$AA$3:AA959,"*",$AC$3:AC959,"*")</f>
        <v>29841.316363636532</v>
      </c>
      <c r="BW958" s="87">
        <f>SUMIFS($AU$3:AU959,$AB$3:AB959,"*",$AC$3:AC959,"*")</f>
        <v>3739.199999999998</v>
      </c>
      <c r="BX958" s="87">
        <f>SUMIFS($AV$3:AV959,$Q$3:Q959,"F")</f>
        <v>403.43153082504858</v>
      </c>
      <c r="BY958" s="87">
        <f>SUMIFS($AV$3:AV959,$Q$3:Q959,"S")</f>
        <v>727.76285705724263</v>
      </c>
      <c r="BZ958" s="87">
        <f>SUMIFS($AV$3:AV959,$Q$3:Q959,"O")</f>
        <v>329.29929999967487</v>
      </c>
    </row>
    <row r="959" spans="1:78" ht="15.75" customHeight="1">
      <c r="A959" s="45" t="s">
        <v>2792</v>
      </c>
      <c r="B959" s="59">
        <v>45491</v>
      </c>
      <c r="C959" s="46" t="s">
        <v>194</v>
      </c>
      <c r="D959" s="46" t="s">
        <v>107</v>
      </c>
      <c r="E959" s="66" t="s">
        <v>2943</v>
      </c>
      <c r="F959" s="47"/>
      <c r="G959" s="48"/>
      <c r="H959" s="49"/>
      <c r="I959" s="49">
        <v>1</v>
      </c>
      <c r="J959" s="49"/>
      <c r="K959" s="50"/>
      <c r="L959" s="49"/>
      <c r="M959" s="49"/>
      <c r="N959" s="49"/>
      <c r="O959" s="50"/>
      <c r="P959" s="50"/>
      <c r="Q959" s="50"/>
      <c r="R959" s="50"/>
      <c r="S959" s="50"/>
      <c r="T959" s="50"/>
      <c r="U959" s="50"/>
      <c r="V959" s="50"/>
      <c r="W959" s="50"/>
      <c r="X959" s="50"/>
      <c r="Y959" s="51"/>
      <c r="Z959" s="52"/>
      <c r="AA959" s="52"/>
      <c r="AB959" s="52"/>
      <c r="AC959" s="52"/>
      <c r="AD959" s="231"/>
      <c r="AE959" s="49"/>
      <c r="AF959" s="84"/>
      <c r="AG959" s="49"/>
      <c r="AH959" s="49"/>
      <c r="AI959" s="49"/>
      <c r="AJ959" s="226"/>
      <c r="AK959" s="49"/>
      <c r="AL959" s="113">
        <f t="shared" si="382"/>
        <v>0</v>
      </c>
      <c r="AM959" s="113">
        <f t="shared" si="383"/>
        <v>0</v>
      </c>
      <c r="AN959" s="218"/>
      <c r="AO959" s="49"/>
      <c r="AP959" s="49"/>
      <c r="AQ959" s="84" t="str">
        <f>UPPER(RIGHT(Journal_Live[[#This Row],[DURATION ]]))</f>
        <v/>
      </c>
      <c r="AR959" s="49"/>
      <c r="AS959" s="55"/>
      <c r="AT959" s="55"/>
      <c r="AU959" s="54"/>
      <c r="AV959" s="56"/>
      <c r="AW959" s="57"/>
      <c r="AX959" s="153"/>
      <c r="AY959" s="153"/>
      <c r="AZ959" s="153"/>
      <c r="BA959" s="153"/>
      <c r="BB959" s="153"/>
      <c r="BC959" s="153"/>
      <c r="BD959" s="151"/>
      <c r="BE959" s="152"/>
      <c r="BF959" s="151"/>
      <c r="BG959" s="94">
        <f>SUM($AV$4:AV959)</f>
        <v>6708.4936878819744</v>
      </c>
      <c r="BH959" s="95">
        <f>SUM($AU$4:AU959)</f>
        <v>41972.503836163058</v>
      </c>
      <c r="BI959" s="80">
        <f>SUMIFS($AU$3:AU960,$Q$3:Q960,"F")</f>
        <v>29524.358121878129</v>
      </c>
      <c r="BJ959" s="80">
        <f>SUMIFS($AU$3:AU960,$Q$3:Q960,"S")</f>
        <v>17570.285714285717</v>
      </c>
      <c r="BK959" s="87">
        <f>SUMIFS($AU$3:AU960,$P$3:P960,"W")</f>
        <v>15881.423836163443</v>
      </c>
      <c r="BL959" s="87">
        <f>SUMIFS($AU$3:AU960,$P$3:P960,"R")</f>
        <v>23640.400000000325</v>
      </c>
      <c r="BM959" s="87">
        <f>SUMIFS($AU$3:AU960,$AQ$3:AQ960,"M")</f>
        <v>9243.1799999984214</v>
      </c>
      <c r="BN959" s="87">
        <f>SUMIFS($AU$3:AU960,$AQ$3:AQ960,"H")</f>
        <v>11819.200000000877</v>
      </c>
      <c r="BO959" s="87">
        <f>SUMIFS($AU$3:AU960,$AQ$3:AQ960,"D")</f>
        <v>11961.177472527181</v>
      </c>
      <c r="BP959" s="87">
        <f>SUMIFS($AS$3:AS1307,$AO$3:AO1307,"W")</f>
        <v>0</v>
      </c>
      <c r="BQ959" s="87">
        <f>SUMIFS($AU$3:AU960,$Q$3:Q960,"O")</f>
        <v>-9846.140000000747</v>
      </c>
      <c r="BR959" s="87">
        <f>SUMIFS($AU$3:AU960,$AA$3:AA960,"*")</f>
        <v>38833.602077921256</v>
      </c>
      <c r="BS959" s="87">
        <f>SUMIFS($AU$3:AU960,$AB$3:AB960,"*")</f>
        <v>7005.8599999997941</v>
      </c>
      <c r="BT959" s="87">
        <f>SUMIFS($AU$3:AU960,$AC$3:AC960,"*")</f>
        <v>31860.358121878122</v>
      </c>
      <c r="BU959" s="87">
        <f>SUMIFS($AU$3:AU960,$AA$3:AA960,"*",$AB$3:AB960,"*")</f>
        <v>7301.9999999995771</v>
      </c>
      <c r="BV959" s="87">
        <f>SUMIFS($AU$3:AU960,$AA$3:AA960,"*",$AC$3:AC960,"*")</f>
        <v>29841.316363636532</v>
      </c>
      <c r="BW959" s="87">
        <f>SUMIFS($AU$3:AU960,$AB$3:AB960,"*",$AC$3:AC960,"*")</f>
        <v>3739.199999999998</v>
      </c>
      <c r="BX959" s="87">
        <f>SUMIFS($AV$3:AV960,$Q$3:Q960,"F")</f>
        <v>403.43153082504858</v>
      </c>
      <c r="BY959" s="87">
        <f>SUMIFS($AV$3:AV960,$Q$3:Q960,"S")</f>
        <v>727.76285705724263</v>
      </c>
      <c r="BZ959" s="87">
        <f>SUMIFS($AV$3:AV960,$Q$3:Q960,"O")</f>
        <v>329.29929999967487</v>
      </c>
    </row>
    <row r="960" spans="1:78" ht="15.75" customHeight="1">
      <c r="A960" s="45" t="s">
        <v>2792</v>
      </c>
      <c r="B960" s="59"/>
      <c r="C960" s="46"/>
      <c r="D960" s="46"/>
      <c r="E960" s="66" t="s">
        <v>2944</v>
      </c>
      <c r="F960" s="47"/>
      <c r="G960" s="48"/>
      <c r="H960" s="49">
        <v>1</v>
      </c>
      <c r="I960" s="49"/>
      <c r="J960" s="49"/>
      <c r="K960" s="50" t="s">
        <v>142</v>
      </c>
      <c r="L960" s="49"/>
      <c r="M960" s="49"/>
      <c r="N960" s="49"/>
      <c r="O960" s="50"/>
      <c r="P960" s="50"/>
      <c r="Q960" s="50"/>
      <c r="R960" s="50"/>
      <c r="S960" s="50"/>
      <c r="T960" s="50"/>
      <c r="U960" s="50"/>
      <c r="V960" s="50"/>
      <c r="W960" s="50"/>
      <c r="X960" s="50"/>
      <c r="Y960" s="51"/>
      <c r="Z960" s="52"/>
      <c r="AA960" s="52"/>
      <c r="AB960" s="52"/>
      <c r="AC960" s="52"/>
      <c r="AD960" s="231"/>
      <c r="AE960" s="49"/>
      <c r="AF960" s="84"/>
      <c r="AG960" s="49"/>
      <c r="AH960" s="49"/>
      <c r="AI960" s="49"/>
      <c r="AJ960" s="226"/>
      <c r="AK960" s="49"/>
      <c r="AL960" s="113">
        <f t="shared" si="382"/>
        <v>0</v>
      </c>
      <c r="AM960" s="113">
        <f t="shared" si="383"/>
        <v>0</v>
      </c>
      <c r="AN960" s="218"/>
      <c r="AO960" s="49"/>
      <c r="AP960" s="49"/>
      <c r="AQ960" s="84" t="str">
        <f>UPPER(RIGHT(Journal_Live[[#This Row],[DURATION ]]))</f>
        <v/>
      </c>
      <c r="AR960" s="49"/>
      <c r="AS960" s="55"/>
      <c r="AT960" s="55"/>
      <c r="AU960" s="54"/>
      <c r="AV960" s="56"/>
      <c r="AW960" s="57"/>
      <c r="AX960" s="153"/>
      <c r="AY960" s="153"/>
      <c r="AZ960" s="153"/>
      <c r="BA960" s="153"/>
      <c r="BB960" s="153"/>
      <c r="BC960" s="153"/>
      <c r="BD960" s="151"/>
      <c r="BE960" s="152"/>
      <c r="BF960" s="151"/>
      <c r="BG960" s="94">
        <f>SUM($AV$4:AV960)</f>
        <v>6708.4936878819744</v>
      </c>
      <c r="BH960" s="95">
        <f>SUM($AU$4:AU960)</f>
        <v>41972.503836163058</v>
      </c>
      <c r="BI960" s="80">
        <f>SUMIFS($AU$3:AU961,$Q$3:Q961,"F")</f>
        <v>29524.358121878129</v>
      </c>
      <c r="BJ960" s="80">
        <f>SUMIFS($AU$3:AU961,$Q$3:Q961,"S")</f>
        <v>17570.285714285717</v>
      </c>
      <c r="BK960" s="87">
        <f>SUMIFS($AU$3:AU961,$P$3:P961,"W")</f>
        <v>15881.423836163443</v>
      </c>
      <c r="BL960" s="87">
        <f>SUMIFS($AU$3:AU961,$P$3:P961,"R")</f>
        <v>23640.400000000325</v>
      </c>
      <c r="BM960" s="87">
        <f>SUMIFS($AU$3:AU961,$AQ$3:AQ961,"M")</f>
        <v>9283.179999998385</v>
      </c>
      <c r="BN960" s="87">
        <f>SUMIFS($AU$3:AU961,$AQ$3:AQ961,"H")</f>
        <v>11819.200000000877</v>
      </c>
      <c r="BO960" s="87">
        <f>SUMIFS($AU$3:AU961,$AQ$3:AQ961,"D")</f>
        <v>11961.177472527181</v>
      </c>
      <c r="BP960" s="87">
        <f>SUMIFS($AS$3:AS1308,$AO$3:AO1308,"W")</f>
        <v>0</v>
      </c>
      <c r="BQ960" s="87">
        <f>SUMIFS($AU$3:AU961,$Q$3:Q961,"O")</f>
        <v>-9806.1400000007834</v>
      </c>
      <c r="BR960" s="87">
        <f>SUMIFS($AU$3:AU961,$AA$3:AA961,"*")</f>
        <v>38873.602077921219</v>
      </c>
      <c r="BS960" s="87">
        <f>SUMIFS($AU$3:AU961,$AB$3:AB961,"*")</f>
        <v>7005.8599999997941</v>
      </c>
      <c r="BT960" s="87">
        <f>SUMIFS($AU$3:AU961,$AC$3:AC961,"*")</f>
        <v>31860.358121878122</v>
      </c>
      <c r="BU960" s="87">
        <f>SUMIFS($AU$3:AU961,$AA$3:AA961,"*",$AB$3:AB961,"*")</f>
        <v>7301.9999999995771</v>
      </c>
      <c r="BV960" s="87">
        <f>SUMIFS($AU$3:AU961,$AA$3:AA961,"*",$AC$3:AC961,"*")</f>
        <v>29841.316363636532</v>
      </c>
      <c r="BW960" s="87">
        <f>SUMIFS($AU$3:AU961,$AB$3:AB961,"*",$AC$3:AC961,"*")</f>
        <v>3739.199999999998</v>
      </c>
      <c r="BX960" s="87">
        <f>SUMIFS($AV$3:AV961,$Q$3:Q961,"F")</f>
        <v>403.43153082504858</v>
      </c>
      <c r="BY960" s="87">
        <f>SUMIFS($AV$3:AV961,$Q$3:Q961,"S")</f>
        <v>727.76285705724263</v>
      </c>
      <c r="BZ960" s="87">
        <f>SUMIFS($AV$3:AV961,$Q$3:Q961,"O")</f>
        <v>349.29929999965668</v>
      </c>
    </row>
    <row r="961" spans="1:78" ht="15.75" customHeight="1">
      <c r="A961" s="45" t="s">
        <v>2792</v>
      </c>
      <c r="B961" s="59">
        <v>45491</v>
      </c>
      <c r="C961" s="46" t="s">
        <v>147</v>
      </c>
      <c r="D961" s="46" t="s">
        <v>107</v>
      </c>
      <c r="E961" s="66"/>
      <c r="F961" s="47"/>
      <c r="G961" s="155" t="s">
        <v>2945</v>
      </c>
      <c r="H961" s="49"/>
      <c r="I961" s="49"/>
      <c r="J961" s="49"/>
      <c r="K961" s="50"/>
      <c r="L961" s="49">
        <v>1</v>
      </c>
      <c r="M961" s="49"/>
      <c r="N961" s="49"/>
      <c r="O961" s="50" t="s">
        <v>476</v>
      </c>
      <c r="P961" s="50"/>
      <c r="Q961" s="50" t="s">
        <v>198</v>
      </c>
      <c r="R961" s="50">
        <v>2</v>
      </c>
      <c r="S961" s="50">
        <v>0</v>
      </c>
      <c r="T961" s="50">
        <v>2</v>
      </c>
      <c r="U961" s="50" t="s">
        <v>102</v>
      </c>
      <c r="V961" s="50" t="s">
        <v>2898</v>
      </c>
      <c r="W961" s="50" t="s">
        <v>155</v>
      </c>
      <c r="X961" s="50"/>
      <c r="Y961" s="51">
        <f>IF(ISBLANK(O961),"",(IF(O961=UPPER("IB"),0.005,0.01)))</f>
        <v>0.01</v>
      </c>
      <c r="Z961" s="52">
        <f>IF(ISBLANK(O961),"",IF(O961="IB",8.63*200,IF(O961="IR",16*100,IF(O961="YT",20*100,IF(O961="YT-XT",24*200,IF(O961="TED",80*100,IF(O961="IR|YT",300*100)))))))</f>
        <v>2000</v>
      </c>
      <c r="AA961" s="52" t="s">
        <v>908</v>
      </c>
      <c r="AB961" s="52"/>
      <c r="AC961" s="52"/>
      <c r="AD961" s="231">
        <v>96.05</v>
      </c>
      <c r="AE961" s="49"/>
      <c r="AF961" s="84"/>
      <c r="AG961" s="49"/>
      <c r="AH961" s="49"/>
      <c r="AI961" s="49"/>
      <c r="AJ961" s="226"/>
      <c r="AK961" s="49"/>
      <c r="AL961" s="113">
        <f t="shared" si="382"/>
        <v>-40</v>
      </c>
      <c r="AM961" s="113">
        <f t="shared" si="383"/>
        <v>-80</v>
      </c>
      <c r="AN961" s="218"/>
      <c r="AO961" s="49"/>
      <c r="AP961" s="49"/>
      <c r="AQ961" s="84" t="s">
        <v>350</v>
      </c>
      <c r="AR961" s="49"/>
      <c r="AS961" s="55">
        <f>96.04</f>
        <v>96.04</v>
      </c>
      <c r="AT961" s="55">
        <f t="shared" ref="AT961:AT963" si="384">IF(ISBLANK(AS961),,IF(U961="S",AD961-AS961,AS961-AD961))</f>
        <v>9.9999999999909051E-3</v>
      </c>
      <c r="AU961" s="54">
        <f t="shared" ref="AU961:AU963" si="385">AV961*R961</f>
        <v>39.99999999996362</v>
      </c>
      <c r="AV961" s="56">
        <f t="shared" ref="AV961:AV963" si="386">IF(ISBLANK(AS961),,(AT961*Z961))</f>
        <v>19.99999999998181</v>
      </c>
      <c r="AW961" s="57" t="s">
        <v>101</v>
      </c>
      <c r="AX961" s="153"/>
      <c r="AY961" s="153"/>
      <c r="AZ961" s="153"/>
      <c r="BA961" s="153"/>
      <c r="BB961" s="153"/>
      <c r="BC961" s="153"/>
      <c r="BD961" s="151"/>
      <c r="BE961" s="152"/>
      <c r="BF961" s="151"/>
      <c r="BG961" s="94">
        <f>SUM($AV$4:AV961)</f>
        <v>6728.4936878819562</v>
      </c>
      <c r="BH961" s="95">
        <f>SUM($AU$4:AU961)</f>
        <v>42012.503836163021</v>
      </c>
      <c r="BI961" s="80">
        <f>SUMIFS($AU$3:AU962,$Q$3:Q962,"F")</f>
        <v>29524.358121878129</v>
      </c>
      <c r="BJ961" s="80">
        <f>SUMIFS($AU$3:AU962,$Q$3:Q962,"S")</f>
        <v>17570.285714285717</v>
      </c>
      <c r="BK961" s="87">
        <f>SUMIFS($AU$3:AU962,$P$3:P962,"W")</f>
        <v>15881.423836163443</v>
      </c>
      <c r="BL961" s="87">
        <f>SUMIFS($AU$3:AU962,$P$3:P962,"R")</f>
        <v>23640.400000000325</v>
      </c>
      <c r="BM961" s="87">
        <f>SUMIFS($AU$3:AU962,$AQ$3:AQ962,"M")</f>
        <v>9283.179999998385</v>
      </c>
      <c r="BN961" s="87">
        <f>SUMIFS($AU$3:AU962,$AQ$3:AQ962,"H")</f>
        <v>11819.200000000877</v>
      </c>
      <c r="BO961" s="87">
        <f>SUMIFS($AU$3:AU962,$AQ$3:AQ962,"D")</f>
        <v>11961.177472527181</v>
      </c>
      <c r="BP961" s="87">
        <f>SUMIFS($AS$3:AS1309,$AO$3:AO1309,"W")</f>
        <v>0</v>
      </c>
      <c r="BQ961" s="87">
        <f>SUMIFS($AU$3:AU962,$Q$3:Q962,"O")</f>
        <v>-9806.1400000007834</v>
      </c>
      <c r="BR961" s="87">
        <f>SUMIFS($AU$3:AU962,$AA$3:AA962,"*")</f>
        <v>38873.602077921219</v>
      </c>
      <c r="BS961" s="87">
        <f>SUMIFS($AU$3:AU962,$AB$3:AB962,"*")</f>
        <v>7005.8599999997941</v>
      </c>
      <c r="BT961" s="87">
        <f>SUMIFS($AU$3:AU962,$AC$3:AC962,"*")</f>
        <v>31860.358121878122</v>
      </c>
      <c r="BU961" s="87">
        <f>SUMIFS($AU$3:AU962,$AA$3:AA962,"*",$AB$3:AB962,"*")</f>
        <v>7301.9999999995771</v>
      </c>
      <c r="BV961" s="87">
        <f>SUMIFS($AU$3:AU962,$AA$3:AA962,"*",$AC$3:AC962,"*")</f>
        <v>29841.316363636532</v>
      </c>
      <c r="BW961" s="87">
        <f>SUMIFS($AU$3:AU962,$AB$3:AB962,"*",$AC$3:AC962,"*")</f>
        <v>3739.199999999998</v>
      </c>
      <c r="BX961" s="87">
        <f>SUMIFS($AV$3:AV962,$Q$3:Q962,"F")</f>
        <v>403.43153082504858</v>
      </c>
      <c r="BY961" s="87">
        <f>SUMIFS($AV$3:AV962,$Q$3:Q962,"S")</f>
        <v>727.76285705724263</v>
      </c>
      <c r="BZ961" s="87">
        <f>SUMIFS($AV$3:AV962,$Q$3:Q962,"O")</f>
        <v>349.29929999965668</v>
      </c>
    </row>
    <row r="962" spans="1:78" ht="15.75" customHeight="1">
      <c r="A962" s="45" t="s">
        <v>2792</v>
      </c>
      <c r="B962" s="59">
        <v>45491</v>
      </c>
      <c r="C962" s="46" t="s">
        <v>1260</v>
      </c>
      <c r="D962" s="46" t="s">
        <v>107</v>
      </c>
      <c r="E962" s="66"/>
      <c r="F962" s="47"/>
      <c r="G962" s="48" t="s">
        <v>2946</v>
      </c>
      <c r="H962" s="49"/>
      <c r="I962" s="49"/>
      <c r="J962" s="49"/>
      <c r="K962" s="50"/>
      <c r="L962" s="49"/>
      <c r="M962" s="49">
        <v>1</v>
      </c>
      <c r="N962" s="49"/>
      <c r="O962" s="50" t="s">
        <v>100</v>
      </c>
      <c r="P962" s="50" t="s">
        <v>101</v>
      </c>
      <c r="Q962" s="50" t="s">
        <v>102</v>
      </c>
      <c r="R962" s="50">
        <v>12</v>
      </c>
      <c r="S962" s="50">
        <v>0</v>
      </c>
      <c r="T962" s="50">
        <v>12</v>
      </c>
      <c r="U962" s="50" t="s">
        <v>22</v>
      </c>
      <c r="V962" s="50" t="s">
        <v>2898</v>
      </c>
      <c r="W962" s="50" t="s">
        <v>22</v>
      </c>
      <c r="X962" s="50"/>
      <c r="Y962" s="51">
        <f>IF(ISBLANK(O962),"",(IF(O962=UPPER("IB"),0.005,0.01)))</f>
        <v>0.01</v>
      </c>
      <c r="Z962" s="52">
        <f>IF(ISBLANK(O962),"",IF(O962="IB",8.63*200,IF(O962="IR",16*100,IF(O962="YT",20*100,IF(O962="YT-XT",24*200,IF(O962="TED",80*100,IF(O962="IR|YT",300*100)))))))</f>
        <v>1600</v>
      </c>
      <c r="AA962" s="52" t="s">
        <v>2947</v>
      </c>
      <c r="AB962" s="52"/>
      <c r="AC962" s="52"/>
      <c r="AD962" s="231">
        <v>-0.5</v>
      </c>
      <c r="AE962" s="49"/>
      <c r="AF962" s="84"/>
      <c r="AG962" s="49"/>
      <c r="AH962" s="49"/>
      <c r="AI962" s="49"/>
      <c r="AJ962" s="226"/>
      <c r="AK962" s="49"/>
      <c r="AL962" s="113">
        <f t="shared" si="382"/>
        <v>-32</v>
      </c>
      <c r="AM962" s="113">
        <f t="shared" si="383"/>
        <v>-384</v>
      </c>
      <c r="AN962" s="218"/>
      <c r="AO962" s="49"/>
      <c r="AP962" s="49" t="s">
        <v>2948</v>
      </c>
      <c r="AQ962" s="84" t="s">
        <v>350</v>
      </c>
      <c r="AR962" s="49"/>
      <c r="AS962" s="55">
        <v>-0.5</v>
      </c>
      <c r="AT962" s="55">
        <f t="shared" si="384"/>
        <v>0</v>
      </c>
      <c r="AU962" s="54">
        <f t="shared" si="385"/>
        <v>0</v>
      </c>
      <c r="AV962" s="56">
        <f t="shared" si="386"/>
        <v>0</v>
      </c>
      <c r="AW962" s="57" t="s">
        <v>155</v>
      </c>
      <c r="AX962" s="153" t="s">
        <v>2949</v>
      </c>
      <c r="AY962" s="153"/>
      <c r="AZ962" s="153"/>
      <c r="BA962" s="153"/>
      <c r="BB962" s="153"/>
      <c r="BC962" s="153"/>
      <c r="BD962" s="151"/>
      <c r="BE962" s="152"/>
      <c r="BF962" s="151"/>
      <c r="BG962" s="94">
        <f>SUM($AV$4:AV962)</f>
        <v>6728.4936878819562</v>
      </c>
      <c r="BH962" s="95">
        <f>SUM($AU$4:AU962)</f>
        <v>42012.503836163021</v>
      </c>
      <c r="BI962" s="80">
        <f>SUMIFS($AU$3:AU963,$Q$3:Q963,"F")</f>
        <v>29524.358121878129</v>
      </c>
      <c r="BJ962" s="80">
        <f>SUMIFS($AU$3:AU963,$Q$3:Q963,"S")</f>
        <v>17570.285714285717</v>
      </c>
      <c r="BK962" s="87">
        <f>SUMIFS($AU$3:AU963,$P$3:P963,"W")</f>
        <v>15881.423836163443</v>
      </c>
      <c r="BL962" s="87">
        <f>SUMIFS($AU$3:AU963,$P$3:P963,"R")</f>
        <v>23640.400000000325</v>
      </c>
      <c r="BM962" s="87">
        <f>SUMIFS($AU$3:AU963,$AQ$3:AQ963,"M")</f>
        <v>9283.179999998385</v>
      </c>
      <c r="BN962" s="87">
        <f>SUMIFS($AU$3:AU963,$AQ$3:AQ963,"H")</f>
        <v>11819.200000000877</v>
      </c>
      <c r="BO962" s="87">
        <f>SUMIFS($AU$3:AU963,$AQ$3:AQ963,"D")</f>
        <v>11961.177472527181</v>
      </c>
      <c r="BP962" s="87">
        <f>SUMIFS($AS$3:AS1310,$AO$3:AO1310,"W")</f>
        <v>0</v>
      </c>
      <c r="BQ962" s="87">
        <f>SUMIFS($AU$3:AU963,$Q$3:Q963,"O")</f>
        <v>-9806.1400000007834</v>
      </c>
      <c r="BR962" s="87">
        <f>SUMIFS($AU$3:AU963,$AA$3:AA963,"*")</f>
        <v>38873.602077921219</v>
      </c>
      <c r="BS962" s="87">
        <f>SUMIFS($AU$3:AU963,$AB$3:AB963,"*")</f>
        <v>7005.8599999997941</v>
      </c>
      <c r="BT962" s="87">
        <f>SUMIFS($AU$3:AU963,$AC$3:AC963,"*")</f>
        <v>31860.358121878122</v>
      </c>
      <c r="BU962" s="87">
        <f>SUMIFS($AU$3:AU963,$AA$3:AA963,"*",$AB$3:AB963,"*")</f>
        <v>7301.9999999995771</v>
      </c>
      <c r="BV962" s="87">
        <f>SUMIFS($AU$3:AU963,$AA$3:AA963,"*",$AC$3:AC963,"*")</f>
        <v>29841.316363636532</v>
      </c>
      <c r="BW962" s="87">
        <f>SUMIFS($AU$3:AU963,$AB$3:AB963,"*",$AC$3:AC963,"*")</f>
        <v>3739.199999999998</v>
      </c>
      <c r="BX962" s="87">
        <f>SUMIFS($AV$3:AV963,$Q$3:Q963,"F")</f>
        <v>403.43153082504858</v>
      </c>
      <c r="BY962" s="87">
        <f>SUMIFS($AV$3:AV963,$Q$3:Q963,"S")</f>
        <v>727.76285705724263</v>
      </c>
      <c r="BZ962" s="87">
        <f>SUMIFS($AV$3:AV963,$Q$3:Q963,"O")</f>
        <v>349.29929999965668</v>
      </c>
    </row>
    <row r="963" spans="1:78" ht="15.75" customHeight="1">
      <c r="A963" s="45" t="s">
        <v>2792</v>
      </c>
      <c r="B963" s="59">
        <v>45491</v>
      </c>
      <c r="C963" s="46" t="s">
        <v>2950</v>
      </c>
      <c r="D963" s="46" t="s">
        <v>107</v>
      </c>
      <c r="E963" s="66"/>
      <c r="F963" s="47"/>
      <c r="G963" s="48" t="s">
        <v>181</v>
      </c>
      <c r="H963" s="49"/>
      <c r="I963" s="49"/>
      <c r="J963" s="49"/>
      <c r="K963" s="50"/>
      <c r="L963" s="49"/>
      <c r="M963" s="49"/>
      <c r="N963" s="49"/>
      <c r="O963" s="50"/>
      <c r="P963" s="50"/>
      <c r="Q963" s="50"/>
      <c r="R963" s="50"/>
      <c r="S963" s="50"/>
      <c r="T963" s="50"/>
      <c r="U963" s="50"/>
      <c r="V963" s="50"/>
      <c r="W963" s="50"/>
      <c r="X963" s="50"/>
      <c r="Y963" s="51"/>
      <c r="Z963" s="52"/>
      <c r="AA963" s="52"/>
      <c r="AB963" s="52"/>
      <c r="AC963" s="52"/>
      <c r="AD963" s="231"/>
      <c r="AE963" s="49"/>
      <c r="AF963" s="84"/>
      <c r="AG963" s="49"/>
      <c r="AH963" s="49"/>
      <c r="AI963" s="49"/>
      <c r="AJ963" s="226"/>
      <c r="AK963" s="49"/>
      <c r="AL963" s="113">
        <f t="shared" si="382"/>
        <v>0</v>
      </c>
      <c r="AM963" s="113">
        <f t="shared" si="383"/>
        <v>0</v>
      </c>
      <c r="AN963" s="218"/>
      <c r="AO963" s="49"/>
      <c r="AP963" s="49"/>
      <c r="AQ963" s="84" t="str">
        <f>UPPER(RIGHT(Journal_Live[[#This Row],[DURATION ]]))</f>
        <v/>
      </c>
      <c r="AR963" s="49"/>
      <c r="AS963" s="55"/>
      <c r="AT963" s="55">
        <f t="shared" si="384"/>
        <v>0</v>
      </c>
      <c r="AU963" s="54">
        <f t="shared" si="385"/>
        <v>0</v>
      </c>
      <c r="AV963" s="56">
        <f t="shared" si="386"/>
        <v>0</v>
      </c>
      <c r="AW963" s="57"/>
      <c r="AX963" s="153"/>
      <c r="AY963" s="153"/>
      <c r="AZ963" s="153"/>
      <c r="BA963" s="153"/>
      <c r="BB963" s="153"/>
      <c r="BC963" s="153"/>
      <c r="BD963" s="151"/>
      <c r="BE963" s="152"/>
      <c r="BF963" s="151"/>
      <c r="BG963" s="94">
        <f>SUM($AV$4:AV963)</f>
        <v>6728.4936878819562</v>
      </c>
      <c r="BH963" s="95">
        <f>SUM($AU$4:AU963)</f>
        <v>42012.503836163021</v>
      </c>
      <c r="BI963" s="80">
        <f>SUMIFS($AU$3:AU964,$Q$3:Q964,"F")</f>
        <v>29524.358121878129</v>
      </c>
      <c r="BJ963" s="80">
        <f>SUMIFS($AU$3:AU964,$Q$3:Q964,"S")</f>
        <v>17570.285714285717</v>
      </c>
      <c r="BK963" s="87">
        <f>SUMIFS($AU$3:AU964,$P$3:P964,"W")</f>
        <v>15881.423836163443</v>
      </c>
      <c r="BL963" s="87">
        <f>SUMIFS($AU$3:AU964,$P$3:P964,"R")</f>
        <v>23640.400000000325</v>
      </c>
      <c r="BM963" s="87">
        <f>SUMIFS($AU$3:AU964,$AQ$3:AQ964,"M")</f>
        <v>9283.179999998385</v>
      </c>
      <c r="BN963" s="87">
        <f>SUMIFS($AU$3:AU964,$AQ$3:AQ964,"H")</f>
        <v>11819.200000000877</v>
      </c>
      <c r="BO963" s="87">
        <f>SUMIFS($AU$3:AU964,$AQ$3:AQ964,"D")</f>
        <v>11961.177472527181</v>
      </c>
      <c r="BP963" s="87">
        <f>SUMIFS($AS$3:AS1311,$AO$3:AO1311,"W")</f>
        <v>0</v>
      </c>
      <c r="BQ963" s="87">
        <f>SUMIFS($AU$3:AU964,$Q$3:Q964,"O")</f>
        <v>-9806.1400000007834</v>
      </c>
      <c r="BR963" s="87">
        <f>SUMIFS($AU$3:AU964,$AA$3:AA964,"*")</f>
        <v>38873.602077921219</v>
      </c>
      <c r="BS963" s="87">
        <f>SUMIFS($AU$3:AU964,$AB$3:AB964,"*")</f>
        <v>7005.8599999997941</v>
      </c>
      <c r="BT963" s="87">
        <f>SUMIFS($AU$3:AU964,$AC$3:AC964,"*")</f>
        <v>31860.358121878122</v>
      </c>
      <c r="BU963" s="87">
        <f>SUMIFS($AU$3:AU964,$AA$3:AA964,"*",$AB$3:AB964,"*")</f>
        <v>7301.9999999995771</v>
      </c>
      <c r="BV963" s="87">
        <f>SUMIFS($AU$3:AU964,$AA$3:AA964,"*",$AC$3:AC964,"*")</f>
        <v>29841.316363636532</v>
      </c>
      <c r="BW963" s="87">
        <f>SUMIFS($AU$3:AU964,$AB$3:AB964,"*",$AC$3:AC964,"*")</f>
        <v>3739.199999999998</v>
      </c>
      <c r="BX963" s="87">
        <f>SUMIFS($AV$3:AV964,$Q$3:Q964,"F")</f>
        <v>403.43153082504858</v>
      </c>
      <c r="BY963" s="87">
        <f>SUMIFS($AV$3:AV964,$Q$3:Q964,"S")</f>
        <v>727.76285705724263</v>
      </c>
      <c r="BZ963" s="87">
        <f>SUMIFS($AV$3:AV964,$Q$3:Q964,"O")</f>
        <v>349.29929999965668</v>
      </c>
    </row>
    <row r="964" spans="1:78" ht="15.75" customHeight="1">
      <c r="A964" s="45" t="s">
        <v>2792</v>
      </c>
      <c r="B964" s="59">
        <v>45491</v>
      </c>
      <c r="C964" s="46" t="s">
        <v>2937</v>
      </c>
      <c r="D964" s="46" t="s">
        <v>107</v>
      </c>
      <c r="E964" s="66"/>
      <c r="F964" s="47"/>
      <c r="G964" s="155" t="s">
        <v>1756</v>
      </c>
      <c r="H964" s="49"/>
      <c r="I964" s="49"/>
      <c r="J964" s="49"/>
      <c r="K964" s="50"/>
      <c r="L964" s="49"/>
      <c r="M964" s="49">
        <v>1</v>
      </c>
      <c r="N964" s="49"/>
      <c r="O964" s="50" t="s">
        <v>100</v>
      </c>
      <c r="P964" s="50" t="s">
        <v>101</v>
      </c>
      <c r="Q964" s="50" t="s">
        <v>127</v>
      </c>
      <c r="R964" s="50">
        <v>9</v>
      </c>
      <c r="S964" s="50">
        <v>5</v>
      </c>
      <c r="T964" s="50">
        <v>9</v>
      </c>
      <c r="U964" s="50" t="s">
        <v>22</v>
      </c>
      <c r="V964" s="50" t="s">
        <v>2906</v>
      </c>
      <c r="W964" s="50" t="s">
        <v>155</v>
      </c>
      <c r="X964" s="50"/>
      <c r="Y964" s="51">
        <f>IF(ISBLANK(O964),"",(IF(O964=UPPER("IB"),0.005,0.01)))</f>
        <v>0.01</v>
      </c>
      <c r="Z964" s="52">
        <f>IF(ISBLANK(O964),"",IF(O964="IB",8.63*200,IF(O964="IR",16*100,IF(O964="YT",20*100,IF(O964="YT-XT",24*200,IF(O964="TED",80*100,IF(O964="IR|YT",300*100)))))))</f>
        <v>1600</v>
      </c>
      <c r="AA964" s="52" t="s">
        <v>2951</v>
      </c>
      <c r="AB964" s="52"/>
      <c r="AC964" s="52"/>
      <c r="AD964" s="231">
        <v>-0.02</v>
      </c>
      <c r="AE964" s="49"/>
      <c r="AF964" s="84"/>
      <c r="AG964" s="49"/>
      <c r="AH964" s="49" t="s">
        <v>2952</v>
      </c>
      <c r="AI964" s="49"/>
      <c r="AJ964" s="226" t="s">
        <v>2953</v>
      </c>
      <c r="AK964" s="49"/>
      <c r="AL964" s="113">
        <f t="shared" si="380"/>
        <v>-32</v>
      </c>
      <c r="AM964" s="113">
        <f>AL964*(R964-S964)</f>
        <v>-128</v>
      </c>
      <c r="AN964" s="218"/>
      <c r="AO964" s="49"/>
      <c r="AP964" s="49" t="s">
        <v>1338</v>
      </c>
      <c r="AQ964" s="84" t="s">
        <v>155</v>
      </c>
      <c r="AR964" s="74">
        <v>45497</v>
      </c>
      <c r="AS964" s="55">
        <f>((-0.02*5)+(-0.02*4))/9</f>
        <v>-0.02</v>
      </c>
      <c r="AT964" s="55">
        <f>IF(ISBLANK(AS964),,IF(U964="S",AD964-AS964,AS964-AD964))</f>
        <v>0</v>
      </c>
      <c r="AU964" s="54">
        <f>AV964*R964</f>
        <v>0</v>
      </c>
      <c r="AV964" s="56">
        <f t="shared" si="381"/>
        <v>0</v>
      </c>
      <c r="AW964" s="57" t="s">
        <v>155</v>
      </c>
      <c r="AX964" s="153"/>
      <c r="AY964" s="153"/>
      <c r="AZ964" s="153"/>
      <c r="BA964" s="153"/>
      <c r="BB964" s="153"/>
      <c r="BC964" s="153"/>
      <c r="BD964" s="151"/>
      <c r="BE964" s="152"/>
      <c r="BF964" s="151"/>
      <c r="BG964" s="94">
        <f>SUM($AV$4:AV964)</f>
        <v>6728.4936878819562</v>
      </c>
      <c r="BH964" s="95">
        <f>SUM($AU$4:AU964)</f>
        <v>42012.503836163021</v>
      </c>
      <c r="BI964" s="80">
        <f>SUMIFS($AU$3:AU965,$Q$3:Q965,"F")</f>
        <v>29524.358121878129</v>
      </c>
      <c r="BJ964" s="80">
        <f>SUMIFS($AU$3:AU965,$Q$3:Q965,"S")</f>
        <v>17570.285714285717</v>
      </c>
      <c r="BK964" s="87">
        <f>SUMIFS($AU$3:AU965,$P$3:P965,"W")</f>
        <v>15881.423836163443</v>
      </c>
      <c r="BL964" s="87">
        <f>SUMIFS($AU$3:AU965,$P$3:P965,"R")</f>
        <v>23640.400000000325</v>
      </c>
      <c r="BM964" s="87">
        <f>SUMIFS($AU$3:AU965,$AQ$3:AQ965,"M")</f>
        <v>9283.179999998385</v>
      </c>
      <c r="BN964" s="87">
        <f>SUMIFS($AU$3:AU965,$AQ$3:AQ965,"H")</f>
        <v>11819.200000000877</v>
      </c>
      <c r="BO964" s="87">
        <f>SUMIFS($AU$3:AU965,$AQ$3:AQ965,"D")</f>
        <v>11961.177472527181</v>
      </c>
      <c r="BP964" s="87">
        <f>SUMIFS($AS$3:AS1312,$AO$3:AO1312,"W")</f>
        <v>0</v>
      </c>
      <c r="BQ964" s="87">
        <f>SUMIFS($AU$3:AU965,$Q$3:Q965,"O")</f>
        <v>-9806.1400000007834</v>
      </c>
      <c r="BR964" s="87">
        <f>SUMIFS($AU$3:AU965,$AA$3:AA965,"*")</f>
        <v>38873.602077921219</v>
      </c>
      <c r="BS964" s="87">
        <f>SUMIFS($AU$3:AU965,$AB$3:AB965,"*")</f>
        <v>7005.8599999997941</v>
      </c>
      <c r="BT964" s="87">
        <f>SUMIFS($AU$3:AU965,$AC$3:AC965,"*")</f>
        <v>31860.358121878122</v>
      </c>
      <c r="BU964" s="87">
        <f>SUMIFS($AU$3:AU965,$AA$3:AA965,"*",$AB$3:AB965,"*")</f>
        <v>7301.9999999995771</v>
      </c>
      <c r="BV964" s="87">
        <f>SUMIFS($AU$3:AU965,$AA$3:AA965,"*",$AC$3:AC965,"*")</f>
        <v>29841.316363636532</v>
      </c>
      <c r="BW964" s="87">
        <f>SUMIFS($AU$3:AU965,$AB$3:AB965,"*",$AC$3:AC965,"*")</f>
        <v>3739.199999999998</v>
      </c>
      <c r="BX964" s="87">
        <f>SUMIFS($AV$3:AV965,$Q$3:Q965,"F")</f>
        <v>403.43153082504858</v>
      </c>
      <c r="BY964" s="87">
        <f>SUMIFS($AV$3:AV965,$Q$3:Q965,"S")</f>
        <v>727.76285705724263</v>
      </c>
      <c r="BZ964" s="87">
        <f>SUMIFS($AV$3:AV965,$Q$3:Q965,"O")</f>
        <v>349.29929999965668</v>
      </c>
    </row>
    <row r="965" spans="1:78" ht="15.75" customHeight="1">
      <c r="A965" s="45" t="s">
        <v>2792</v>
      </c>
      <c r="B965" s="59"/>
      <c r="C965" s="46"/>
      <c r="D965" s="46"/>
      <c r="E965" s="66"/>
      <c r="F965" s="47"/>
      <c r="G965" s="48"/>
      <c r="H965" s="49"/>
      <c r="I965" s="49"/>
      <c r="J965" s="49"/>
      <c r="K965" s="50"/>
      <c r="L965" s="49"/>
      <c r="M965" s="49"/>
      <c r="N965" s="49"/>
      <c r="O965" s="50"/>
      <c r="P965" s="50"/>
      <c r="Q965" s="50"/>
      <c r="R965" s="50"/>
      <c r="S965" s="50"/>
      <c r="T965" s="50"/>
      <c r="U965" s="50"/>
      <c r="V965" s="50"/>
      <c r="W965" s="50"/>
      <c r="X965" s="50"/>
      <c r="Y965" s="51"/>
      <c r="Z965" s="52"/>
      <c r="AA965" s="52"/>
      <c r="AB965" s="52"/>
      <c r="AC965" s="52"/>
      <c r="AD965" s="231"/>
      <c r="AE965" s="49"/>
      <c r="AF965" s="84"/>
      <c r="AG965" s="49"/>
      <c r="AH965" s="49"/>
      <c r="AI965" s="49"/>
      <c r="AJ965" s="226"/>
      <c r="AK965" s="49"/>
      <c r="AL965" s="113">
        <f t="shared" si="380"/>
        <v>0</v>
      </c>
      <c r="AM965" s="113">
        <f>AL965*(R965-S965)</f>
        <v>0</v>
      </c>
      <c r="AN965" s="218"/>
      <c r="AO965" s="49"/>
      <c r="AP965" s="49"/>
      <c r="AQ965" s="84"/>
      <c r="AR965" s="74"/>
      <c r="AS965" s="55"/>
      <c r="AT965" s="55">
        <f>IF(ISBLANK(AS965),,IF(U965="S",AD965-AS965,AS965-AD965))</f>
        <v>0</v>
      </c>
      <c r="AU965" s="54">
        <f>AV965*R965</f>
        <v>0</v>
      </c>
      <c r="AV965" s="56">
        <f t="shared" si="381"/>
        <v>0</v>
      </c>
      <c r="AW965" s="57"/>
      <c r="AX965" s="153" t="s">
        <v>2954</v>
      </c>
      <c r="AY965" s="153"/>
      <c r="AZ965" s="153"/>
      <c r="BA965" s="153"/>
      <c r="BB965" s="153"/>
      <c r="BC965" s="153"/>
      <c r="BD965" s="151"/>
      <c r="BE965" s="152"/>
      <c r="BF965" s="151"/>
      <c r="BG965" s="94">
        <f>SUM($AV$4:AV965)</f>
        <v>6728.4936878819562</v>
      </c>
      <c r="BH965" s="95">
        <f>SUM($AU$4:AU965)</f>
        <v>42012.503836163021</v>
      </c>
      <c r="BI965" s="80">
        <f>SUMIFS($AU$3:AU975,$Q$3:Q975,"F")</f>
        <v>29584.358121878129</v>
      </c>
      <c r="BJ965" s="80">
        <f>SUMIFS($AU$3:AU975,$Q$3:Q975,"S")</f>
        <v>18290.285714285717</v>
      </c>
      <c r="BK965" s="87">
        <f>SUMIFS($AU$3:AU975,$P$3:P975,"W")</f>
        <v>16085.423836163443</v>
      </c>
      <c r="BL965" s="87">
        <f>SUMIFS($AU$3:AU975,$P$3:P975,"R")</f>
        <v>24216.400000000325</v>
      </c>
      <c r="BM965" s="87">
        <f>SUMIFS($AU$3:AU975,$AQ$3:AQ975,"M")</f>
        <v>9283.179999998385</v>
      </c>
      <c r="BN965" s="87">
        <f>SUMIFS($AU$3:AU975,$AQ$3:AQ975,"H")</f>
        <v>12539.200000000877</v>
      </c>
      <c r="BO965" s="87">
        <f>SUMIFS($AU$3:AU975,$AQ$3:AQ975,"D")</f>
        <v>12021.177472527181</v>
      </c>
      <c r="BP965" s="87">
        <f>SUMIFS($AS$3:AS1313,$AO$3:AO1313,"W")</f>
        <v>0</v>
      </c>
      <c r="BQ965" s="87">
        <f>SUMIFS($AU$3:AU975,$Q$3:Q975,"O")</f>
        <v>-9806.1400000007834</v>
      </c>
      <c r="BR965" s="87">
        <f>SUMIFS($AU$3:AU975,$AA$3:AA975,"*")</f>
        <v>39653.602077921219</v>
      </c>
      <c r="BS965" s="87">
        <f>SUMIFS($AU$3:AU975,$AB$3:AB975,"*")</f>
        <v>7005.8599999997941</v>
      </c>
      <c r="BT965" s="87">
        <f>SUMIFS($AU$3:AU975,$AC$3:AC975,"*")</f>
        <v>31920.358121878122</v>
      </c>
      <c r="BU965" s="87">
        <f>SUMIFS($AU$3:AU975,$AA$3:AA975,"*",$AB$3:AB975,"*")</f>
        <v>7301.9999999995771</v>
      </c>
      <c r="BV965" s="87">
        <f>SUMIFS($AU$3:AU975,$AA$3:AA975,"*",$AC$3:AC975,"*")</f>
        <v>29901.316363636532</v>
      </c>
      <c r="BW965" s="87">
        <f>SUMIFS($AU$3:AU975,$AB$3:AB975,"*",$AC$3:AC975,"*")</f>
        <v>3739.199999999998</v>
      </c>
      <c r="BX965" s="87">
        <f>SUMIFS($AV$3:AV975,$Q$3:Q975,"F")</f>
        <v>409.43153082504858</v>
      </c>
      <c r="BY965" s="87">
        <f>SUMIFS($AV$3:AV975,$Q$3:Q975,"S")</f>
        <v>759.76285705724263</v>
      </c>
      <c r="BZ965" s="87">
        <f>SUMIFS($AV$3:AV975,$Q$3:Q975,"O")</f>
        <v>349.29929999965668</v>
      </c>
    </row>
    <row r="966" spans="1:78" ht="15.75" customHeight="1">
      <c r="A966" s="45" t="s">
        <v>2792</v>
      </c>
      <c r="B966" s="59">
        <v>45492</v>
      </c>
      <c r="C966" s="46" t="s">
        <v>2852</v>
      </c>
      <c r="D966" s="46" t="s">
        <v>115</v>
      </c>
      <c r="E966" s="66"/>
      <c r="F966" s="47"/>
      <c r="G966" s="155" t="s">
        <v>2686</v>
      </c>
      <c r="H966" s="49"/>
      <c r="I966" s="49"/>
      <c r="J966" s="49"/>
      <c r="K966" s="50"/>
      <c r="L966" s="49"/>
      <c r="M966" s="49">
        <v>1</v>
      </c>
      <c r="N966" s="49"/>
      <c r="O966" s="50" t="s">
        <v>100</v>
      </c>
      <c r="P966" s="50" t="s">
        <v>101</v>
      </c>
      <c r="Q966" s="50" t="s">
        <v>102</v>
      </c>
      <c r="R966" s="50">
        <v>11</v>
      </c>
      <c r="S966" s="50">
        <v>0</v>
      </c>
      <c r="T966" s="50">
        <v>11</v>
      </c>
      <c r="U966" s="50" t="s">
        <v>102</v>
      </c>
      <c r="V966" s="50" t="s">
        <v>2898</v>
      </c>
      <c r="W966" s="50" t="s">
        <v>22</v>
      </c>
      <c r="X966" s="50"/>
      <c r="Y966" s="51">
        <f>IF(ISBLANK(O966),"",(IF(O966=UPPER("IB"),0.005,0.01)))</f>
        <v>0.01</v>
      </c>
      <c r="Z966" s="52">
        <f>IF(ISBLANK(O966),"",IF(O966="IB",8.63*200,IF(O966="IR",16*100,IF(O966="YT",20*100,IF(O966="YT-XT",24*200,IF(O966="TED",80*100,IF(O966="IR|YT",300*100)))))))</f>
        <v>1600</v>
      </c>
      <c r="AA966" s="52" t="s">
        <v>925</v>
      </c>
      <c r="AB966" s="52"/>
      <c r="AC966" s="52" t="s">
        <v>2581</v>
      </c>
      <c r="AD966" s="231">
        <v>-0.26</v>
      </c>
      <c r="AE966" s="49"/>
      <c r="AF966" s="84"/>
      <c r="AG966" s="49"/>
      <c r="AH966" s="49"/>
      <c r="AI966" s="49"/>
      <c r="AJ966" s="226"/>
      <c r="AK966" s="49"/>
      <c r="AL966" s="113">
        <f t="shared" si="380"/>
        <v>-32</v>
      </c>
      <c r="AM966" s="113">
        <f t="shared" ref="AM966:AM974" si="387">AL966*(R966-S966)</f>
        <v>-352</v>
      </c>
      <c r="AN966" s="218"/>
      <c r="AO966" s="49"/>
      <c r="AP966" s="49" t="s">
        <v>297</v>
      </c>
      <c r="AQ966" s="84" t="s">
        <v>155</v>
      </c>
      <c r="AR966" s="49"/>
      <c r="AS966" s="55">
        <v>-0.26</v>
      </c>
      <c r="AT966" s="55">
        <f t="shared" ref="AT966:AT974" si="388">IF(ISBLANK(AS966),,IF(U966="S",AD966-AS966,AS966-AD966))</f>
        <v>0</v>
      </c>
      <c r="AU966" s="54">
        <f t="shared" ref="AU966:AU974" si="389">AV966*R966</f>
        <v>0</v>
      </c>
      <c r="AV966" s="56">
        <f t="shared" si="381"/>
        <v>0</v>
      </c>
      <c r="AW966" s="57" t="s">
        <v>155</v>
      </c>
      <c r="AX966" s="153"/>
      <c r="AY966" s="153"/>
      <c r="AZ966" s="153"/>
      <c r="BA966" s="153"/>
      <c r="BB966" s="153"/>
      <c r="BC966" s="153"/>
      <c r="BD966" s="151"/>
      <c r="BE966" s="152"/>
      <c r="BF966" s="151"/>
      <c r="BG966" s="94">
        <f>SUM($AV$4:AV966)</f>
        <v>6728.4936878819562</v>
      </c>
      <c r="BH966" s="95">
        <f>SUM($AU$4:AU966)</f>
        <v>42012.503836163021</v>
      </c>
      <c r="BI966" s="80">
        <f>SUMIFS($AU$3:AU967,$Q$3:Q967,"F")</f>
        <v>29524.358121878129</v>
      </c>
      <c r="BJ966" s="80">
        <f>SUMIFS($AU$3:AU967,$Q$3:Q967,"S")</f>
        <v>17570.285714285717</v>
      </c>
      <c r="BK966" s="87">
        <f>SUMIFS($AU$3:AU967,$P$3:P967,"W")</f>
        <v>15881.423836163443</v>
      </c>
      <c r="BL966" s="87">
        <f>SUMIFS($AU$3:AU967,$P$3:P967,"R")</f>
        <v>23640.400000000325</v>
      </c>
      <c r="BM966" s="87">
        <f>SUMIFS($AU$3:AU967,$AQ$3:AQ967,"M")</f>
        <v>9283.179999998385</v>
      </c>
      <c r="BN966" s="87">
        <f>SUMIFS($AU$3:AU967,$AQ$3:AQ967,"H")</f>
        <v>11819.200000000877</v>
      </c>
      <c r="BO966" s="87">
        <f>SUMIFS($AU$3:AU967,$AQ$3:AQ967,"D")</f>
        <v>11961.177472527181</v>
      </c>
      <c r="BP966" s="87">
        <f>SUMIFS($AS$3:AS1310,$AO$3:AO1310,"W")</f>
        <v>0</v>
      </c>
      <c r="BQ966" s="87">
        <f>SUMIFS($AU$3:AU967,$Q$3:Q967,"O")</f>
        <v>-9806.1400000007834</v>
      </c>
      <c r="BR966" s="87">
        <f>SUMIFS($AU$3:AU967,$AA$3:AA967,"*")</f>
        <v>38873.602077921219</v>
      </c>
      <c r="BS966" s="87">
        <f>SUMIFS($AU$3:AU967,$AB$3:AB967,"*")</f>
        <v>7005.8599999997941</v>
      </c>
      <c r="BT966" s="87">
        <f>SUMIFS($AU$3:AU967,$AC$3:AC967,"*")</f>
        <v>31860.358121878122</v>
      </c>
      <c r="BU966" s="87">
        <f>SUMIFS($AU$3:AU967,$AA$3:AA967,"*",$AB$3:AB967,"*")</f>
        <v>7301.9999999995771</v>
      </c>
      <c r="BV966" s="87">
        <f>SUMIFS($AU$3:AU967,$AA$3:AA967,"*",$AC$3:AC967,"*")</f>
        <v>29841.316363636532</v>
      </c>
      <c r="BW966" s="87">
        <f>SUMIFS($AU$3:AU967,$AB$3:AB967,"*",$AC$3:AC967,"*")</f>
        <v>3739.199999999998</v>
      </c>
      <c r="BX966" s="87">
        <f>SUMIFS($AV$3:AV967,$Q$3:Q967,"F")</f>
        <v>403.43153082504858</v>
      </c>
      <c r="BY966" s="87">
        <f>SUMIFS($AV$3:AV967,$Q$3:Q967,"S")</f>
        <v>727.76285705724263</v>
      </c>
      <c r="BZ966" s="87">
        <f>SUMIFS($AV$3:AV967,$Q$3:Q967,"O")</f>
        <v>349.29929999965668</v>
      </c>
    </row>
    <row r="967" spans="1:78" ht="15.75" customHeight="1">
      <c r="A967" s="45" t="s">
        <v>2792</v>
      </c>
      <c r="B967" s="59"/>
      <c r="C967" s="46"/>
      <c r="D967" s="46"/>
      <c r="E967" s="66"/>
      <c r="F967" s="47"/>
      <c r="G967" s="48"/>
      <c r="H967" s="49"/>
      <c r="I967" s="49"/>
      <c r="J967" s="49"/>
      <c r="K967" s="50"/>
      <c r="L967" s="49"/>
      <c r="M967" s="49"/>
      <c r="N967" s="49"/>
      <c r="O967" s="50"/>
      <c r="P967" s="50"/>
      <c r="Q967" s="50"/>
      <c r="R967" s="50"/>
      <c r="S967" s="50"/>
      <c r="T967" s="50"/>
      <c r="U967" s="50"/>
      <c r="V967" s="50"/>
      <c r="W967" s="50"/>
      <c r="X967" s="50"/>
      <c r="Y967" s="50"/>
      <c r="Z967" s="50"/>
      <c r="AA967" s="52"/>
      <c r="AB967" s="52"/>
      <c r="AC967" s="52"/>
      <c r="AD967" s="231"/>
      <c r="AE967" s="49"/>
      <c r="AF967" s="84"/>
      <c r="AG967" s="49"/>
      <c r="AH967" s="49"/>
      <c r="AI967" s="49"/>
      <c r="AJ967" s="226"/>
      <c r="AK967" s="49"/>
      <c r="AL967" s="113">
        <f t="shared" si="380"/>
        <v>0</v>
      </c>
      <c r="AM967" s="113">
        <f t="shared" si="387"/>
        <v>0</v>
      </c>
      <c r="AN967" s="218"/>
      <c r="AO967" s="49"/>
      <c r="AP967" s="49"/>
      <c r="AQ967" s="84" t="str">
        <f>UPPER(RIGHT(Journal_Live[[#This Row],[DURATION ]]))</f>
        <v/>
      </c>
      <c r="AR967" s="49"/>
      <c r="AS967" s="55"/>
      <c r="AT967" s="55">
        <f t="shared" si="388"/>
        <v>0</v>
      </c>
      <c r="AU967" s="54">
        <f t="shared" si="389"/>
        <v>0</v>
      </c>
      <c r="AV967" s="56">
        <f t="shared" si="381"/>
        <v>0</v>
      </c>
      <c r="AW967" s="57"/>
      <c r="AX967" s="153" t="s">
        <v>2955</v>
      </c>
      <c r="AY967" s="153" t="s">
        <v>2956</v>
      </c>
      <c r="AZ967" s="153" t="s">
        <v>2957</v>
      </c>
      <c r="BA967" s="153"/>
      <c r="BB967" s="153"/>
      <c r="BC967" s="153"/>
      <c r="BD967" s="151"/>
      <c r="BE967" s="152"/>
      <c r="BF967" s="151"/>
      <c r="BG967" s="94">
        <f>SUM($AV$4:AV967)</f>
        <v>6728.4936878819562</v>
      </c>
      <c r="BH967" s="95">
        <f>SUM($AU$4:AU967)</f>
        <v>42012.503836163021</v>
      </c>
      <c r="BI967" s="80">
        <f>SUMIFS($AU$3:AU968,$Q$3:Q968,"F")</f>
        <v>29524.358121878129</v>
      </c>
      <c r="BJ967" s="80">
        <f>SUMIFS($AU$3:AU968,$Q$3:Q968,"S")</f>
        <v>17570.285714285717</v>
      </c>
      <c r="BK967" s="87">
        <f>SUMIFS($AU$3:AU968,$P$3:P968,"W")</f>
        <v>15881.423836163443</v>
      </c>
      <c r="BL967" s="87">
        <f>SUMIFS($AU$3:AU968,$P$3:P968,"R")</f>
        <v>23640.400000000325</v>
      </c>
      <c r="BM967" s="87">
        <f>SUMIFS($AU$3:AU968,$AQ$3:AQ968,"M")</f>
        <v>9283.179999998385</v>
      </c>
      <c r="BN967" s="87">
        <f>SUMIFS($AU$3:AU968,$AQ$3:AQ968,"H")</f>
        <v>11819.200000000877</v>
      </c>
      <c r="BO967" s="87">
        <f>SUMIFS($AU$3:AU968,$AQ$3:AQ968,"D")</f>
        <v>11961.177472527181</v>
      </c>
      <c r="BP967" s="87">
        <f>SUMIFS($AS$3:AS1311,$AO$3:AO1311,"W")</f>
        <v>0</v>
      </c>
      <c r="BQ967" s="87">
        <f>SUMIFS($AU$3:AU968,$Q$3:Q968,"O")</f>
        <v>-9806.1400000007834</v>
      </c>
      <c r="BR967" s="87">
        <f>SUMIFS($AU$3:AU968,$AA$3:AA968,"*")</f>
        <v>38873.602077921219</v>
      </c>
      <c r="BS967" s="87">
        <f>SUMIFS($AU$3:AU968,$AB$3:AB968,"*")</f>
        <v>7005.8599999997941</v>
      </c>
      <c r="BT967" s="87">
        <f>SUMIFS($AU$3:AU968,$AC$3:AC968,"*")</f>
        <v>31860.358121878122</v>
      </c>
      <c r="BU967" s="87">
        <f>SUMIFS($AU$3:AU968,$AA$3:AA968,"*",$AB$3:AB968,"*")</f>
        <v>7301.9999999995771</v>
      </c>
      <c r="BV967" s="87">
        <f>SUMIFS($AU$3:AU968,$AA$3:AA968,"*",$AC$3:AC968,"*")</f>
        <v>29841.316363636532</v>
      </c>
      <c r="BW967" s="87">
        <f>SUMIFS($AU$3:AU968,$AB$3:AB968,"*",$AC$3:AC968,"*")</f>
        <v>3739.199999999998</v>
      </c>
      <c r="BX967" s="87">
        <f>SUMIFS($AV$3:AV968,$Q$3:Q968,"F")</f>
        <v>403.43153082504858</v>
      </c>
      <c r="BY967" s="87">
        <f>SUMIFS($AV$3:AV968,$Q$3:Q968,"S")</f>
        <v>727.76285705724263</v>
      </c>
      <c r="BZ967" s="87">
        <f>SUMIFS($AV$3:AV968,$Q$3:Q968,"O")</f>
        <v>349.29929999965668</v>
      </c>
    </row>
    <row r="968" spans="1:78" ht="15.75" customHeight="1">
      <c r="A968" s="45" t="s">
        <v>2792</v>
      </c>
      <c r="B968" s="59">
        <v>45492</v>
      </c>
      <c r="C968" s="46" t="s">
        <v>2852</v>
      </c>
      <c r="D968" s="46" t="s">
        <v>115</v>
      </c>
      <c r="E968" s="66"/>
      <c r="F968" s="47"/>
      <c r="G968" s="48" t="s">
        <v>2958</v>
      </c>
      <c r="H968" s="49"/>
      <c r="I968" s="49"/>
      <c r="J968" s="49"/>
      <c r="K968" s="50"/>
      <c r="L968" s="49"/>
      <c r="M968" s="49"/>
      <c r="N968" s="49"/>
      <c r="O968" s="50"/>
      <c r="P968" s="50"/>
      <c r="Q968" s="50"/>
      <c r="R968" s="50"/>
      <c r="S968" s="50"/>
      <c r="T968" s="50"/>
      <c r="U968" s="50"/>
      <c r="V968" s="50"/>
      <c r="W968" s="50"/>
      <c r="X968" s="50"/>
      <c r="Y968" s="51"/>
      <c r="Z968" s="52"/>
      <c r="AA968" s="52"/>
      <c r="AB968" s="52"/>
      <c r="AC968" s="52"/>
      <c r="AD968" s="231"/>
      <c r="AE968" s="49"/>
      <c r="AF968" s="84"/>
      <c r="AG968" s="49"/>
      <c r="AH968" s="49"/>
      <c r="AI968" s="49"/>
      <c r="AJ968" s="226"/>
      <c r="AK968" s="49"/>
      <c r="AL968" s="113">
        <f t="shared" si="380"/>
        <v>0</v>
      </c>
      <c r="AM968" s="113">
        <f t="shared" si="387"/>
        <v>0</v>
      </c>
      <c r="AN968" s="218"/>
      <c r="AO968" s="49"/>
      <c r="AP968" s="49"/>
      <c r="AQ968" s="84" t="str">
        <f>UPPER(RIGHT(Journal_Live[[#This Row],[DURATION ]]))</f>
        <v/>
      </c>
      <c r="AR968" s="49"/>
      <c r="AS968" s="55"/>
      <c r="AT968" s="55">
        <f t="shared" si="388"/>
        <v>0</v>
      </c>
      <c r="AU968" s="54">
        <f t="shared" si="389"/>
        <v>0</v>
      </c>
      <c r="AV968" s="56">
        <f t="shared" si="381"/>
        <v>0</v>
      </c>
      <c r="AW968" s="57"/>
      <c r="AX968" s="153"/>
      <c r="AY968" s="153"/>
      <c r="AZ968" s="153"/>
      <c r="BA968" s="153"/>
      <c r="BB968" s="153"/>
      <c r="BC968" s="153"/>
      <c r="BD968" s="151"/>
      <c r="BE968" s="152"/>
      <c r="BF968" s="151"/>
      <c r="BG968" s="94">
        <f>SUM($AV$4:AV968)</f>
        <v>6728.4936878819562</v>
      </c>
      <c r="BH968" s="95">
        <f>SUM($AU$4:AU968)</f>
        <v>42012.503836163021</v>
      </c>
      <c r="BI968" s="80">
        <f>SUMIFS($AU$3:AU974,$Q$3:Q974,"F")</f>
        <v>29524.358121878129</v>
      </c>
      <c r="BJ968" s="80">
        <f>SUMIFS($AU$3:AU974,$Q$3:Q974,"S")</f>
        <v>18290.285714285717</v>
      </c>
      <c r="BK968" s="87">
        <f>SUMIFS($AU$3:AU974,$P$3:P974,"W")</f>
        <v>16025.423836163443</v>
      </c>
      <c r="BL968" s="87">
        <f>SUMIFS($AU$3:AU974,$P$3:P974,"R")</f>
        <v>24216.400000000325</v>
      </c>
      <c r="BM968" s="87">
        <f>SUMIFS($AU$3:AU974,$AQ$3:AQ974,"M")</f>
        <v>9283.179999998385</v>
      </c>
      <c r="BN968" s="87">
        <f>SUMIFS($AU$3:AU974,$AQ$3:AQ974,"H")</f>
        <v>12539.200000000877</v>
      </c>
      <c r="BO968" s="87">
        <f>SUMIFS($AU$3:AU974,$AQ$3:AQ974,"D")</f>
        <v>11961.177472527181</v>
      </c>
      <c r="BP968" s="87">
        <f>SUMIFS($AS$3:AS1312,$AO$3:AO1312,"W")</f>
        <v>0</v>
      </c>
      <c r="BQ968" s="87">
        <f>SUMIFS($AU$3:AU974,$Q$3:Q974,"O")</f>
        <v>-9806.1400000007834</v>
      </c>
      <c r="BR968" s="87">
        <f>SUMIFS($AU$3:AU974,$AA$3:AA974,"*")</f>
        <v>39593.602077921219</v>
      </c>
      <c r="BS968" s="87">
        <f>SUMIFS($AU$3:AU974,$AB$3:AB974,"*")</f>
        <v>7005.8599999997941</v>
      </c>
      <c r="BT968" s="87">
        <f>SUMIFS($AU$3:AU974,$AC$3:AC974,"*")</f>
        <v>31860.358121878122</v>
      </c>
      <c r="BU968" s="87">
        <f>SUMIFS($AU$3:AU974,$AA$3:AA974,"*",$AB$3:AB974,"*")</f>
        <v>7301.9999999995771</v>
      </c>
      <c r="BV968" s="87">
        <f>SUMIFS($AU$3:AU974,$AA$3:AA974,"*",$AC$3:AC974,"*")</f>
        <v>29841.316363636532</v>
      </c>
      <c r="BW968" s="87">
        <f>SUMIFS($AU$3:AU974,$AB$3:AB974,"*",$AC$3:AC974,"*")</f>
        <v>3739.199999999998</v>
      </c>
      <c r="BX968" s="87">
        <f>SUMIFS($AV$3:AV974,$Q$3:Q974,"F")</f>
        <v>403.43153082504858</v>
      </c>
      <c r="BY968" s="87">
        <f>SUMIFS($AV$3:AV974,$Q$3:Q974,"S")</f>
        <v>759.76285705724263</v>
      </c>
      <c r="BZ968" s="87">
        <f>SUMIFS($AV$3:AV974,$Q$3:Q974,"O")</f>
        <v>349.29929999965668</v>
      </c>
    </row>
    <row r="969" spans="1:78" ht="15.75" customHeight="1">
      <c r="A969" s="45" t="s">
        <v>2792</v>
      </c>
      <c r="B969" s="59">
        <v>45497</v>
      </c>
      <c r="C969" s="46" t="s">
        <v>2852</v>
      </c>
      <c r="D969" s="46" t="s">
        <v>186</v>
      </c>
      <c r="E969" s="66"/>
      <c r="F969" s="47"/>
      <c r="G969" s="155" t="s">
        <v>2596</v>
      </c>
      <c r="H969" s="49"/>
      <c r="I969" s="49"/>
      <c r="J969" s="49"/>
      <c r="K969" s="50"/>
      <c r="L969" s="49"/>
      <c r="M969" s="49">
        <v>1</v>
      </c>
      <c r="N969" s="49"/>
      <c r="O969" s="50" t="s">
        <v>100</v>
      </c>
      <c r="P969" s="50" t="s">
        <v>101</v>
      </c>
      <c r="Q969" s="50" t="s">
        <v>102</v>
      </c>
      <c r="R969" s="50">
        <v>25</v>
      </c>
      <c r="S969" s="50">
        <v>0</v>
      </c>
      <c r="T969" s="50">
        <v>25</v>
      </c>
      <c r="U969" s="50" t="s">
        <v>22</v>
      </c>
      <c r="V969" s="50" t="s">
        <v>2898</v>
      </c>
      <c r="W969" s="50" t="s">
        <v>22</v>
      </c>
      <c r="X969" s="50"/>
      <c r="Y969" s="51">
        <f t="shared" ref="Y969:Y975" si="390">IF(ISBLANK(O969),"",(IF(O969=UPPER("IB"),0.005,0.01)))</f>
        <v>0.01</v>
      </c>
      <c r="Z969" s="52">
        <f t="shared" ref="Z969:Z975" si="391">IF(ISBLANK(O969),"",IF(O969="IB",8.63*200,IF(O969="IR",16*100,IF(O969="YT",20*100,IF(O969="YT-XT",24*200,IF(O969="TED",80*100,IF(O969="IR|YT",300*100)))))))</f>
        <v>1600</v>
      </c>
      <c r="AA969" s="52" t="s">
        <v>925</v>
      </c>
      <c r="AB969" s="52"/>
      <c r="AC969" s="52"/>
      <c r="AD969" s="231">
        <v>-0.05</v>
      </c>
      <c r="AE969" s="49"/>
      <c r="AF969" s="84"/>
      <c r="AG969" s="49"/>
      <c r="AH969" s="49"/>
      <c r="AI969" s="49"/>
      <c r="AJ969" s="226"/>
      <c r="AK969" s="49"/>
      <c r="AL969" s="113">
        <f t="shared" ref="AL969:AL973" si="392">-0.02*Z969</f>
        <v>-32</v>
      </c>
      <c r="AM969" s="113">
        <f t="shared" ref="AM969:AM973" si="393">AL969*(R969-S969)</f>
        <v>-800</v>
      </c>
      <c r="AN969" s="218"/>
      <c r="AO969" s="49"/>
      <c r="AP969" s="49" t="s">
        <v>670</v>
      </c>
      <c r="AQ969" s="84" t="s">
        <v>101</v>
      </c>
      <c r="AR969" s="49"/>
      <c r="AS969" s="55">
        <v>-0.05</v>
      </c>
      <c r="AT969" s="55">
        <f t="shared" ref="AT969:AT973" si="394">IF(ISBLANK(AS969),,IF(U969="S",AD969-AS969,AS969-AD969))</f>
        <v>0</v>
      </c>
      <c r="AU969" s="54">
        <f t="shared" ref="AU969:AU973" si="395">AV969*R969</f>
        <v>0</v>
      </c>
      <c r="AV969" s="56">
        <f t="shared" ref="AV969:AV973" si="396">IF(ISBLANK(AS969),,(AT969*Z969))</f>
        <v>0</v>
      </c>
      <c r="AW969" s="57" t="s">
        <v>155</v>
      </c>
      <c r="AX969" s="153"/>
      <c r="AY969" s="153"/>
      <c r="AZ969" s="153"/>
      <c r="BA969" s="153"/>
      <c r="BB969" s="153"/>
      <c r="BC969" s="153"/>
      <c r="BD969" s="151"/>
      <c r="BE969" s="152"/>
      <c r="BF969" s="151"/>
      <c r="BG969" s="94">
        <f>SUM($AV$4:AV969)</f>
        <v>6728.4936878819562</v>
      </c>
      <c r="BH969" s="95">
        <f>SUM($AU$4:AU969)</f>
        <v>42012.503836163021</v>
      </c>
      <c r="BI969" s="80">
        <f>SUMIFS($AU$3:AU970,$Q$3:Q970,"F")</f>
        <v>29524.358121878129</v>
      </c>
      <c r="BJ969" s="80">
        <f>SUMIFS($AU$3:AU970,$Q$3:Q970,"S")</f>
        <v>17570.285714285717</v>
      </c>
      <c r="BK969" s="87">
        <f>SUMIFS($AU$3:AU970,$P$3:P970,"W")</f>
        <v>15881.423836163443</v>
      </c>
      <c r="BL969" s="87">
        <f>SUMIFS($AU$3:AU970,$P$3:P970,"R")</f>
        <v>23640.400000000325</v>
      </c>
      <c r="BM969" s="87">
        <f>SUMIFS($AU$3:AU970,$AQ$3:AQ970,"M")</f>
        <v>9283.179999998385</v>
      </c>
      <c r="BN969" s="87">
        <f>SUMIFS($AU$3:AU970,$AQ$3:AQ970,"H")</f>
        <v>11819.200000000877</v>
      </c>
      <c r="BO969" s="87">
        <f>SUMIFS($AU$3:AU970,$AQ$3:AQ970,"D")</f>
        <v>11961.177472527181</v>
      </c>
      <c r="BP969" s="87">
        <f>SUMIFS($AS$3:AS1308,$AO$3:AO1308,"W")</f>
        <v>0</v>
      </c>
      <c r="BQ969" s="87">
        <f>SUMIFS($AU$3:AU970,$Q$3:Q970,"O")</f>
        <v>-9806.1400000007834</v>
      </c>
      <c r="BR969" s="87">
        <f>SUMIFS($AU$3:AU970,$AA$3:AA970,"*")</f>
        <v>38873.602077921219</v>
      </c>
      <c r="BS969" s="87">
        <f>SUMIFS($AU$3:AU970,$AB$3:AB970,"*")</f>
        <v>7005.8599999997941</v>
      </c>
      <c r="BT969" s="87">
        <f>SUMIFS($AU$3:AU970,$AC$3:AC970,"*")</f>
        <v>31860.358121878122</v>
      </c>
      <c r="BU969" s="87">
        <f>SUMIFS($AU$3:AU970,$AA$3:AA970,"*",$AB$3:AB970,"*")</f>
        <v>7301.9999999995771</v>
      </c>
      <c r="BV969" s="87">
        <f>SUMIFS($AU$3:AU970,$AA$3:AA970,"*",$AC$3:AC970,"*")</f>
        <v>29841.316363636532</v>
      </c>
      <c r="BW969" s="87">
        <f>SUMIFS($AU$3:AU970,$AB$3:AB970,"*",$AC$3:AC970,"*")</f>
        <v>3739.199999999998</v>
      </c>
      <c r="BX969" s="87">
        <f>SUMIFS($AV$3:AV970,$Q$3:Q970,"F")</f>
        <v>403.43153082504858</v>
      </c>
      <c r="BY969" s="87">
        <f>SUMIFS($AV$3:AV970,$Q$3:Q970,"S")</f>
        <v>727.76285705724263</v>
      </c>
      <c r="BZ969" s="87">
        <f>SUMIFS($AV$3:AV970,$Q$3:Q970,"O")</f>
        <v>349.29929999965668</v>
      </c>
    </row>
    <row r="970" spans="1:78" ht="15.75" customHeight="1">
      <c r="A970" s="45" t="s">
        <v>2792</v>
      </c>
      <c r="B970" s="59">
        <v>45497</v>
      </c>
      <c r="C970" s="46" t="s">
        <v>2852</v>
      </c>
      <c r="D970" s="46" t="s">
        <v>186</v>
      </c>
      <c r="E970" s="66"/>
      <c r="F970" s="47"/>
      <c r="G970" s="155" t="s">
        <v>276</v>
      </c>
      <c r="H970" s="49"/>
      <c r="I970" s="49"/>
      <c r="J970" s="49"/>
      <c r="K970" s="50"/>
      <c r="L970" s="49"/>
      <c r="M970" s="49">
        <v>1</v>
      </c>
      <c r="N970" s="49"/>
      <c r="O970" s="50" t="s">
        <v>100</v>
      </c>
      <c r="P970" s="50" t="s">
        <v>101</v>
      </c>
      <c r="Q970" s="50" t="s">
        <v>102</v>
      </c>
      <c r="R970" s="50">
        <v>16</v>
      </c>
      <c r="S970" s="50">
        <v>0</v>
      </c>
      <c r="T970" s="50">
        <v>16</v>
      </c>
      <c r="U970" s="50" t="s">
        <v>22</v>
      </c>
      <c r="V970" s="50" t="s">
        <v>2898</v>
      </c>
      <c r="W970" s="50" t="s">
        <v>22</v>
      </c>
      <c r="X970" s="50"/>
      <c r="Y970" s="51">
        <f t="shared" si="390"/>
        <v>0.01</v>
      </c>
      <c r="Z970" s="52">
        <f t="shared" si="391"/>
        <v>1600</v>
      </c>
      <c r="AA970" s="52" t="s">
        <v>925</v>
      </c>
      <c r="AB970" s="52"/>
      <c r="AC970" s="52"/>
      <c r="AD970" s="231">
        <v>-0.25</v>
      </c>
      <c r="AE970" s="49"/>
      <c r="AF970" s="84"/>
      <c r="AG970" s="49"/>
      <c r="AH970" s="49"/>
      <c r="AI970" s="49"/>
      <c r="AJ970" s="226"/>
      <c r="AK970" s="49"/>
      <c r="AL970" s="113">
        <f t="shared" si="392"/>
        <v>-32</v>
      </c>
      <c r="AM970" s="113">
        <f t="shared" si="393"/>
        <v>-512</v>
      </c>
      <c r="AN970" s="218"/>
      <c r="AO970" s="49"/>
      <c r="AP970" s="49"/>
      <c r="AQ970" s="84" t="s">
        <v>350</v>
      </c>
      <c r="AR970" s="49"/>
      <c r="AS970" s="55">
        <v>-0.25</v>
      </c>
      <c r="AT970" s="55">
        <f t="shared" si="394"/>
        <v>0</v>
      </c>
      <c r="AU970" s="54">
        <f t="shared" si="395"/>
        <v>0</v>
      </c>
      <c r="AV970" s="56">
        <f t="shared" si="396"/>
        <v>0</v>
      </c>
      <c r="AW970" s="57" t="s">
        <v>155</v>
      </c>
      <c r="AX970" s="153" t="s">
        <v>2959</v>
      </c>
      <c r="AY970" s="153"/>
      <c r="AZ970" s="153"/>
      <c r="BA970" s="153"/>
      <c r="BB970" s="153"/>
      <c r="BC970" s="153"/>
      <c r="BD970" s="151"/>
      <c r="BE970" s="152"/>
      <c r="BF970" s="151"/>
      <c r="BG970" s="94">
        <f>SUM($AV$4:AV970)</f>
        <v>6728.4936878819562</v>
      </c>
      <c r="BH970" s="95">
        <f>SUM($AU$4:AU970)</f>
        <v>42012.503836163021</v>
      </c>
      <c r="BI970" s="80">
        <f>SUMIFS($AU$3:AU971,$Q$3:Q971,"F")</f>
        <v>29524.358121878129</v>
      </c>
      <c r="BJ970" s="80">
        <f>SUMIFS($AU$3:AU971,$Q$3:Q971,"S")</f>
        <v>17714.285714285717</v>
      </c>
      <c r="BK970" s="87">
        <f>SUMIFS($AU$3:AU971,$P$3:P971,"W")</f>
        <v>16025.423836163443</v>
      </c>
      <c r="BL970" s="87">
        <f>SUMIFS($AU$3:AU971,$P$3:P971,"R")</f>
        <v>23640.400000000325</v>
      </c>
      <c r="BM970" s="87">
        <f>SUMIFS($AU$3:AU971,$AQ$3:AQ971,"M")</f>
        <v>9283.179999998385</v>
      </c>
      <c r="BN970" s="87">
        <f>SUMIFS($AU$3:AU971,$AQ$3:AQ971,"H")</f>
        <v>11963.200000000877</v>
      </c>
      <c r="BO970" s="87">
        <f>SUMIFS($AU$3:AU971,$AQ$3:AQ971,"D")</f>
        <v>11961.177472527181</v>
      </c>
      <c r="BP970" s="87">
        <f>SUMIFS($AS$3:AS1309,$AO$3:AO1309,"W")</f>
        <v>0</v>
      </c>
      <c r="BQ970" s="87">
        <f>SUMIFS($AU$3:AU971,$Q$3:Q971,"O")</f>
        <v>-9806.1400000007834</v>
      </c>
      <c r="BR970" s="87">
        <f>SUMIFS($AU$3:AU971,$AA$3:AA971,"*")</f>
        <v>39017.602077921219</v>
      </c>
      <c r="BS970" s="87">
        <f>SUMIFS($AU$3:AU971,$AB$3:AB971,"*")</f>
        <v>7005.8599999997941</v>
      </c>
      <c r="BT970" s="87">
        <f>SUMIFS($AU$3:AU971,$AC$3:AC971,"*")</f>
        <v>31860.358121878122</v>
      </c>
      <c r="BU970" s="87">
        <f>SUMIFS($AU$3:AU971,$AA$3:AA971,"*",$AB$3:AB971,"*")</f>
        <v>7301.9999999995771</v>
      </c>
      <c r="BV970" s="87">
        <f>SUMIFS($AU$3:AU971,$AA$3:AA971,"*",$AC$3:AC971,"*")</f>
        <v>29841.316363636532</v>
      </c>
      <c r="BW970" s="87">
        <f>SUMIFS($AU$3:AU971,$AB$3:AB971,"*",$AC$3:AC971,"*")</f>
        <v>3739.199999999998</v>
      </c>
      <c r="BX970" s="87">
        <f>SUMIFS($AV$3:AV971,$Q$3:Q971,"F")</f>
        <v>403.43153082504858</v>
      </c>
      <c r="BY970" s="87">
        <f>SUMIFS($AV$3:AV971,$Q$3:Q971,"S")</f>
        <v>743.76285705724263</v>
      </c>
      <c r="BZ970" s="87">
        <f>SUMIFS($AV$3:AV971,$Q$3:Q971,"O")</f>
        <v>349.29929999965668</v>
      </c>
    </row>
    <row r="971" spans="1:78" ht="15.75" customHeight="1">
      <c r="A971" s="45" t="s">
        <v>2792</v>
      </c>
      <c r="B971" s="59">
        <v>45497</v>
      </c>
      <c r="C971" s="46" t="s">
        <v>2852</v>
      </c>
      <c r="D971" s="46" t="s">
        <v>186</v>
      </c>
      <c r="E971" s="66"/>
      <c r="F971" s="47"/>
      <c r="G971" s="155" t="s">
        <v>181</v>
      </c>
      <c r="H971" s="49"/>
      <c r="I971" s="49"/>
      <c r="J971" s="49"/>
      <c r="K971" s="50"/>
      <c r="L971" s="49"/>
      <c r="M971" s="49">
        <v>1</v>
      </c>
      <c r="N971" s="49"/>
      <c r="O971" s="50" t="s">
        <v>100</v>
      </c>
      <c r="P971" s="50" t="s">
        <v>101</v>
      </c>
      <c r="Q971" s="50" t="s">
        <v>102</v>
      </c>
      <c r="R971" s="50">
        <v>9</v>
      </c>
      <c r="S971" s="50">
        <v>0</v>
      </c>
      <c r="T971" s="50">
        <v>9</v>
      </c>
      <c r="U971" s="50" t="s">
        <v>22</v>
      </c>
      <c r="V971" s="50" t="s">
        <v>2898</v>
      </c>
      <c r="W971" s="50" t="s">
        <v>22</v>
      </c>
      <c r="X971" s="50"/>
      <c r="Y971" s="51">
        <f t="shared" si="390"/>
        <v>0.01</v>
      </c>
      <c r="Z971" s="52">
        <f t="shared" si="391"/>
        <v>1600</v>
      </c>
      <c r="AA971" s="52" t="s">
        <v>2960</v>
      </c>
      <c r="AB971" s="52"/>
      <c r="AC971" s="52"/>
      <c r="AD971" s="231">
        <v>-0.13</v>
      </c>
      <c r="AE971" s="49"/>
      <c r="AF971" s="84"/>
      <c r="AG971" s="49"/>
      <c r="AH971" s="49"/>
      <c r="AI971" s="49"/>
      <c r="AJ971" s="226" t="s">
        <v>2961</v>
      </c>
      <c r="AK971" s="49"/>
      <c r="AL971" s="113">
        <f t="shared" si="392"/>
        <v>-32</v>
      </c>
      <c r="AM971" s="113">
        <f t="shared" si="393"/>
        <v>-288</v>
      </c>
      <c r="AN971" s="218"/>
      <c r="AO971" s="49"/>
      <c r="AP971" s="49"/>
      <c r="AQ971" s="84" t="s">
        <v>142</v>
      </c>
      <c r="AR971" s="49"/>
      <c r="AS971" s="55">
        <v>-0.12</v>
      </c>
      <c r="AT971" s="55">
        <f t="shared" si="394"/>
        <v>1.0000000000000009E-2</v>
      </c>
      <c r="AU971" s="54">
        <f t="shared" si="395"/>
        <v>144.00000000000011</v>
      </c>
      <c r="AV971" s="56">
        <f t="shared" si="396"/>
        <v>16.000000000000014</v>
      </c>
      <c r="AW971" s="57" t="s">
        <v>101</v>
      </c>
      <c r="AX971" s="153"/>
      <c r="AY971" s="153"/>
      <c r="AZ971" s="153"/>
      <c r="BA971" s="153"/>
      <c r="BB971" s="153"/>
      <c r="BC971" s="153"/>
      <c r="BD971" s="151"/>
      <c r="BE971" s="152"/>
      <c r="BF971" s="151"/>
      <c r="BG971" s="94">
        <f>SUM($AV$4:AV971)</f>
        <v>6744.4936878819562</v>
      </c>
      <c r="BH971" s="95">
        <f>SUM($AU$4:AU971)</f>
        <v>42156.503836163021</v>
      </c>
      <c r="BI971" s="80">
        <f>SUMIFS($AU$3:AU972,$Q$3:Q972,"F")</f>
        <v>29524.358121878129</v>
      </c>
      <c r="BJ971" s="80">
        <f>SUMIFS($AU$3:AU972,$Q$3:Q972,"S")</f>
        <v>18290.285714285717</v>
      </c>
      <c r="BK971" s="87">
        <f>SUMIFS($AU$3:AU972,$P$3:P972,"W")</f>
        <v>16025.423836163443</v>
      </c>
      <c r="BL971" s="87">
        <f>SUMIFS($AU$3:AU972,$P$3:P972,"R")</f>
        <v>24216.400000000325</v>
      </c>
      <c r="BM971" s="87">
        <f>SUMIFS($AU$3:AU972,$AQ$3:AQ972,"M")</f>
        <v>9283.179999998385</v>
      </c>
      <c r="BN971" s="87">
        <f>SUMIFS($AU$3:AU972,$AQ$3:AQ972,"H")</f>
        <v>12539.200000000877</v>
      </c>
      <c r="BO971" s="87">
        <f>SUMIFS($AU$3:AU972,$AQ$3:AQ972,"D")</f>
        <v>11961.177472527181</v>
      </c>
      <c r="BP971" s="87">
        <f>SUMIFS($AS$3:AS1310,$AO$3:AO1310,"W")</f>
        <v>0</v>
      </c>
      <c r="BQ971" s="87">
        <f>SUMIFS($AU$3:AU972,$Q$3:Q972,"O")</f>
        <v>-9806.1400000007834</v>
      </c>
      <c r="BR971" s="87">
        <f>SUMIFS($AU$3:AU972,$AA$3:AA972,"*")</f>
        <v>39593.602077921219</v>
      </c>
      <c r="BS971" s="87">
        <f>SUMIFS($AU$3:AU972,$AB$3:AB972,"*")</f>
        <v>7005.8599999997941</v>
      </c>
      <c r="BT971" s="87">
        <f>SUMIFS($AU$3:AU972,$AC$3:AC972,"*")</f>
        <v>31860.358121878122</v>
      </c>
      <c r="BU971" s="87">
        <f>SUMIFS($AU$3:AU972,$AA$3:AA972,"*",$AB$3:AB972,"*")</f>
        <v>7301.9999999995771</v>
      </c>
      <c r="BV971" s="87">
        <f>SUMIFS($AU$3:AU972,$AA$3:AA972,"*",$AC$3:AC972,"*")</f>
        <v>29841.316363636532</v>
      </c>
      <c r="BW971" s="87">
        <f>SUMIFS($AU$3:AU972,$AB$3:AB972,"*",$AC$3:AC972,"*")</f>
        <v>3739.199999999998</v>
      </c>
      <c r="BX971" s="87">
        <f>SUMIFS($AV$3:AV972,$Q$3:Q972,"F")</f>
        <v>403.43153082504858</v>
      </c>
      <c r="BY971" s="87">
        <f>SUMIFS($AV$3:AV972,$Q$3:Q972,"S")</f>
        <v>759.76285705724263</v>
      </c>
      <c r="BZ971" s="87">
        <f>SUMIFS($AV$3:AV972,$Q$3:Q972,"O")</f>
        <v>349.29929999965668</v>
      </c>
    </row>
    <row r="972" spans="1:78" ht="15.75" customHeight="1">
      <c r="A972" s="45" t="s">
        <v>2792</v>
      </c>
      <c r="B972" s="59">
        <v>45497</v>
      </c>
      <c r="C972" s="46" t="s">
        <v>739</v>
      </c>
      <c r="D972" s="46" t="s">
        <v>186</v>
      </c>
      <c r="E972" s="66"/>
      <c r="F972" s="47"/>
      <c r="G972" s="155" t="s">
        <v>2694</v>
      </c>
      <c r="H972" s="49"/>
      <c r="I972" s="49"/>
      <c r="J972" s="49"/>
      <c r="K972" s="50"/>
      <c r="L972" s="49"/>
      <c r="M972" s="49">
        <v>1</v>
      </c>
      <c r="N972" s="49"/>
      <c r="O972" s="50" t="s">
        <v>100</v>
      </c>
      <c r="P972" s="50" t="s">
        <v>126</v>
      </c>
      <c r="Q972" s="50" t="s">
        <v>102</v>
      </c>
      <c r="R972" s="50">
        <v>36</v>
      </c>
      <c r="S972" s="50">
        <v>0</v>
      </c>
      <c r="T972" s="50">
        <v>36</v>
      </c>
      <c r="U972" s="50" t="s">
        <v>22</v>
      </c>
      <c r="V972" s="50" t="s">
        <v>2898</v>
      </c>
      <c r="W972" s="50" t="s">
        <v>22</v>
      </c>
      <c r="X972" s="50"/>
      <c r="Y972" s="51">
        <f t="shared" si="390"/>
        <v>0.01</v>
      </c>
      <c r="Z972" s="52">
        <f t="shared" si="391"/>
        <v>1600</v>
      </c>
      <c r="AA972" s="52" t="s">
        <v>2962</v>
      </c>
      <c r="AB972" s="52"/>
      <c r="AC972" s="52"/>
      <c r="AD972" s="231">
        <v>-0.14000000000000001</v>
      </c>
      <c r="AE972" s="49"/>
      <c r="AF972" s="84"/>
      <c r="AG972" s="49"/>
      <c r="AH972" s="49"/>
      <c r="AI972" s="49"/>
      <c r="AJ972" s="226"/>
      <c r="AK972" s="49"/>
      <c r="AL972" s="113">
        <f t="shared" si="392"/>
        <v>-32</v>
      </c>
      <c r="AM972" s="113">
        <f t="shared" si="393"/>
        <v>-1152</v>
      </c>
      <c r="AN972" s="218"/>
      <c r="AO972" s="49"/>
      <c r="AP972" s="49"/>
      <c r="AQ972" s="84" t="s">
        <v>142</v>
      </c>
      <c r="AR972" s="49" t="s">
        <v>2963</v>
      </c>
      <c r="AS972" s="55">
        <v>-0.13</v>
      </c>
      <c r="AT972" s="55">
        <f t="shared" si="394"/>
        <v>1.0000000000000009E-2</v>
      </c>
      <c r="AU972" s="54">
        <f t="shared" si="395"/>
        <v>576.00000000000045</v>
      </c>
      <c r="AV972" s="56">
        <f t="shared" si="396"/>
        <v>16.000000000000014</v>
      </c>
      <c r="AW972" s="57" t="s">
        <v>101</v>
      </c>
      <c r="AX972" s="153"/>
      <c r="AY972" s="153"/>
      <c r="AZ972" s="153"/>
      <c r="BA972" s="153"/>
      <c r="BB972" s="153"/>
      <c r="BC972" s="153"/>
      <c r="BD972" s="151"/>
      <c r="BE972" s="152"/>
      <c r="BF972" s="151"/>
      <c r="BG972" s="94">
        <f>SUM($AV$4:AV972)</f>
        <v>6760.4936878819562</v>
      </c>
      <c r="BH972" s="95">
        <f>SUM($AU$4:AU972)</f>
        <v>42732.503836163021</v>
      </c>
      <c r="BI972" s="80">
        <f>SUMIFS($AU$3:AU973,$Q$3:Q973,"F")</f>
        <v>29524.358121878129</v>
      </c>
      <c r="BJ972" s="80">
        <f>SUMIFS($AU$3:AU973,$Q$3:Q973,"S")</f>
        <v>18290.285714285717</v>
      </c>
      <c r="BK972" s="87">
        <f>SUMIFS($AU$3:AU973,$P$3:P973,"W")</f>
        <v>16025.423836163443</v>
      </c>
      <c r="BL972" s="87">
        <f>SUMIFS($AU$3:AU973,$P$3:P973,"R")</f>
        <v>24216.400000000325</v>
      </c>
      <c r="BM972" s="87">
        <f>SUMIFS($AU$3:AU973,$AQ$3:AQ973,"M")</f>
        <v>9283.179999998385</v>
      </c>
      <c r="BN972" s="87">
        <f>SUMIFS($AU$3:AU973,$AQ$3:AQ973,"H")</f>
        <v>12539.200000000877</v>
      </c>
      <c r="BO972" s="87">
        <f>SUMIFS($AU$3:AU973,$AQ$3:AQ973,"D")</f>
        <v>11961.177472527181</v>
      </c>
      <c r="BP972" s="87">
        <f>SUMIFS($AS$3:AS1311,$AO$3:AO1311,"W")</f>
        <v>0</v>
      </c>
      <c r="BQ972" s="87">
        <f>SUMIFS($AU$3:AU973,$Q$3:Q973,"O")</f>
        <v>-9806.1400000007834</v>
      </c>
      <c r="BR972" s="87">
        <f>SUMIFS($AU$3:AU973,$AA$3:AA973,"*")</f>
        <v>39593.602077921219</v>
      </c>
      <c r="BS972" s="87">
        <f>SUMIFS($AU$3:AU973,$AB$3:AB973,"*")</f>
        <v>7005.8599999997941</v>
      </c>
      <c r="BT972" s="87">
        <f>SUMIFS($AU$3:AU973,$AC$3:AC973,"*")</f>
        <v>31860.358121878122</v>
      </c>
      <c r="BU972" s="87">
        <f>SUMIFS($AU$3:AU973,$AA$3:AA973,"*",$AB$3:AB973,"*")</f>
        <v>7301.9999999995771</v>
      </c>
      <c r="BV972" s="87">
        <f>SUMIFS($AU$3:AU973,$AA$3:AA973,"*",$AC$3:AC973,"*")</f>
        <v>29841.316363636532</v>
      </c>
      <c r="BW972" s="87">
        <f>SUMIFS($AU$3:AU973,$AB$3:AB973,"*",$AC$3:AC973,"*")</f>
        <v>3739.199999999998</v>
      </c>
      <c r="BX972" s="87">
        <f>SUMIFS($AV$3:AV973,$Q$3:Q973,"F")</f>
        <v>403.43153082504858</v>
      </c>
      <c r="BY972" s="87">
        <f>SUMIFS($AV$3:AV973,$Q$3:Q973,"S")</f>
        <v>759.76285705724263</v>
      </c>
      <c r="BZ972" s="87">
        <f>SUMIFS($AV$3:AV973,$Q$3:Q973,"O")</f>
        <v>349.29929999965668</v>
      </c>
    </row>
    <row r="973" spans="1:78" ht="15.75" customHeight="1">
      <c r="A973" s="45" t="s">
        <v>2792</v>
      </c>
      <c r="B973" s="59">
        <v>45497</v>
      </c>
      <c r="C973" s="46" t="s">
        <v>2852</v>
      </c>
      <c r="D973" s="46" t="s">
        <v>186</v>
      </c>
      <c r="E973" s="66"/>
      <c r="F973" s="47"/>
      <c r="G973" s="48" t="s">
        <v>2823</v>
      </c>
      <c r="H973" s="49"/>
      <c r="I973" s="49"/>
      <c r="J973" s="49"/>
      <c r="K973" s="50"/>
      <c r="L973" s="49"/>
      <c r="M973" s="49">
        <v>1</v>
      </c>
      <c r="N973" s="49"/>
      <c r="O973" s="50" t="s">
        <v>100</v>
      </c>
      <c r="P973" s="50" t="s">
        <v>126</v>
      </c>
      <c r="Q973" s="50" t="s">
        <v>102</v>
      </c>
      <c r="R973" s="50">
        <v>16</v>
      </c>
      <c r="S973" s="50">
        <v>0</v>
      </c>
      <c r="T973" s="50">
        <v>16</v>
      </c>
      <c r="U973" s="50" t="s">
        <v>102</v>
      </c>
      <c r="V973" s="50" t="s">
        <v>2898</v>
      </c>
      <c r="W973" s="50" t="s">
        <v>22</v>
      </c>
      <c r="X973" s="50"/>
      <c r="Y973" s="51">
        <f t="shared" si="390"/>
        <v>0.01</v>
      </c>
      <c r="Z973" s="52">
        <f t="shared" si="391"/>
        <v>1600</v>
      </c>
      <c r="AA973" s="52"/>
      <c r="AB973" s="52"/>
      <c r="AC973" s="52" t="s">
        <v>2964</v>
      </c>
      <c r="AD973" s="231">
        <v>-0.18</v>
      </c>
      <c r="AE973" s="49"/>
      <c r="AF973" s="84"/>
      <c r="AG973" s="49"/>
      <c r="AH973" s="49"/>
      <c r="AI973" s="49"/>
      <c r="AJ973" s="226"/>
      <c r="AK973" s="49"/>
      <c r="AL973" s="113">
        <f t="shared" si="392"/>
        <v>-32</v>
      </c>
      <c r="AM973" s="113">
        <f t="shared" si="393"/>
        <v>-512</v>
      </c>
      <c r="AN973" s="218"/>
      <c r="AO973" s="49"/>
      <c r="AP973" s="49"/>
      <c r="AQ973" s="84" t="s">
        <v>142</v>
      </c>
      <c r="AR973" s="49"/>
      <c r="AS973" s="55">
        <v>-0.18</v>
      </c>
      <c r="AT973" s="55">
        <f t="shared" si="394"/>
        <v>0</v>
      </c>
      <c r="AU973" s="54">
        <f t="shared" si="395"/>
        <v>0</v>
      </c>
      <c r="AV973" s="56">
        <f t="shared" si="396"/>
        <v>0</v>
      </c>
      <c r="AW973" s="57" t="s">
        <v>155</v>
      </c>
      <c r="AX973" s="153"/>
      <c r="AY973" s="153"/>
      <c r="AZ973" s="153"/>
      <c r="BA973" s="153"/>
      <c r="BB973" s="153"/>
      <c r="BC973" s="153"/>
      <c r="BD973" s="151"/>
      <c r="BE973" s="152"/>
      <c r="BF973" s="151"/>
      <c r="BG973" s="94">
        <f>SUM($AV$4:AV973)</f>
        <v>6760.4936878819562</v>
      </c>
      <c r="BH973" s="95">
        <f>SUM($AU$4:AU973)</f>
        <v>42732.503836163021</v>
      </c>
      <c r="BI973" s="80">
        <f>SUMIFS($AU$3:AU974,$Q$3:Q974,"F")</f>
        <v>29524.358121878129</v>
      </c>
      <c r="BJ973" s="80">
        <f>SUMIFS($AU$3:AU974,$Q$3:Q974,"S")</f>
        <v>18290.285714285717</v>
      </c>
      <c r="BK973" s="87">
        <f>SUMIFS($AU$3:AU974,$P$3:P974,"W")</f>
        <v>16025.423836163443</v>
      </c>
      <c r="BL973" s="87">
        <f>SUMIFS($AU$3:AU974,$P$3:P974,"R")</f>
        <v>24216.400000000325</v>
      </c>
      <c r="BM973" s="87">
        <f>SUMIFS($AU$3:AU974,$AQ$3:AQ974,"M")</f>
        <v>9283.179999998385</v>
      </c>
      <c r="BN973" s="87">
        <f>SUMIFS($AU$3:AU974,$AQ$3:AQ974,"H")</f>
        <v>12539.200000000877</v>
      </c>
      <c r="BO973" s="87">
        <f>SUMIFS($AU$3:AU974,$AQ$3:AQ974,"D")</f>
        <v>11961.177472527181</v>
      </c>
      <c r="BP973" s="87">
        <f>SUMIFS($AS$3:AS1312,$AO$3:AO1312,"W")</f>
        <v>0</v>
      </c>
      <c r="BQ973" s="87">
        <f>SUMIFS($AU$3:AU974,$Q$3:Q974,"O")</f>
        <v>-9806.1400000007834</v>
      </c>
      <c r="BR973" s="87">
        <f>SUMIFS($AU$3:AU974,$AA$3:AA974,"*")</f>
        <v>39593.602077921219</v>
      </c>
      <c r="BS973" s="87">
        <f>SUMIFS($AU$3:AU974,$AB$3:AB974,"*")</f>
        <v>7005.8599999997941</v>
      </c>
      <c r="BT973" s="87">
        <f>SUMIFS($AU$3:AU974,$AC$3:AC974,"*")</f>
        <v>31860.358121878122</v>
      </c>
      <c r="BU973" s="87">
        <f>SUMIFS($AU$3:AU974,$AA$3:AA974,"*",$AB$3:AB974,"*")</f>
        <v>7301.9999999995771</v>
      </c>
      <c r="BV973" s="87">
        <f>SUMIFS($AU$3:AU974,$AA$3:AA974,"*",$AC$3:AC974,"*")</f>
        <v>29841.316363636532</v>
      </c>
      <c r="BW973" s="87">
        <f>SUMIFS($AU$3:AU974,$AB$3:AB974,"*",$AC$3:AC974,"*")</f>
        <v>3739.199999999998</v>
      </c>
      <c r="BX973" s="87">
        <f>SUMIFS($AV$3:AV974,$Q$3:Q974,"F")</f>
        <v>403.43153082504858</v>
      </c>
      <c r="BY973" s="87">
        <f>SUMIFS($AV$3:AV974,$Q$3:Q974,"S")</f>
        <v>759.76285705724263</v>
      </c>
      <c r="BZ973" s="87">
        <f>SUMIFS($AV$3:AV974,$Q$3:Q974,"O")</f>
        <v>349.29929999965668</v>
      </c>
    </row>
    <row r="974" spans="1:78" ht="15.75" customHeight="1">
      <c r="A974" s="45" t="s">
        <v>2792</v>
      </c>
      <c r="B974" s="59">
        <v>45497</v>
      </c>
      <c r="C974" s="46" t="s">
        <v>2852</v>
      </c>
      <c r="D974" s="46" t="s">
        <v>186</v>
      </c>
      <c r="E974" s="66"/>
      <c r="F974" s="47"/>
      <c r="G974" s="155" t="s">
        <v>2965</v>
      </c>
      <c r="H974" s="49"/>
      <c r="I974" s="49"/>
      <c r="J974" s="49"/>
      <c r="K974" s="50"/>
      <c r="L974" s="49"/>
      <c r="M974" s="49">
        <v>1</v>
      </c>
      <c r="N974" s="49"/>
      <c r="O974" s="50" t="s">
        <v>100</v>
      </c>
      <c r="P974" s="50" t="s">
        <v>126</v>
      </c>
      <c r="Q974" s="50" t="s">
        <v>102</v>
      </c>
      <c r="R974" s="50">
        <v>18</v>
      </c>
      <c r="S974" s="50">
        <v>0</v>
      </c>
      <c r="T974" s="50">
        <v>18</v>
      </c>
      <c r="U974" s="50" t="s">
        <v>102</v>
      </c>
      <c r="V974" s="50" t="s">
        <v>2898</v>
      </c>
      <c r="W974" s="50" t="s">
        <v>22</v>
      </c>
      <c r="X974" s="50"/>
      <c r="Y974" s="51">
        <f t="shared" si="390"/>
        <v>0.01</v>
      </c>
      <c r="Z974" s="52">
        <f t="shared" si="391"/>
        <v>1600</v>
      </c>
      <c r="AA974" s="52"/>
      <c r="AB974" s="52"/>
      <c r="AC974" s="52" t="s">
        <v>2966</v>
      </c>
      <c r="AD974" s="231">
        <v>-0.08</v>
      </c>
      <c r="AE974" s="49"/>
      <c r="AF974" s="84"/>
      <c r="AG974" s="49"/>
      <c r="AH974" s="49"/>
      <c r="AI974" s="49"/>
      <c r="AJ974" s="226"/>
      <c r="AK974" s="49"/>
      <c r="AL974" s="113">
        <f t="shared" si="380"/>
        <v>-32</v>
      </c>
      <c r="AM974" s="113">
        <f t="shared" si="387"/>
        <v>-576</v>
      </c>
      <c r="AN974" s="218"/>
      <c r="AO974" s="49"/>
      <c r="AP974" s="49" t="s">
        <v>2967</v>
      </c>
      <c r="AQ974" s="84" t="s">
        <v>155</v>
      </c>
      <c r="AR974" s="74">
        <v>45503</v>
      </c>
      <c r="AS974" s="55">
        <v>-0.08</v>
      </c>
      <c r="AT974" s="55">
        <f t="shared" si="388"/>
        <v>0</v>
      </c>
      <c r="AU974" s="54">
        <f t="shared" si="389"/>
        <v>0</v>
      </c>
      <c r="AV974" s="56">
        <f t="shared" si="381"/>
        <v>0</v>
      </c>
      <c r="AW974" s="57" t="s">
        <v>155</v>
      </c>
      <c r="AX974" s="153"/>
      <c r="AY974" s="153"/>
      <c r="AZ974" s="153"/>
      <c r="BA974" s="153"/>
      <c r="BB974" s="153"/>
      <c r="BC974" s="153"/>
      <c r="BD974" s="151"/>
      <c r="BE974" s="152"/>
      <c r="BF974" s="151"/>
      <c r="BG974" s="94">
        <f>SUM($AV$4:AV974)</f>
        <v>6760.4936878819562</v>
      </c>
      <c r="BH974" s="95">
        <f>SUM($AU$4:AU974)</f>
        <v>42732.503836163021</v>
      </c>
      <c r="BI974" s="80">
        <f>SUMIFS($AU$3:AU975,$Q$3:Q975,"F")</f>
        <v>29584.358121878129</v>
      </c>
      <c r="BJ974" s="80">
        <f>SUMIFS($AU$3:AU975,$Q$3:Q975,"S")</f>
        <v>18290.285714285717</v>
      </c>
      <c r="BK974" s="87">
        <f>SUMIFS($AU$3:AU975,$P$3:P975,"W")</f>
        <v>16085.423836163443</v>
      </c>
      <c r="BL974" s="87">
        <f>SUMIFS($AU$3:AU975,$P$3:P975,"R")</f>
        <v>24216.400000000325</v>
      </c>
      <c r="BM974" s="87">
        <f>SUMIFS($AU$3:AU975,$AQ$3:AQ975,"M")</f>
        <v>9283.179999998385</v>
      </c>
      <c r="BN974" s="87">
        <f>SUMIFS($AU$3:AU975,$AQ$3:AQ975,"H")</f>
        <v>12539.200000000877</v>
      </c>
      <c r="BO974" s="87">
        <f>SUMIFS($AU$3:AU975,$AQ$3:AQ975,"D")</f>
        <v>12021.177472527181</v>
      </c>
      <c r="BP974" s="87">
        <f>SUMIFS($AS$3:AS1313,$AO$3:AO1313,"W")</f>
        <v>0</v>
      </c>
      <c r="BQ974" s="87">
        <f>SUMIFS($AU$3:AU975,$Q$3:Q975,"O")</f>
        <v>-9806.1400000007834</v>
      </c>
      <c r="BR974" s="87">
        <f>SUMIFS($AU$3:AU975,$AA$3:AA975,"*")</f>
        <v>39653.602077921219</v>
      </c>
      <c r="BS974" s="87">
        <f>SUMIFS($AU$3:AU975,$AB$3:AB975,"*")</f>
        <v>7005.8599999997941</v>
      </c>
      <c r="BT974" s="87">
        <f>SUMIFS($AU$3:AU975,$AC$3:AC975,"*")</f>
        <v>31920.358121878122</v>
      </c>
      <c r="BU974" s="87">
        <f>SUMIFS($AU$3:AU975,$AA$3:AA975,"*",$AB$3:AB975,"*")</f>
        <v>7301.9999999995771</v>
      </c>
      <c r="BV974" s="87">
        <f>SUMIFS($AU$3:AU975,$AA$3:AA975,"*",$AC$3:AC975,"*")</f>
        <v>29901.316363636532</v>
      </c>
      <c r="BW974" s="87">
        <f>SUMIFS($AU$3:AU975,$AB$3:AB975,"*",$AC$3:AC975,"*")</f>
        <v>3739.199999999998</v>
      </c>
      <c r="BX974" s="87">
        <f>SUMIFS($AV$3:AV975,$Q$3:Q975,"F")</f>
        <v>409.43153082504858</v>
      </c>
      <c r="BY974" s="87">
        <f>SUMIFS($AV$3:AV975,$Q$3:Q975,"S")</f>
        <v>759.76285705724263</v>
      </c>
      <c r="BZ974" s="87">
        <f>SUMIFS($AV$3:AV975,$Q$3:Q975,"O")</f>
        <v>349.29929999965668</v>
      </c>
    </row>
    <row r="975" spans="1:78" ht="15.75" customHeight="1">
      <c r="A975" s="45" t="s">
        <v>2792</v>
      </c>
      <c r="B975" s="59">
        <v>45489</v>
      </c>
      <c r="C975" s="46" t="s">
        <v>2847</v>
      </c>
      <c r="D975" s="46" t="s">
        <v>98</v>
      </c>
      <c r="E975" s="66"/>
      <c r="F975" s="47"/>
      <c r="G975" s="104" t="s">
        <v>2905</v>
      </c>
      <c r="H975" s="49"/>
      <c r="I975" s="49"/>
      <c r="J975" s="49"/>
      <c r="K975" s="50"/>
      <c r="L975" s="49"/>
      <c r="M975" s="49">
        <v>2</v>
      </c>
      <c r="N975" s="49"/>
      <c r="O975" s="50" t="s">
        <v>100</v>
      </c>
      <c r="P975" s="50" t="s">
        <v>101</v>
      </c>
      <c r="Q975" s="50" t="s">
        <v>127</v>
      </c>
      <c r="R975" s="50">
        <v>10</v>
      </c>
      <c r="S975" s="50">
        <v>10</v>
      </c>
      <c r="T975" s="50">
        <v>9</v>
      </c>
      <c r="U975" s="50" t="s">
        <v>22</v>
      </c>
      <c r="V975" s="50" t="s">
        <v>2906</v>
      </c>
      <c r="W975" s="50" t="s">
        <v>20</v>
      </c>
      <c r="X975" s="50"/>
      <c r="Y975" s="51">
        <f t="shared" si="390"/>
        <v>0.01</v>
      </c>
      <c r="Z975" s="52">
        <f t="shared" si="391"/>
        <v>1600</v>
      </c>
      <c r="AA975" s="52" t="s">
        <v>1889</v>
      </c>
      <c r="AB975" s="52"/>
      <c r="AC975" s="52" t="s">
        <v>2907</v>
      </c>
      <c r="AD975" s="231">
        <f>((-0.015*9)+(0*27))/36</f>
        <v>-3.7500000000000003E-3</v>
      </c>
      <c r="AE975" s="49"/>
      <c r="AF975" s="84"/>
      <c r="AG975" s="49"/>
      <c r="AH975" s="49" t="s">
        <v>2968</v>
      </c>
      <c r="AI975" s="49" t="s">
        <v>2909</v>
      </c>
      <c r="AJ975" s="226"/>
      <c r="AK975" s="49"/>
      <c r="AL975" s="113">
        <f>-0.02*Z975</f>
        <v>-32</v>
      </c>
      <c r="AM975" s="113">
        <f>AL975*(R975-S975)</f>
        <v>0</v>
      </c>
      <c r="AN975" s="97" t="s">
        <v>2910</v>
      </c>
      <c r="AO975" s="49" t="s">
        <v>2911</v>
      </c>
      <c r="AP975" s="49"/>
      <c r="AQ975" s="84" t="s">
        <v>155</v>
      </c>
      <c r="AR975" s="49"/>
      <c r="AS975" s="55">
        <f>((0*10)+(0*26))/36</f>
        <v>0</v>
      </c>
      <c r="AT975" s="55">
        <f>IF(ISBLANK(AS975),,IF(U975="S",AD975-AS975,AS975-AD975))</f>
        <v>3.7500000000000003E-3</v>
      </c>
      <c r="AU975" s="54">
        <f>AV975*R975</f>
        <v>60.000000000000007</v>
      </c>
      <c r="AV975" s="56">
        <f t="shared" si="381"/>
        <v>6.0000000000000009</v>
      </c>
      <c r="AW975" s="57" t="s">
        <v>101</v>
      </c>
      <c r="AX975" s="153"/>
      <c r="AY975" s="153"/>
      <c r="AZ975" s="153"/>
      <c r="BA975" s="153"/>
      <c r="BB975" s="153"/>
      <c r="BC975" s="153"/>
      <c r="BD975" s="151"/>
      <c r="BE975" s="152"/>
      <c r="BF975" s="151"/>
      <c r="BG975" s="94">
        <f>SUM($AV$4:AV975)</f>
        <v>6766.4936878819562</v>
      </c>
      <c r="BH975" s="95">
        <f>SUM($AU$4:AU975)</f>
        <v>42792.503836163021</v>
      </c>
      <c r="BI975" s="80">
        <f>SUMIFS($AU$3:AU993,$Q$3:Q993,"F")</f>
        <v>28758.758121878131</v>
      </c>
      <c r="BJ975" s="80">
        <f>SUMIFS($AU$3:AU976,$Q$3:Q976,"S")</f>
        <v>18290.285714285717</v>
      </c>
      <c r="BK975" s="87">
        <f>SUMIFS($AU$3:AU993,$P$3:P993,"W")</f>
        <v>16085.423836163443</v>
      </c>
      <c r="BL975" s="87">
        <f>SUMIFS($AU$3:AU993,$P$3:P993,"R")</f>
        <v>23278.800000000327</v>
      </c>
      <c r="BM975" s="87">
        <f>SUMIFS($AU$3:AU993,$AQ$3:AQ993,"M")</f>
        <v>9563.1799999983832</v>
      </c>
      <c r="BN975" s="87">
        <f>SUMIFS($AU$3:AU993,$AQ$3:AQ993,"H")</f>
        <v>12587.200000000877</v>
      </c>
      <c r="BO975" s="87">
        <f>SUMIFS($AU$3:AU993,$AQ$3:AQ993,"D")</f>
        <v>11195.57747252718</v>
      </c>
      <c r="BP975" s="87">
        <f>SUMIFS($AS$3:AS1333,$AO$3:AO1333,"W")</f>
        <v>0</v>
      </c>
      <c r="BQ975" s="87">
        <f>SUMIFS($AU$3:AU993,$Q$3:Q993,"O")</f>
        <v>-9366.1400000007852</v>
      </c>
      <c r="BR975" s="87">
        <f>SUMIFS($AU$3:AU993,$AA$3:AA993,"*")</f>
        <v>39156.002077921221</v>
      </c>
      <c r="BS975" s="87">
        <f>SUMIFS($AU$3:AU993,$AB$3:AB993,"*")</f>
        <v>7005.8599999997941</v>
      </c>
      <c r="BT975" s="87">
        <f>SUMIFS($AU$3:AU993,$AC$3:AC993,"*")</f>
        <v>31968.358121878122</v>
      </c>
      <c r="BU975" s="87">
        <f>SUMIFS($AU$3:AU993,$AA$3:AA993,"*",$AB$3:AB993,"*")</f>
        <v>7301.9999999995771</v>
      </c>
      <c r="BV975" s="87">
        <f>SUMIFS($AU$3:AU993,$AA$3:AA993,"*",$AC$3:AC993,"*")</f>
        <v>29949.316363636532</v>
      </c>
      <c r="BW975" s="87">
        <f>SUMIFS($AU$3:AU993,$AB$3:AB993,"*",$AC$3:AC993,"*")</f>
        <v>3739.199999999998</v>
      </c>
      <c r="BX975" s="87">
        <f>SUMIFS($AV$3:AV993,$Q$3:Q993,"F")</f>
        <v>396.72999236351012</v>
      </c>
      <c r="BY975" s="87">
        <f>SUMIFS($AV$3:AV993,$Q$3:Q993,"S")</f>
        <v>775.76285705724263</v>
      </c>
      <c r="BZ975" s="87">
        <f>SUMIFS($AV$3:AV993,$Q$3:Q993,"O")</f>
        <v>569.29929999965555</v>
      </c>
    </row>
    <row r="976" spans="1:78" ht="15.75" customHeight="1">
      <c r="A976" s="45" t="s">
        <v>2792</v>
      </c>
      <c r="B976" s="59"/>
      <c r="C976" s="46"/>
      <c r="D976" s="46"/>
      <c r="E976" s="66"/>
      <c r="F976" s="47"/>
      <c r="G976" s="48"/>
      <c r="H976" s="49"/>
      <c r="I976" s="49"/>
      <c r="J976" s="49"/>
      <c r="K976" s="50"/>
      <c r="L976" s="49"/>
      <c r="M976" s="49"/>
      <c r="N976" s="49"/>
      <c r="O976" s="50"/>
      <c r="P976" s="50"/>
      <c r="Q976" s="50"/>
      <c r="R976" s="50"/>
      <c r="S976" s="50"/>
      <c r="T976" s="50"/>
      <c r="U976" s="50"/>
      <c r="V976" s="50"/>
      <c r="W976" s="50"/>
      <c r="X976" s="50"/>
      <c r="Y976" s="51"/>
      <c r="Z976" s="52"/>
      <c r="AA976" s="52"/>
      <c r="AB976" s="52"/>
      <c r="AC976" s="52"/>
      <c r="AD976" s="231"/>
      <c r="AE976" s="49"/>
      <c r="AF976" s="84"/>
      <c r="AG976" s="49"/>
      <c r="AH976" s="49"/>
      <c r="AI976" s="49"/>
      <c r="AJ976" s="226"/>
      <c r="AK976" s="49"/>
      <c r="AL976" s="113">
        <f t="shared" ref="AL976:AL992" si="397">-0.02*Z976</f>
        <v>0</v>
      </c>
      <c r="AM976" s="113">
        <f t="shared" ref="AM976:AM992" si="398">AL976*(R976-S976)</f>
        <v>0</v>
      </c>
      <c r="AN976" s="218"/>
      <c r="AO976" s="49"/>
      <c r="AP976" s="49"/>
      <c r="AQ976" s="84" t="str">
        <f>UPPER(RIGHT(Journal_Live[[#This Row],[DURATION ]]))</f>
        <v/>
      </c>
      <c r="AR976" s="49"/>
      <c r="AS976" s="55"/>
      <c r="AT976" s="55">
        <f t="shared" ref="AT976:AT992" si="399">IF(ISBLANK(AS976),,IF(U976="S",AD976-AS976,AS976-AD976))</f>
        <v>0</v>
      </c>
      <c r="AU976" s="54">
        <f t="shared" ref="AU976:AU992" si="400">AV976*R976</f>
        <v>0</v>
      </c>
      <c r="AV976" s="56">
        <f t="shared" si="381"/>
        <v>0</v>
      </c>
      <c r="AW976" s="57"/>
      <c r="AX976" s="153" t="s">
        <v>2969</v>
      </c>
      <c r="AY976" s="222" t="s">
        <v>2970</v>
      </c>
      <c r="AZ976" s="153" t="s">
        <v>2971</v>
      </c>
      <c r="BA976" s="153" t="s">
        <v>2972</v>
      </c>
      <c r="BB976" s="153"/>
      <c r="BC976" s="153"/>
      <c r="BD976" s="151"/>
      <c r="BE976" s="152"/>
      <c r="BF976" s="151"/>
      <c r="BG976" s="94">
        <f>SUM($AV$4:AV976)</f>
        <v>6766.4936878819562</v>
      </c>
      <c r="BH976" s="95">
        <f>SUM($AU$4:AU976)</f>
        <v>42792.503836163021</v>
      </c>
      <c r="BI976" s="80">
        <f>SUMIFS($AU$3:AU977,$Q$3:Q977,"F")</f>
        <v>29584.358121878129</v>
      </c>
      <c r="BJ976" s="80">
        <f>SUMIFS($AU$3:AU977,$Q$3:Q977,"S")</f>
        <v>18290.285714285717</v>
      </c>
      <c r="BK976" s="87">
        <f>SUMIFS($AU$3:AU977,$P$3:P977,"W")</f>
        <v>16085.423836163443</v>
      </c>
      <c r="BL976" s="87">
        <f>SUMIFS($AU$3:AU977,$P$3:P977,"R")</f>
        <v>24056.400000000325</v>
      </c>
      <c r="BM976" s="87">
        <f>SUMIFS($AU$3:AU977,$AQ$3:AQ977,"M")</f>
        <v>9123.179999998385</v>
      </c>
      <c r="BN976" s="87">
        <f>SUMIFS($AU$3:AU977,$AQ$3:AQ977,"H")</f>
        <v>12539.200000000877</v>
      </c>
      <c r="BO976" s="87">
        <f>SUMIFS($AU$3:AU977,$AQ$3:AQ977,"D")</f>
        <v>12021.177472527181</v>
      </c>
      <c r="BP976" s="87">
        <f>SUMIFS($AS$3:AS1306,$AO$3:AO1306,"W")</f>
        <v>0</v>
      </c>
      <c r="BQ976" s="87">
        <f>SUMIFS($AU$3:AU977,$Q$3:Q977,"O")</f>
        <v>-9806.1400000007834</v>
      </c>
      <c r="BR976" s="87">
        <f>SUMIFS($AU$3:AU977,$AA$3:AA977,"*")</f>
        <v>39493.602077921219</v>
      </c>
      <c r="BS976" s="87">
        <f>SUMIFS($AU$3:AU977,$AB$3:AB977,"*")</f>
        <v>7005.8599999997941</v>
      </c>
      <c r="BT976" s="87">
        <f>SUMIFS($AU$3:AU977,$AC$3:AC977,"*")</f>
        <v>31920.358121878122</v>
      </c>
      <c r="BU976" s="87">
        <f>SUMIFS($AU$3:AU977,$AA$3:AA977,"*",$AB$3:AB977,"*")</f>
        <v>7301.9999999995771</v>
      </c>
      <c r="BV976" s="87">
        <f>SUMIFS($AU$3:AU977,$AA$3:AA977,"*",$AC$3:AC977,"*")</f>
        <v>29901.316363636532</v>
      </c>
      <c r="BW976" s="87">
        <f>SUMIFS($AU$3:AU977,$AB$3:AB977,"*",$AC$3:AC977,"*")</f>
        <v>3739.199999999998</v>
      </c>
      <c r="BX976" s="87">
        <f>SUMIFS($AV$3:AV977,$Q$3:Q977,"F")</f>
        <v>409.43153082504858</v>
      </c>
      <c r="BY976" s="87">
        <f>SUMIFS($AV$3:AV977,$Q$3:Q977,"S")</f>
        <v>759.76285705724263</v>
      </c>
      <c r="BZ976" s="87">
        <f>SUMIFS($AV$3:AV977,$Q$3:Q977,"O")</f>
        <v>349.29929999965668</v>
      </c>
    </row>
    <row r="977" spans="1:78" ht="15.75" customHeight="1">
      <c r="A977" s="45" t="s">
        <v>2792</v>
      </c>
      <c r="B977" s="59">
        <v>45503</v>
      </c>
      <c r="C977" s="46" t="s">
        <v>2852</v>
      </c>
      <c r="D977" s="46" t="s">
        <v>98</v>
      </c>
      <c r="E977" s="66"/>
      <c r="F977" s="47"/>
      <c r="G977" s="48" t="s">
        <v>1111</v>
      </c>
      <c r="H977" s="49"/>
      <c r="I977" s="49"/>
      <c r="J977" s="49"/>
      <c r="K977" s="50"/>
      <c r="L977" s="49">
        <v>1</v>
      </c>
      <c r="M977" s="49"/>
      <c r="N977" s="49"/>
      <c r="O977" s="50" t="s">
        <v>363</v>
      </c>
      <c r="P977" s="50" t="s">
        <v>126</v>
      </c>
      <c r="Q977" s="50"/>
      <c r="R977" s="50">
        <v>1</v>
      </c>
      <c r="S977" s="50">
        <v>0</v>
      </c>
      <c r="T977" s="50">
        <v>1</v>
      </c>
      <c r="U977" s="50" t="s">
        <v>102</v>
      </c>
      <c r="V977" s="50" t="s">
        <v>2898</v>
      </c>
      <c r="W977" s="50" t="s">
        <v>155</v>
      </c>
      <c r="X977" s="50"/>
      <c r="Y977" s="51">
        <f>IF(ISBLANK(O977),"",(IF(O977=UPPER("IB"),0.005,0.01)))</f>
        <v>0.01</v>
      </c>
      <c r="Z977" s="52">
        <f>IF(ISBLANK(O977),"",IF(O977="IB",8.63*200,IF(O977="IR",16*100,IF(O977="YT",20*100,IF(O977="YT-XT",24*200,IF(O977="TED",80*100,IF(O977="IR|YT",300*100)))))))</f>
        <v>8000</v>
      </c>
      <c r="AA977" s="52" t="s">
        <v>2973</v>
      </c>
      <c r="AB977" s="52"/>
      <c r="AC977" s="52"/>
      <c r="AD977" s="231">
        <v>0.02</v>
      </c>
      <c r="AE977" s="49"/>
      <c r="AF977" s="84"/>
      <c r="AG977" s="49"/>
      <c r="AH977" s="49"/>
      <c r="AI977" s="49"/>
      <c r="AJ977" s="226"/>
      <c r="AK977" s="49"/>
      <c r="AL977" s="113">
        <f t="shared" si="397"/>
        <v>-160</v>
      </c>
      <c r="AM977" s="113">
        <f t="shared" si="398"/>
        <v>-160</v>
      </c>
      <c r="AN977" s="218"/>
      <c r="AO977" s="49"/>
      <c r="AP977" s="49"/>
      <c r="AQ977" s="84" t="s">
        <v>350</v>
      </c>
      <c r="AR977" s="49"/>
      <c r="AS977" s="55">
        <v>0.04</v>
      </c>
      <c r="AT977" s="55">
        <f t="shared" si="399"/>
        <v>-0.02</v>
      </c>
      <c r="AU977" s="54">
        <f t="shared" si="400"/>
        <v>-160</v>
      </c>
      <c r="AV977" s="56">
        <f t="shared" si="381"/>
        <v>-160</v>
      </c>
      <c r="AW977" s="57" t="s">
        <v>121</v>
      </c>
      <c r="AX977" s="153" t="s">
        <v>2974</v>
      </c>
      <c r="AY977" s="153" t="s">
        <v>2975</v>
      </c>
      <c r="AZ977" s="153"/>
      <c r="BA977" s="153"/>
      <c r="BB977" s="153"/>
      <c r="BC977" s="153"/>
      <c r="BD977" s="151"/>
      <c r="BE977" s="152"/>
      <c r="BF977" s="151"/>
      <c r="BG977" s="94">
        <f>SUM($AV$4:AV977)</f>
        <v>6606.4936878819562</v>
      </c>
      <c r="BH977" s="95">
        <f>SUM($AU$4:AU977)</f>
        <v>42632.503836163021</v>
      </c>
      <c r="BI977" s="80">
        <f>SUMIFS($AU$3:AU978,$Q$3:Q978,"F")</f>
        <v>29584.358121878129</v>
      </c>
      <c r="BJ977" s="80">
        <f>SUMIFS($AU$3:AU978,$Q$3:Q978,"S")</f>
        <v>18290.285714285717</v>
      </c>
      <c r="BK977" s="87">
        <f>SUMIFS($AU$3:AU978,$P$3:P978,"W")</f>
        <v>16085.423836163443</v>
      </c>
      <c r="BL977" s="87">
        <f>SUMIFS($AU$3:AU978,$P$3:P978,"R")</f>
        <v>24056.400000000325</v>
      </c>
      <c r="BM977" s="87">
        <f>SUMIFS($AU$3:AU978,$AQ$3:AQ978,"M")</f>
        <v>9123.179999998385</v>
      </c>
      <c r="BN977" s="87">
        <f>SUMIFS($AU$3:AU978,$AQ$3:AQ978,"H")</f>
        <v>12539.200000000877</v>
      </c>
      <c r="BO977" s="87">
        <f>SUMIFS($AU$3:AU978,$AQ$3:AQ978,"D")</f>
        <v>12021.177472527181</v>
      </c>
      <c r="BP977" s="87">
        <f>SUMIFS($AS$3:AS1307,$AO$3:AO1307,"W")</f>
        <v>0</v>
      </c>
      <c r="BQ977" s="87">
        <f>SUMIFS($AU$3:AU978,$Q$3:Q978,"O")</f>
        <v>-9806.1400000007834</v>
      </c>
      <c r="BR977" s="87">
        <f>SUMIFS($AU$3:AU978,$AA$3:AA978,"*")</f>
        <v>39493.602077921219</v>
      </c>
      <c r="BS977" s="87">
        <f>SUMIFS($AU$3:AU978,$AB$3:AB978,"*")</f>
        <v>7005.8599999997941</v>
      </c>
      <c r="BT977" s="87">
        <f>SUMIFS($AU$3:AU978,$AC$3:AC978,"*")</f>
        <v>31920.358121878122</v>
      </c>
      <c r="BU977" s="87">
        <f>SUMIFS($AU$3:AU978,$AA$3:AA978,"*",$AB$3:AB978,"*")</f>
        <v>7301.9999999995771</v>
      </c>
      <c r="BV977" s="87">
        <f>SUMIFS($AU$3:AU978,$AA$3:AA978,"*",$AC$3:AC978,"*")</f>
        <v>29901.316363636532</v>
      </c>
      <c r="BW977" s="87">
        <f>SUMIFS($AU$3:AU978,$AB$3:AB978,"*",$AC$3:AC978,"*")</f>
        <v>3739.199999999998</v>
      </c>
      <c r="BX977" s="87">
        <f>SUMIFS($AV$3:AV978,$Q$3:Q978,"F")</f>
        <v>409.43153082504858</v>
      </c>
      <c r="BY977" s="87">
        <f>SUMIFS($AV$3:AV978,$Q$3:Q978,"S")</f>
        <v>759.76285705724263</v>
      </c>
      <c r="BZ977" s="87">
        <f>SUMIFS($AV$3:AV978,$Q$3:Q978,"O")</f>
        <v>349.29929999965668</v>
      </c>
    </row>
    <row r="978" spans="1:78" ht="15.75" customHeight="1">
      <c r="A978" s="45" t="s">
        <v>2792</v>
      </c>
      <c r="B978" s="59">
        <v>45503</v>
      </c>
      <c r="C978" s="46" t="s">
        <v>2852</v>
      </c>
      <c r="D978" s="46" t="s">
        <v>98</v>
      </c>
      <c r="E978" s="66"/>
      <c r="F978" s="47"/>
      <c r="G978" s="155" t="s">
        <v>2694</v>
      </c>
      <c r="H978" s="49"/>
      <c r="I978" s="49"/>
      <c r="J978" s="49"/>
      <c r="K978" s="50"/>
      <c r="L978" s="49"/>
      <c r="M978" s="49">
        <v>1</v>
      </c>
      <c r="N978" s="49"/>
      <c r="O978" s="50" t="s">
        <v>100</v>
      </c>
      <c r="P978" s="50" t="s">
        <v>101</v>
      </c>
      <c r="Q978" s="50" t="s">
        <v>102</v>
      </c>
      <c r="R978" s="50">
        <v>34</v>
      </c>
      <c r="S978" s="50">
        <v>0</v>
      </c>
      <c r="T978" s="50">
        <v>34</v>
      </c>
      <c r="U978" s="50" t="s">
        <v>22</v>
      </c>
      <c r="V978" s="50" t="s">
        <v>2898</v>
      </c>
      <c r="W978" s="50" t="s">
        <v>22</v>
      </c>
      <c r="X978" s="50"/>
      <c r="Y978" s="51">
        <f>IF(ISBLANK(O978),"",(IF(O978=UPPER("IB"),0.005,0.01)))</f>
        <v>0.01</v>
      </c>
      <c r="Z978" s="52">
        <f>IF(ISBLANK(O978),"",IF(O978="IB",8.63*200,IF(O978="IR",16*100,IF(O978="YT",20*100,IF(O978="YT-XT",24*200,IF(O978="TED",80*100,IF(O978="IR|YT",300*100)))))))</f>
        <v>1600</v>
      </c>
      <c r="AA978" s="52"/>
      <c r="AB978" s="52"/>
      <c r="AC978" s="52" t="s">
        <v>2976</v>
      </c>
      <c r="AD978" s="231">
        <v>-0.14000000000000001</v>
      </c>
      <c r="AE978" s="49"/>
      <c r="AF978" s="84"/>
      <c r="AG978" s="49"/>
      <c r="AH978" s="49"/>
      <c r="AI978" s="49"/>
      <c r="AJ978" s="226"/>
      <c r="AK978" s="49"/>
      <c r="AL978" s="113">
        <f t="shared" si="397"/>
        <v>-32</v>
      </c>
      <c r="AM978" s="113">
        <f t="shared" si="398"/>
        <v>-1088</v>
      </c>
      <c r="AN978" s="218"/>
      <c r="AO978" s="49"/>
      <c r="AP978" s="49"/>
      <c r="AQ978" s="84" t="str">
        <f>UPPER(RIGHT(Journal_Live[[#This Row],[DURATION ]]))</f>
        <v/>
      </c>
      <c r="AR978" s="49"/>
      <c r="AS978" s="55">
        <v>-0.14000000000000001</v>
      </c>
      <c r="AT978" s="55">
        <f t="shared" si="399"/>
        <v>0</v>
      </c>
      <c r="AU978" s="54">
        <f t="shared" si="400"/>
        <v>0</v>
      </c>
      <c r="AV978" s="56">
        <f t="shared" si="381"/>
        <v>0</v>
      </c>
      <c r="AW978" s="57" t="s">
        <v>155</v>
      </c>
      <c r="AX978" s="153" t="s">
        <v>2977</v>
      </c>
      <c r="AY978" s="153"/>
      <c r="AZ978" s="153"/>
      <c r="BA978" s="153"/>
      <c r="BB978" s="153"/>
      <c r="BC978" s="153"/>
      <c r="BD978" s="151"/>
      <c r="BE978" s="152"/>
      <c r="BF978" s="151"/>
      <c r="BG978" s="94">
        <f>SUM($AV$4:AV978)</f>
        <v>6606.4936878819562</v>
      </c>
      <c r="BH978" s="95">
        <f>SUM($AU$4:AU978)</f>
        <v>42632.503836163021</v>
      </c>
      <c r="BI978" s="80">
        <f>SUMIFS($AU$3:AU979,$Q$3:Q979,"F")</f>
        <v>29584.358121878129</v>
      </c>
      <c r="BJ978" s="80">
        <f>SUMIFS($AU$3:AU979,$Q$3:Q979,"S")</f>
        <v>18290.285714285717</v>
      </c>
      <c r="BK978" s="87">
        <f>SUMIFS($AU$3:AU979,$P$3:P979,"W")</f>
        <v>16085.423836163443</v>
      </c>
      <c r="BL978" s="87">
        <f>SUMIFS($AU$3:AU979,$P$3:P979,"R")</f>
        <v>24056.400000000325</v>
      </c>
      <c r="BM978" s="87">
        <f>SUMIFS($AU$3:AU979,$AQ$3:AQ979,"M")</f>
        <v>9123.179999998385</v>
      </c>
      <c r="BN978" s="87">
        <f>SUMIFS($AU$3:AU979,$AQ$3:AQ979,"H")</f>
        <v>12539.200000000877</v>
      </c>
      <c r="BO978" s="87">
        <f>SUMIFS($AU$3:AU979,$AQ$3:AQ979,"D")</f>
        <v>12021.177472527181</v>
      </c>
      <c r="BP978" s="87">
        <f>SUMIFS($AS$3:AS1308,$AO$3:AO1308,"W")</f>
        <v>0</v>
      </c>
      <c r="BQ978" s="87">
        <f>SUMIFS($AU$3:AU979,$Q$3:Q979,"O")</f>
        <v>-9806.1400000007834</v>
      </c>
      <c r="BR978" s="87">
        <f>SUMIFS($AU$3:AU979,$AA$3:AA979,"*")</f>
        <v>39493.602077921219</v>
      </c>
      <c r="BS978" s="87">
        <f>SUMIFS($AU$3:AU979,$AB$3:AB979,"*")</f>
        <v>7005.8599999997941</v>
      </c>
      <c r="BT978" s="87">
        <f>SUMIFS($AU$3:AU979,$AC$3:AC979,"*")</f>
        <v>31920.358121878122</v>
      </c>
      <c r="BU978" s="87">
        <f>SUMIFS($AU$3:AU979,$AA$3:AA979,"*",$AB$3:AB979,"*")</f>
        <v>7301.9999999995771</v>
      </c>
      <c r="BV978" s="87">
        <f>SUMIFS($AU$3:AU979,$AA$3:AA979,"*",$AC$3:AC979,"*")</f>
        <v>29901.316363636532</v>
      </c>
      <c r="BW978" s="87">
        <f>SUMIFS($AU$3:AU979,$AB$3:AB979,"*",$AC$3:AC979,"*")</f>
        <v>3739.199999999998</v>
      </c>
      <c r="BX978" s="87">
        <f>SUMIFS($AV$3:AV979,$Q$3:Q979,"F")</f>
        <v>409.43153082504858</v>
      </c>
      <c r="BY978" s="87">
        <f>SUMIFS($AV$3:AV979,$Q$3:Q979,"S")</f>
        <v>759.76285705724263</v>
      </c>
      <c r="BZ978" s="87">
        <f>SUMIFS($AV$3:AV979,$Q$3:Q979,"O")</f>
        <v>349.29929999965668</v>
      </c>
    </row>
    <row r="979" spans="1:78" ht="15.75" customHeight="1">
      <c r="A979" s="45" t="s">
        <v>2792</v>
      </c>
      <c r="B979" s="59">
        <v>45504</v>
      </c>
      <c r="C979" s="46" t="s">
        <v>194</v>
      </c>
      <c r="D979" s="46" t="s">
        <v>186</v>
      </c>
      <c r="E979" s="66" t="s">
        <v>2978</v>
      </c>
      <c r="F979" s="47"/>
      <c r="G979" s="48"/>
      <c r="H979" s="49"/>
      <c r="I979" s="49">
        <v>1</v>
      </c>
      <c r="J979" s="49"/>
      <c r="K979" s="50"/>
      <c r="L979" s="49"/>
      <c r="M979" s="49"/>
      <c r="N979" s="49"/>
      <c r="O979" s="50"/>
      <c r="P979" s="50"/>
      <c r="Q979" s="50"/>
      <c r="R979" s="50"/>
      <c r="S979" s="50"/>
      <c r="T979" s="50"/>
      <c r="U979" s="50"/>
      <c r="V979" s="50"/>
      <c r="W979" s="50"/>
      <c r="X979" s="50"/>
      <c r="Y979" s="51"/>
      <c r="Z979" s="52"/>
      <c r="AA979" s="52"/>
      <c r="AB979" s="52"/>
      <c r="AC979" s="52"/>
      <c r="AD979" s="231"/>
      <c r="AE979" s="49"/>
      <c r="AF979" s="84"/>
      <c r="AG979" s="49"/>
      <c r="AH979" s="49"/>
      <c r="AI979" s="49"/>
      <c r="AJ979" s="226"/>
      <c r="AK979" s="49"/>
      <c r="AL979" s="113">
        <f t="shared" si="397"/>
        <v>0</v>
      </c>
      <c r="AM979" s="113">
        <f t="shared" si="398"/>
        <v>0</v>
      </c>
      <c r="AN979" s="218"/>
      <c r="AO979" s="49"/>
      <c r="AP979" s="49"/>
      <c r="AQ979" s="84" t="str">
        <f>UPPER(RIGHT(Journal_Live[[#This Row],[DURATION ]]))</f>
        <v/>
      </c>
      <c r="AR979" s="49"/>
      <c r="AS979" s="55"/>
      <c r="AT979" s="55">
        <f t="shared" si="399"/>
        <v>0</v>
      </c>
      <c r="AU979" s="54">
        <f t="shared" si="400"/>
        <v>0</v>
      </c>
      <c r="AV979" s="56">
        <f t="shared" si="381"/>
        <v>0</v>
      </c>
      <c r="AW979" s="57"/>
      <c r="AX979" s="153"/>
      <c r="AY979" s="153"/>
      <c r="AZ979" s="153"/>
      <c r="BA979" s="153"/>
      <c r="BB979" s="153"/>
      <c r="BC979" s="153"/>
      <c r="BD979" s="151"/>
      <c r="BE979" s="152"/>
      <c r="BF979" s="151"/>
      <c r="BG979" s="94">
        <f>SUM($AV$4:AV979)</f>
        <v>6606.4936878819562</v>
      </c>
      <c r="BH979" s="95">
        <f>SUM($AU$4:AU979)</f>
        <v>42632.503836163021</v>
      </c>
      <c r="BI979" s="80">
        <f>SUMIFS($AU$3:AU980,$Q$3:Q980,"F")</f>
        <v>29584.358121878129</v>
      </c>
      <c r="BJ979" s="80">
        <f>SUMIFS($AU$3:AU980,$Q$3:Q980,"S")</f>
        <v>18290.285714285717</v>
      </c>
      <c r="BK979" s="87">
        <f>SUMIFS($AU$3:AU980,$P$3:P980,"W")</f>
        <v>16085.423836163443</v>
      </c>
      <c r="BL979" s="87">
        <f>SUMIFS($AU$3:AU980,$P$3:P980,"R")</f>
        <v>24056.400000000325</v>
      </c>
      <c r="BM979" s="87">
        <f>SUMIFS($AU$3:AU980,$AQ$3:AQ980,"M")</f>
        <v>9123.179999998385</v>
      </c>
      <c r="BN979" s="87">
        <f>SUMIFS($AU$3:AU980,$AQ$3:AQ980,"H")</f>
        <v>12539.200000000877</v>
      </c>
      <c r="BO979" s="87">
        <f>SUMIFS($AU$3:AU980,$AQ$3:AQ980,"D")</f>
        <v>12021.177472527181</v>
      </c>
      <c r="BP979" s="87">
        <f>SUMIFS($AS$3:AS1309,$AO$3:AO1309,"W")</f>
        <v>0</v>
      </c>
      <c r="BQ979" s="87">
        <f>SUMIFS($AU$3:AU980,$Q$3:Q980,"O")</f>
        <v>-9806.1400000007834</v>
      </c>
      <c r="BR979" s="87">
        <f>SUMIFS($AU$3:AU980,$AA$3:AA980,"*")</f>
        <v>39493.602077921219</v>
      </c>
      <c r="BS979" s="87">
        <f>SUMIFS($AU$3:AU980,$AB$3:AB980,"*")</f>
        <v>7005.8599999997941</v>
      </c>
      <c r="BT979" s="87">
        <f>SUMIFS($AU$3:AU980,$AC$3:AC980,"*")</f>
        <v>31920.358121878122</v>
      </c>
      <c r="BU979" s="87">
        <f>SUMIFS($AU$3:AU980,$AA$3:AA980,"*",$AB$3:AB980,"*")</f>
        <v>7301.9999999995771</v>
      </c>
      <c r="BV979" s="87">
        <f>SUMIFS($AU$3:AU980,$AA$3:AA980,"*",$AC$3:AC980,"*")</f>
        <v>29901.316363636532</v>
      </c>
      <c r="BW979" s="87">
        <f>SUMIFS($AU$3:AU980,$AB$3:AB980,"*",$AC$3:AC980,"*")</f>
        <v>3739.199999999998</v>
      </c>
      <c r="BX979" s="87">
        <f>SUMIFS($AV$3:AV980,$Q$3:Q980,"F")</f>
        <v>409.43153082504858</v>
      </c>
      <c r="BY979" s="87">
        <f>SUMIFS($AV$3:AV980,$Q$3:Q980,"S")</f>
        <v>759.76285705724263</v>
      </c>
      <c r="BZ979" s="87">
        <f>SUMIFS($AV$3:AV980,$Q$3:Q980,"O")</f>
        <v>349.29929999965668</v>
      </c>
    </row>
    <row r="980" spans="1:78" ht="15.75" customHeight="1">
      <c r="A980" s="45" t="s">
        <v>2792</v>
      </c>
      <c r="B980" s="59"/>
      <c r="C980" s="46"/>
      <c r="D980" s="46"/>
      <c r="E980" s="66" t="s">
        <v>2979</v>
      </c>
      <c r="F980" s="47"/>
      <c r="G980" s="48"/>
      <c r="H980" s="49"/>
      <c r="I980" s="49">
        <v>1</v>
      </c>
      <c r="J980" s="49"/>
      <c r="K980" s="50"/>
      <c r="L980" s="49"/>
      <c r="M980" s="49"/>
      <c r="N980" s="49"/>
      <c r="O980" s="50"/>
      <c r="P980" s="50"/>
      <c r="Q980" s="50"/>
      <c r="R980" s="50"/>
      <c r="S980" s="50"/>
      <c r="T980" s="50"/>
      <c r="U980" s="50"/>
      <c r="V980" s="50"/>
      <c r="W980" s="50"/>
      <c r="X980" s="50"/>
      <c r="Y980" s="51"/>
      <c r="Z980" s="52"/>
      <c r="AA980" s="52"/>
      <c r="AB980" s="52"/>
      <c r="AC980" s="52"/>
      <c r="AD980" s="231"/>
      <c r="AE980" s="49"/>
      <c r="AF980" s="84"/>
      <c r="AG980" s="49"/>
      <c r="AH980" s="49"/>
      <c r="AI980" s="49"/>
      <c r="AJ980" s="226"/>
      <c r="AK980" s="49"/>
      <c r="AL980" s="113">
        <f t="shared" si="397"/>
        <v>0</v>
      </c>
      <c r="AM980" s="113">
        <f t="shared" si="398"/>
        <v>0</v>
      </c>
      <c r="AN980" s="218"/>
      <c r="AO980" s="49"/>
      <c r="AP980" s="49"/>
      <c r="AQ980" s="84" t="str">
        <f>UPPER(RIGHT(Journal_Live[[#This Row],[DURATION ]]))</f>
        <v/>
      </c>
      <c r="AR980" s="49"/>
      <c r="AS980" s="55"/>
      <c r="AT980" s="55">
        <f t="shared" si="399"/>
        <v>0</v>
      </c>
      <c r="AU980" s="54">
        <f t="shared" si="400"/>
        <v>0</v>
      </c>
      <c r="AV980" s="56">
        <f t="shared" si="381"/>
        <v>0</v>
      </c>
      <c r="AW980" s="57"/>
      <c r="AX980" s="153"/>
      <c r="AY980" s="153"/>
      <c r="AZ980" s="153"/>
      <c r="BA980" s="153"/>
      <c r="BB980" s="153"/>
      <c r="BC980" s="153"/>
      <c r="BD980" s="151"/>
      <c r="BE980" s="152"/>
      <c r="BF980" s="151"/>
      <c r="BG980" s="94">
        <f>SUM($AV$4:AV980)</f>
        <v>6606.4936878819562</v>
      </c>
      <c r="BH980" s="95">
        <f>SUM($AU$4:AU980)</f>
        <v>42632.503836163021</v>
      </c>
      <c r="BI980" s="80">
        <f>SUMIFS($AU$3:AU981,$Q$3:Q981,"F")</f>
        <v>29584.358121878129</v>
      </c>
      <c r="BJ980" s="80">
        <f>SUMIFS($AU$3:AU981,$Q$3:Q981,"S")</f>
        <v>18290.285714285717</v>
      </c>
      <c r="BK980" s="87">
        <f>SUMIFS($AU$3:AU981,$P$3:P981,"W")</f>
        <v>16085.423836163443</v>
      </c>
      <c r="BL980" s="87">
        <f>SUMIFS($AU$3:AU981,$P$3:P981,"R")</f>
        <v>24056.400000000325</v>
      </c>
      <c r="BM980" s="87">
        <f>SUMIFS($AU$3:AU981,$AQ$3:AQ981,"M")</f>
        <v>9123.179999998385</v>
      </c>
      <c r="BN980" s="87">
        <f>SUMIFS($AU$3:AU981,$AQ$3:AQ981,"H")</f>
        <v>12539.200000000877</v>
      </c>
      <c r="BO980" s="87">
        <f>SUMIFS($AU$3:AU981,$AQ$3:AQ981,"D")</f>
        <v>12021.177472527181</v>
      </c>
      <c r="BP980" s="87">
        <f>SUMIFS($AS$3:AS1310,$AO$3:AO1310,"W")</f>
        <v>0</v>
      </c>
      <c r="BQ980" s="87">
        <f>SUMIFS($AU$3:AU981,$Q$3:Q981,"O")</f>
        <v>-9806.1400000007834</v>
      </c>
      <c r="BR980" s="87">
        <f>SUMIFS($AU$3:AU981,$AA$3:AA981,"*")</f>
        <v>39493.602077921219</v>
      </c>
      <c r="BS980" s="87">
        <f>SUMIFS($AU$3:AU981,$AB$3:AB981,"*")</f>
        <v>7005.8599999997941</v>
      </c>
      <c r="BT980" s="87">
        <f>SUMIFS($AU$3:AU981,$AC$3:AC981,"*")</f>
        <v>31920.358121878122</v>
      </c>
      <c r="BU980" s="87">
        <f>SUMIFS($AU$3:AU981,$AA$3:AA981,"*",$AB$3:AB981,"*")</f>
        <v>7301.9999999995771</v>
      </c>
      <c r="BV980" s="87">
        <f>SUMIFS($AU$3:AU981,$AA$3:AA981,"*",$AC$3:AC981,"*")</f>
        <v>29901.316363636532</v>
      </c>
      <c r="BW980" s="87">
        <f>SUMIFS($AU$3:AU981,$AB$3:AB981,"*",$AC$3:AC981,"*")</f>
        <v>3739.199999999998</v>
      </c>
      <c r="BX980" s="87">
        <f>SUMIFS($AV$3:AV981,$Q$3:Q981,"F")</f>
        <v>409.43153082504858</v>
      </c>
      <c r="BY980" s="87">
        <f>SUMIFS($AV$3:AV981,$Q$3:Q981,"S")</f>
        <v>759.76285705724263</v>
      </c>
      <c r="BZ980" s="87">
        <f>SUMIFS($AV$3:AV981,$Q$3:Q981,"O")</f>
        <v>349.29929999965668</v>
      </c>
    </row>
    <row r="981" spans="1:78" ht="15.75" customHeight="1">
      <c r="A981" s="45" t="s">
        <v>2792</v>
      </c>
      <c r="B981" s="59"/>
      <c r="C981" s="46"/>
      <c r="D981" s="46"/>
      <c r="E981" s="66" t="s">
        <v>2980</v>
      </c>
      <c r="F981" s="47"/>
      <c r="G981" s="48"/>
      <c r="H981" s="49"/>
      <c r="I981" s="49"/>
      <c r="J981" s="49">
        <v>1</v>
      </c>
      <c r="K981" s="50" t="s">
        <v>155</v>
      </c>
      <c r="L981" s="49"/>
      <c r="M981" s="49"/>
      <c r="N981" s="49"/>
      <c r="O981" s="50"/>
      <c r="P981" s="50"/>
      <c r="Q981" s="50"/>
      <c r="R981" s="50"/>
      <c r="S981" s="50"/>
      <c r="T981" s="50"/>
      <c r="U981" s="50"/>
      <c r="V981" s="50"/>
      <c r="W981" s="50"/>
      <c r="X981" s="50"/>
      <c r="Y981" s="51"/>
      <c r="Z981" s="52"/>
      <c r="AA981" s="52"/>
      <c r="AB981" s="52"/>
      <c r="AC981" s="52"/>
      <c r="AD981" s="231"/>
      <c r="AE981" s="49"/>
      <c r="AF981" s="84"/>
      <c r="AG981" s="49"/>
      <c r="AH981" s="49"/>
      <c r="AI981" s="49"/>
      <c r="AJ981" s="226"/>
      <c r="AK981" s="49"/>
      <c r="AL981" s="113">
        <f t="shared" si="397"/>
        <v>0</v>
      </c>
      <c r="AM981" s="113">
        <f t="shared" si="398"/>
        <v>0</v>
      </c>
      <c r="AN981" s="218"/>
      <c r="AO981" s="49"/>
      <c r="AP981" s="49"/>
      <c r="AQ981" s="84" t="str">
        <f>UPPER(RIGHT(Journal_Live[[#This Row],[DURATION ]]))</f>
        <v/>
      </c>
      <c r="AR981" s="49"/>
      <c r="AS981" s="55"/>
      <c r="AT981" s="55">
        <f t="shared" si="399"/>
        <v>0</v>
      </c>
      <c r="AU981" s="54">
        <f t="shared" si="400"/>
        <v>0</v>
      </c>
      <c r="AV981" s="56">
        <f t="shared" si="381"/>
        <v>0</v>
      </c>
      <c r="AW981" s="57"/>
      <c r="AX981" s="153"/>
      <c r="AY981" s="153"/>
      <c r="AZ981" s="153"/>
      <c r="BA981" s="153"/>
      <c r="BB981" s="153"/>
      <c r="BC981" s="153"/>
      <c r="BD981" s="151"/>
      <c r="BE981" s="152"/>
      <c r="BF981" s="151"/>
      <c r="BG981" s="94">
        <f>SUM($AV$4:AV981)</f>
        <v>6606.4936878819562</v>
      </c>
      <c r="BH981" s="95">
        <f>SUM($AU$4:AU981)</f>
        <v>42632.503836163021</v>
      </c>
      <c r="BI981" s="80">
        <f>SUMIFS($AU$3:AU982,$Q$3:Q982,"F")</f>
        <v>29584.358121878129</v>
      </c>
      <c r="BJ981" s="80">
        <f>SUMIFS($AU$3:AU982,$Q$3:Q982,"S")</f>
        <v>18290.285714285717</v>
      </c>
      <c r="BK981" s="87">
        <f>SUMIFS($AU$3:AU982,$P$3:P982,"W")</f>
        <v>16085.423836163443</v>
      </c>
      <c r="BL981" s="87">
        <f>SUMIFS($AU$3:AU982,$P$3:P982,"R")</f>
        <v>24056.400000000325</v>
      </c>
      <c r="BM981" s="87">
        <f>SUMIFS($AU$3:AU982,$AQ$3:AQ982,"M")</f>
        <v>9123.179999998385</v>
      </c>
      <c r="BN981" s="87">
        <f>SUMIFS($AU$3:AU982,$AQ$3:AQ982,"H")</f>
        <v>12539.200000000877</v>
      </c>
      <c r="BO981" s="87">
        <f>SUMIFS($AU$3:AU982,$AQ$3:AQ982,"D")</f>
        <v>12021.177472527181</v>
      </c>
      <c r="BP981" s="87">
        <f>SUMIFS($AS$3:AS1311,$AO$3:AO1311,"W")</f>
        <v>0</v>
      </c>
      <c r="BQ981" s="87">
        <f>SUMIFS($AU$3:AU982,$Q$3:Q982,"O")</f>
        <v>-9806.1400000007834</v>
      </c>
      <c r="BR981" s="87">
        <f>SUMIFS($AU$3:AU982,$AA$3:AA982,"*")</f>
        <v>39493.602077921219</v>
      </c>
      <c r="BS981" s="87">
        <f>SUMIFS($AU$3:AU982,$AB$3:AB982,"*")</f>
        <v>7005.8599999997941</v>
      </c>
      <c r="BT981" s="87">
        <f>SUMIFS($AU$3:AU982,$AC$3:AC982,"*")</f>
        <v>31920.358121878122</v>
      </c>
      <c r="BU981" s="87">
        <f>SUMIFS($AU$3:AU982,$AA$3:AA982,"*",$AB$3:AB982,"*")</f>
        <v>7301.9999999995771</v>
      </c>
      <c r="BV981" s="87">
        <f>SUMIFS($AU$3:AU982,$AA$3:AA982,"*",$AC$3:AC982,"*")</f>
        <v>29901.316363636532</v>
      </c>
      <c r="BW981" s="87">
        <f>SUMIFS($AU$3:AU982,$AB$3:AB982,"*",$AC$3:AC982,"*")</f>
        <v>3739.199999999998</v>
      </c>
      <c r="BX981" s="87">
        <f>SUMIFS($AV$3:AV982,$Q$3:Q982,"F")</f>
        <v>409.43153082504858</v>
      </c>
      <c r="BY981" s="87">
        <f>SUMIFS($AV$3:AV982,$Q$3:Q982,"S")</f>
        <v>759.76285705724263</v>
      </c>
      <c r="BZ981" s="87">
        <f>SUMIFS($AV$3:AV982,$Q$3:Q982,"O")</f>
        <v>349.29929999965668</v>
      </c>
    </row>
    <row r="982" spans="1:78" ht="15.75" customHeight="1">
      <c r="A982" s="45" t="s">
        <v>2792</v>
      </c>
      <c r="B982" s="59"/>
      <c r="C982" s="46"/>
      <c r="D982" s="46"/>
      <c r="E982" s="66" t="s">
        <v>2981</v>
      </c>
      <c r="F982" s="47"/>
      <c r="G982" s="48"/>
      <c r="H982" s="49"/>
      <c r="I982" s="49"/>
      <c r="J982" s="49">
        <v>1</v>
      </c>
      <c r="K982" s="50" t="s">
        <v>155</v>
      </c>
      <c r="L982" s="49"/>
      <c r="M982" s="49"/>
      <c r="N982" s="49"/>
      <c r="O982" s="50"/>
      <c r="P982" s="50"/>
      <c r="Q982" s="50"/>
      <c r="R982" s="50"/>
      <c r="S982" s="50"/>
      <c r="T982" s="50"/>
      <c r="U982" s="50"/>
      <c r="V982" s="50"/>
      <c r="W982" s="50"/>
      <c r="X982" s="50"/>
      <c r="Y982" s="51"/>
      <c r="Z982" s="52"/>
      <c r="AA982" s="52"/>
      <c r="AB982" s="52"/>
      <c r="AC982" s="52"/>
      <c r="AD982" s="231"/>
      <c r="AE982" s="49"/>
      <c r="AF982" s="84"/>
      <c r="AG982" s="49"/>
      <c r="AH982" s="49"/>
      <c r="AI982" s="49"/>
      <c r="AJ982" s="226"/>
      <c r="AK982" s="49"/>
      <c r="AL982" s="113">
        <f t="shared" si="397"/>
        <v>0</v>
      </c>
      <c r="AM982" s="113">
        <f t="shared" si="398"/>
        <v>0</v>
      </c>
      <c r="AN982" s="218"/>
      <c r="AO982" s="49"/>
      <c r="AP982" s="49"/>
      <c r="AQ982" s="84" t="str">
        <f>UPPER(RIGHT(Journal_Live[[#This Row],[DURATION ]]))</f>
        <v/>
      </c>
      <c r="AR982" s="49"/>
      <c r="AS982" s="55"/>
      <c r="AT982" s="55">
        <f t="shared" si="399"/>
        <v>0</v>
      </c>
      <c r="AU982" s="54">
        <f t="shared" si="400"/>
        <v>0</v>
      </c>
      <c r="AV982" s="56">
        <f t="shared" si="381"/>
        <v>0</v>
      </c>
      <c r="AW982" s="57"/>
      <c r="AX982" s="153"/>
      <c r="AY982" s="153"/>
      <c r="AZ982" s="153"/>
      <c r="BA982" s="153"/>
      <c r="BB982" s="153"/>
      <c r="BC982" s="153"/>
      <c r="BD982" s="151"/>
      <c r="BE982" s="152"/>
      <c r="BF982" s="151"/>
      <c r="BG982" s="94">
        <f>SUM($AV$4:AV982)</f>
        <v>6606.4936878819562</v>
      </c>
      <c r="BH982" s="95">
        <f>SUM($AU$4:AU982)</f>
        <v>42632.503836163021</v>
      </c>
      <c r="BI982" s="80">
        <f>SUMIFS($AU$3:AU983,$Q$3:Q983,"F")</f>
        <v>29584.358121878129</v>
      </c>
      <c r="BJ982" s="80">
        <f>SUMIFS($AU$3:AU983,$Q$3:Q983,"S")</f>
        <v>18290.285714285717</v>
      </c>
      <c r="BK982" s="87">
        <f>SUMIFS($AU$3:AU983,$P$3:P983,"W")</f>
        <v>16085.423836163443</v>
      </c>
      <c r="BL982" s="87">
        <f>SUMIFS($AU$3:AU983,$P$3:P983,"R")</f>
        <v>24056.400000000325</v>
      </c>
      <c r="BM982" s="87">
        <f>SUMIFS($AU$3:AU983,$AQ$3:AQ983,"M")</f>
        <v>9563.1799999983832</v>
      </c>
      <c r="BN982" s="87">
        <f>SUMIFS($AU$3:AU983,$AQ$3:AQ983,"H")</f>
        <v>12539.200000000877</v>
      </c>
      <c r="BO982" s="87">
        <f>SUMIFS($AU$3:AU983,$AQ$3:AQ983,"D")</f>
        <v>12021.177472527181</v>
      </c>
      <c r="BP982" s="87">
        <f>SUMIFS($AS$3:AS1312,$AO$3:AO1312,"W")</f>
        <v>0</v>
      </c>
      <c r="BQ982" s="87">
        <f>SUMIFS($AU$3:AU983,$Q$3:Q983,"O")</f>
        <v>-9366.1400000007852</v>
      </c>
      <c r="BR982" s="87">
        <f>SUMIFS($AU$3:AU983,$AA$3:AA983,"*")</f>
        <v>39933.602077921219</v>
      </c>
      <c r="BS982" s="87">
        <f>SUMIFS($AU$3:AU983,$AB$3:AB983,"*")</f>
        <v>7005.8599999997941</v>
      </c>
      <c r="BT982" s="87">
        <f>SUMIFS($AU$3:AU983,$AC$3:AC983,"*")</f>
        <v>31920.358121878122</v>
      </c>
      <c r="BU982" s="87">
        <f>SUMIFS($AU$3:AU983,$AA$3:AA983,"*",$AB$3:AB983,"*")</f>
        <v>7301.9999999995771</v>
      </c>
      <c r="BV982" s="87">
        <f>SUMIFS($AU$3:AU983,$AA$3:AA983,"*",$AC$3:AC983,"*")</f>
        <v>29901.316363636532</v>
      </c>
      <c r="BW982" s="87">
        <f>SUMIFS($AU$3:AU983,$AB$3:AB983,"*",$AC$3:AC983,"*")</f>
        <v>3739.199999999998</v>
      </c>
      <c r="BX982" s="87">
        <f>SUMIFS($AV$3:AV983,$Q$3:Q983,"F")</f>
        <v>409.43153082504858</v>
      </c>
      <c r="BY982" s="87">
        <f>SUMIFS($AV$3:AV983,$Q$3:Q983,"S")</f>
        <v>759.76285705724263</v>
      </c>
      <c r="BZ982" s="87">
        <f>SUMIFS($AV$3:AV983,$Q$3:Q983,"O")</f>
        <v>569.29929999965555</v>
      </c>
    </row>
    <row r="983" spans="1:78" ht="15.75" customHeight="1">
      <c r="A983" s="45" t="s">
        <v>2792</v>
      </c>
      <c r="B983" s="59">
        <v>45504</v>
      </c>
      <c r="C983" s="46" t="s">
        <v>147</v>
      </c>
      <c r="D983" s="46" t="s">
        <v>186</v>
      </c>
      <c r="E983" s="66"/>
      <c r="F983" s="47"/>
      <c r="G983" s="155" t="s">
        <v>2945</v>
      </c>
      <c r="H983" s="49"/>
      <c r="I983" s="49"/>
      <c r="J983" s="49"/>
      <c r="K983" s="50"/>
      <c r="L983" s="49">
        <v>2</v>
      </c>
      <c r="M983" s="49"/>
      <c r="N983" s="49"/>
      <c r="O983" s="50" t="s">
        <v>476</v>
      </c>
      <c r="P983" s="50" t="s">
        <v>197</v>
      </c>
      <c r="Q983" s="50" t="s">
        <v>198</v>
      </c>
      <c r="R983" s="50">
        <v>2</v>
      </c>
      <c r="S983" s="50">
        <v>0</v>
      </c>
      <c r="T983" s="50">
        <v>2</v>
      </c>
      <c r="U983" s="50" t="s">
        <v>22</v>
      </c>
      <c r="V983" s="50" t="s">
        <v>2898</v>
      </c>
      <c r="W983" s="50" t="s">
        <v>22</v>
      </c>
      <c r="X983" s="50"/>
      <c r="Y983" s="51">
        <f>IF(ISBLANK(O983),"",(IF(O983=UPPER("IB"),0.005,0.01)))</f>
        <v>0.01</v>
      </c>
      <c r="Z983" s="52">
        <f>IF(ISBLANK(O983),"",IF(O983="IB",8.63*200,IF(O983="IR",16*100,IF(O983="YT",20*100,IF(O983="YT-XT",24*200,IF(O983="TED",80*100,IF(O983="IR|YT",300*100)))))))</f>
        <v>2000</v>
      </c>
      <c r="AA983" s="52" t="s">
        <v>908</v>
      </c>
      <c r="AB983" s="52"/>
      <c r="AC983" s="52"/>
      <c r="AD983" s="231">
        <v>96.17</v>
      </c>
      <c r="AE983" s="49"/>
      <c r="AF983" s="84"/>
      <c r="AG983" s="49"/>
      <c r="AH983" s="49"/>
      <c r="AI983" s="49"/>
      <c r="AJ983" s="226"/>
      <c r="AK983" s="49"/>
      <c r="AL983" s="113">
        <f t="shared" si="397"/>
        <v>-40</v>
      </c>
      <c r="AM983" s="113">
        <f t="shared" si="398"/>
        <v>-80</v>
      </c>
      <c r="AN983" s="218"/>
      <c r="AO983" s="49"/>
      <c r="AP983" s="49" t="s">
        <v>2982</v>
      </c>
      <c r="AQ983" s="84" t="s">
        <v>350</v>
      </c>
      <c r="AR983" s="49"/>
      <c r="AS983" s="55">
        <v>96.28</v>
      </c>
      <c r="AT983" s="55">
        <f t="shared" si="399"/>
        <v>0.10999999999999943</v>
      </c>
      <c r="AU983" s="54">
        <f t="shared" si="400"/>
        <v>439.99999999999773</v>
      </c>
      <c r="AV983" s="56">
        <f t="shared" si="381"/>
        <v>219.99999999999886</v>
      </c>
      <c r="AW983" s="57" t="s">
        <v>101</v>
      </c>
      <c r="AX983" s="153" t="s">
        <v>2983</v>
      </c>
      <c r="AY983" s="153"/>
      <c r="AZ983" s="153"/>
      <c r="BA983" s="153"/>
      <c r="BB983" s="153"/>
      <c r="BC983" s="153"/>
      <c r="BD983" s="151"/>
      <c r="BE983" s="152" t="s">
        <v>2984</v>
      </c>
      <c r="BF983" s="151"/>
      <c r="BG983" s="94">
        <f>SUM($AV$4:AV983)</f>
        <v>6826.4936878819553</v>
      </c>
      <c r="BH983" s="95">
        <f>SUM($AU$4:AU983)</f>
        <v>43072.503836163021</v>
      </c>
      <c r="BI983" s="80">
        <f>SUMIFS($AU$3:AU992,$Q$3:Q992,"F")</f>
        <v>28758.758121878131</v>
      </c>
      <c r="BJ983" s="80">
        <f>SUMIFS($AU$3:AU984,$Q$3:Q984,"S")</f>
        <v>18290.285714285717</v>
      </c>
      <c r="BK983" s="87">
        <f>SUMIFS($AU$3:AU992,$P$3:P992,"W")</f>
        <v>16085.423836163443</v>
      </c>
      <c r="BL983" s="87">
        <f>SUMIFS($AU$3:AU992,$P$3:P992,"R")</f>
        <v>23278.800000000327</v>
      </c>
      <c r="BM983" s="87">
        <f>SUMIFS($AU$3:AU992,$AQ$3:AQ992,"M")</f>
        <v>9563.1799999983832</v>
      </c>
      <c r="BN983" s="87">
        <f>SUMIFS($AU$3:AU992,$AQ$3:AQ992,"H")</f>
        <v>12587.200000000877</v>
      </c>
      <c r="BO983" s="87">
        <f>SUMIFS($AU$3:AU992,$AQ$3:AQ992,"D")</f>
        <v>11195.57747252718</v>
      </c>
      <c r="BP983" s="87">
        <f>SUMIFS($AS$3:AS1313,$AO$3:AO1313,"W")</f>
        <v>0</v>
      </c>
      <c r="BQ983" s="87">
        <f>SUMIFS($AU$3:AU992,$Q$3:Q992,"O")</f>
        <v>-9366.1400000007852</v>
      </c>
      <c r="BR983" s="87">
        <f>SUMIFS($AU$3:AU992,$AA$3:AA992,"*")</f>
        <v>39156.002077921221</v>
      </c>
      <c r="BS983" s="87">
        <f>SUMIFS($AU$3:AU992,$AB$3:AB992,"*")</f>
        <v>7005.8599999997941</v>
      </c>
      <c r="BT983" s="87">
        <f>SUMIFS($AU$3:AU992,$AC$3:AC992,"*")</f>
        <v>31968.358121878122</v>
      </c>
      <c r="BU983" s="87">
        <f>SUMIFS($AU$3:AU992,$AA$3:AA992,"*",$AB$3:AB992,"*")</f>
        <v>7301.9999999995771</v>
      </c>
      <c r="BV983" s="87">
        <f>SUMIFS($AU$3:AU992,$AA$3:AA992,"*",$AC$3:AC992,"*")</f>
        <v>29949.316363636532</v>
      </c>
      <c r="BW983" s="87">
        <f>SUMIFS($AU$3:AU992,$AB$3:AB992,"*",$AC$3:AC992,"*")</f>
        <v>3739.199999999998</v>
      </c>
      <c r="BX983" s="87">
        <f>SUMIFS($AV$3:AV992,$Q$3:Q992,"F")</f>
        <v>396.72999236351012</v>
      </c>
      <c r="BY983" s="87">
        <f>SUMIFS($AV$3:AV992,$Q$3:Q992,"S")</f>
        <v>775.76285705724263</v>
      </c>
      <c r="BZ983" s="87">
        <f>SUMIFS($AV$3:AV992,$Q$3:Q992,"O")</f>
        <v>569.29929999965555</v>
      </c>
    </row>
    <row r="984" spans="1:78" ht="15.75" customHeight="1">
      <c r="A984" s="45" t="s">
        <v>2792</v>
      </c>
      <c r="B984" s="59">
        <v>45504</v>
      </c>
      <c r="C984" s="46" t="s">
        <v>147</v>
      </c>
      <c r="D984" s="46" t="s">
        <v>186</v>
      </c>
      <c r="E984" s="66"/>
      <c r="F984" s="47"/>
      <c r="G984" s="155" t="s">
        <v>2985</v>
      </c>
      <c r="H984" s="49"/>
      <c r="I984" s="49"/>
      <c r="J984" s="49"/>
      <c r="K984" s="50"/>
      <c r="L984" s="49">
        <v>1</v>
      </c>
      <c r="M984" s="49"/>
      <c r="N984" s="49"/>
      <c r="O984" s="50" t="s">
        <v>100</v>
      </c>
      <c r="P984" s="50" t="s">
        <v>126</v>
      </c>
      <c r="Q984" s="50" t="s">
        <v>127</v>
      </c>
      <c r="R984" s="50">
        <v>65</v>
      </c>
      <c r="S984" s="50">
        <v>36</v>
      </c>
      <c r="T984" s="50">
        <v>22</v>
      </c>
      <c r="U984" s="50" t="s">
        <v>22</v>
      </c>
      <c r="V984" s="50" t="s">
        <v>2906</v>
      </c>
      <c r="W984" s="50" t="s">
        <v>22</v>
      </c>
      <c r="X984" s="50"/>
      <c r="Y984" s="51">
        <f>IF(ISBLANK(O984),"",(IF(O984=UPPER("IB"),0.005,0.01)))</f>
        <v>0.01</v>
      </c>
      <c r="Z984" s="52">
        <f>IF(ISBLANK(O984),"",IF(O984="IB",8.63*200,IF(O984="IR",16*100,IF(O984="YT",20*100,IF(O984="YT-XT",24*200,IF(O984="TED",80*100,IF(O984="IR|YT",300*100)))))))</f>
        <v>1600</v>
      </c>
      <c r="AA984" s="52" t="s">
        <v>2986</v>
      </c>
      <c r="AB984" s="52"/>
      <c r="AC984" s="52"/>
      <c r="AD984" s="231">
        <f>((-0.05*40)+(-0.06*9)+(-0.054*16))/65</f>
        <v>-5.2369230769230765E-2</v>
      </c>
      <c r="AE984" s="49"/>
      <c r="AF984" s="84"/>
      <c r="AG984" s="49"/>
      <c r="AH984" s="49"/>
      <c r="AI984" s="49"/>
      <c r="AJ984" s="226"/>
      <c r="AK984" s="49"/>
      <c r="AL984" s="113">
        <f t="shared" ref="AL984:AL991" si="401">-0.02*Z984</f>
        <v>-32</v>
      </c>
      <c r="AM984" s="113">
        <f t="shared" ref="AM984:AM991" si="402">AL984*(R984-S984)</f>
        <v>-928</v>
      </c>
      <c r="AN984" s="218"/>
      <c r="AO984" s="49"/>
      <c r="AP984" s="49"/>
      <c r="AQ984" s="84" t="s">
        <v>155</v>
      </c>
      <c r="AR984" s="74">
        <v>45509</v>
      </c>
      <c r="AS984" s="55">
        <f>((-0.05*36)+(-0.07*20)+(-0.08*9))/65</f>
        <v>-6.0307692307692305E-2</v>
      </c>
      <c r="AT984" s="55">
        <f t="shared" ref="AT984:AT991" si="403">IF(ISBLANK(AS984),,IF(U984="S",AD984-AS984,AS984-AD984))</f>
        <v>-7.9384615384615401E-3</v>
      </c>
      <c r="AU984" s="54">
        <f t="shared" ref="AU984:AU991" si="404">AV984*R984</f>
        <v>-825.60000000000014</v>
      </c>
      <c r="AV984" s="56">
        <f t="shared" ref="AV984:AV991" si="405">IF(ISBLANK(AS984),,(AT984*Z984))</f>
        <v>-12.701538461538464</v>
      </c>
      <c r="AW984" s="57" t="s">
        <v>121</v>
      </c>
      <c r="AX984" s="153" t="s">
        <v>2987</v>
      </c>
      <c r="AY984" s="153"/>
      <c r="AZ984" s="153"/>
      <c r="BA984" s="153"/>
      <c r="BB984" s="153" t="s">
        <v>2988</v>
      </c>
      <c r="BC984" s="153"/>
      <c r="BD984" s="151"/>
      <c r="BE984" s="152"/>
      <c r="BF984" s="151"/>
      <c r="BG984" s="94">
        <f>SUM($AV$4:AV984)</f>
        <v>6813.7921494204165</v>
      </c>
      <c r="BH984" s="95">
        <f>SUM($AU$4:AU984)</f>
        <v>42246.903836163023</v>
      </c>
      <c r="BI984" s="80">
        <f>SUMIFS($AU$3:AU985,$Q$3:Q985,"F")</f>
        <v>28758.758121878131</v>
      </c>
      <c r="BJ984" s="80">
        <f>SUMIFS($AU$3:AU985,$Q$3:Q985,"S")</f>
        <v>18290.285714285717</v>
      </c>
      <c r="BK984" s="87">
        <f>SUMIFS($AU$3:AU985,$P$3:P985,"W")</f>
        <v>16085.423836163443</v>
      </c>
      <c r="BL984" s="87">
        <f>SUMIFS($AU$3:AU985,$P$3:P985,"R")</f>
        <v>23230.800000000327</v>
      </c>
      <c r="BM984" s="87">
        <f>SUMIFS($AU$3:AU985,$AQ$3:AQ985,"M")</f>
        <v>9563.1799999983832</v>
      </c>
      <c r="BN984" s="87">
        <f>SUMIFS($AU$3:AU985,$AQ$3:AQ985,"H")</f>
        <v>12539.200000000877</v>
      </c>
      <c r="BO984" s="87">
        <f>SUMIFS($AU$3:AU985,$AQ$3:AQ985,"D")</f>
        <v>11195.57747252718</v>
      </c>
      <c r="BP984" s="87">
        <f>SUMIFS($AS$3:AS1310,$AO$3:AO1310,"W")</f>
        <v>0</v>
      </c>
      <c r="BQ984" s="87">
        <f>SUMIFS($AU$3:AU985,$Q$3:Q985,"O")</f>
        <v>-9366.1400000007852</v>
      </c>
      <c r="BR984" s="87">
        <f>SUMIFS($AU$3:AU985,$AA$3:AA985,"*")</f>
        <v>39108.002077921221</v>
      </c>
      <c r="BS984" s="87">
        <f>SUMIFS($AU$3:AU985,$AB$3:AB985,"*")</f>
        <v>7005.8599999997941</v>
      </c>
      <c r="BT984" s="87">
        <f>SUMIFS($AU$3:AU985,$AC$3:AC985,"*")</f>
        <v>31920.358121878122</v>
      </c>
      <c r="BU984" s="87">
        <f>SUMIFS($AU$3:AU985,$AA$3:AA985,"*",$AB$3:AB985,"*")</f>
        <v>7301.9999999995771</v>
      </c>
      <c r="BV984" s="87">
        <f>SUMIFS($AU$3:AU985,$AA$3:AA985,"*",$AC$3:AC985,"*")</f>
        <v>29901.316363636532</v>
      </c>
      <c r="BW984" s="87">
        <f>SUMIFS($AU$3:AU985,$AB$3:AB985,"*",$AC$3:AC985,"*")</f>
        <v>3739.199999999998</v>
      </c>
      <c r="BX984" s="87">
        <f>SUMIFS($AV$3:AV985,$Q$3:Q985,"F")</f>
        <v>396.72999236351012</v>
      </c>
      <c r="BY984" s="87">
        <f>SUMIFS($AV$3:AV985,$Q$3:Q985,"S")</f>
        <v>759.76285705724263</v>
      </c>
      <c r="BZ984" s="87">
        <f>SUMIFS($AV$3:AV985,$Q$3:Q985,"O")</f>
        <v>569.29929999965555</v>
      </c>
    </row>
    <row r="985" spans="1:78" ht="15.75" customHeight="1">
      <c r="A985" s="45" t="s">
        <v>2792</v>
      </c>
      <c r="B985" s="59">
        <v>45504</v>
      </c>
      <c r="C985" s="46" t="s">
        <v>147</v>
      </c>
      <c r="D985" s="46" t="s">
        <v>186</v>
      </c>
      <c r="E985" s="66"/>
      <c r="F985" s="47"/>
      <c r="G985" s="155" t="s">
        <v>2989</v>
      </c>
      <c r="H985" s="49"/>
      <c r="I985" s="49"/>
      <c r="J985" s="49"/>
      <c r="K985" s="50"/>
      <c r="L985" s="49">
        <v>1</v>
      </c>
      <c r="M985" s="49"/>
      <c r="N985" s="49"/>
      <c r="O985" s="50" t="s">
        <v>100</v>
      </c>
      <c r="P985" s="50" t="s">
        <v>101</v>
      </c>
      <c r="Q985" s="50" t="s">
        <v>102</v>
      </c>
      <c r="R985" s="50">
        <v>10</v>
      </c>
      <c r="S985" s="50">
        <v>0</v>
      </c>
      <c r="T985" s="50">
        <v>10</v>
      </c>
      <c r="U985" s="50" t="s">
        <v>22</v>
      </c>
      <c r="V985" s="50" t="s">
        <v>2898</v>
      </c>
      <c r="W985" s="50" t="s">
        <v>155</v>
      </c>
      <c r="X985" s="50"/>
      <c r="Y985" s="51">
        <f>IF(ISBLANK(O985),"",(IF(O985=UPPER("IB"),0.005,0.01)))</f>
        <v>0.01</v>
      </c>
      <c r="Z985" s="52">
        <f>IF(ISBLANK(O985),"",IF(O985="IB",8.63*200,IF(O985="IR",16*100,IF(O985="YT",20*100,IF(O985="YT-XT",24*200,IF(O985="TED",80*100,IF(O985="IR|YT",300*100)))))))</f>
        <v>1600</v>
      </c>
      <c r="AA985" s="52" t="s">
        <v>2990</v>
      </c>
      <c r="AB985" s="52"/>
      <c r="AC985" s="52"/>
      <c r="AD985" s="231">
        <v>-0.56999999999999995</v>
      </c>
      <c r="AE985" s="49"/>
      <c r="AF985" s="84"/>
      <c r="AG985" s="49"/>
      <c r="AH985" s="49"/>
      <c r="AI985" s="49"/>
      <c r="AJ985" s="226"/>
      <c r="AK985" s="49"/>
      <c r="AL985" s="113">
        <f t="shared" si="401"/>
        <v>-32</v>
      </c>
      <c r="AM985" s="113">
        <f t="shared" si="402"/>
        <v>-320</v>
      </c>
      <c r="AN985" s="218"/>
      <c r="AO985" s="49"/>
      <c r="AP985" s="49"/>
      <c r="AQ985" s="84" t="s">
        <v>350</v>
      </c>
      <c r="AR985" s="49"/>
      <c r="AS985" s="55">
        <v>-0.56999999999999995</v>
      </c>
      <c r="AT985" s="55">
        <f t="shared" ref="AT985" si="406">IF(ISBLANK(AS985),,IF(U985="S",AD985-AS985,AS985-AD985))</f>
        <v>0</v>
      </c>
      <c r="AU985" s="54">
        <f t="shared" ref="AU985" si="407">AV985*R985</f>
        <v>0</v>
      </c>
      <c r="AV985" s="56">
        <f t="shared" ref="AV985" si="408">IF(ISBLANK(AS985),,(AT985*Z985))</f>
        <v>0</v>
      </c>
      <c r="AW985" s="57" t="s">
        <v>155</v>
      </c>
      <c r="AX985" s="153" t="s">
        <v>2991</v>
      </c>
      <c r="AY985" s="153"/>
      <c r="AZ985" s="153"/>
      <c r="BA985" s="153"/>
      <c r="BB985" s="153"/>
      <c r="BC985" s="153"/>
      <c r="BD985" s="151"/>
      <c r="BE985" s="152"/>
      <c r="BF985" s="151"/>
      <c r="BG985" s="94">
        <f>SUM($AV$4:AV985)</f>
        <v>6813.7921494204165</v>
      </c>
      <c r="BH985" s="95">
        <f>SUM($AU$4:AU985)</f>
        <v>42246.903836163023</v>
      </c>
      <c r="BI985" s="80">
        <f>SUMIFS($AU$3:AU986,$Q$3:Q986,"F")</f>
        <v>28758.758121878131</v>
      </c>
      <c r="BJ985" s="80">
        <f>SUMIFS($AU$3:AU986,$Q$3:Q986,"S")</f>
        <v>18290.285714285717</v>
      </c>
      <c r="BK985" s="87">
        <f>SUMIFS($AU$3:AU986,$P$3:P986,"W")</f>
        <v>16085.423836163443</v>
      </c>
      <c r="BL985" s="87">
        <f>SUMIFS($AU$3:AU986,$P$3:P986,"R")</f>
        <v>23230.800000000327</v>
      </c>
      <c r="BM985" s="87">
        <f>SUMIFS($AU$3:AU986,$AQ$3:AQ986,"M")</f>
        <v>9563.1799999983832</v>
      </c>
      <c r="BN985" s="87">
        <f>SUMIFS($AU$3:AU986,$AQ$3:AQ986,"H")</f>
        <v>12539.200000000877</v>
      </c>
      <c r="BO985" s="87">
        <f>SUMIFS($AU$3:AU986,$AQ$3:AQ986,"D")</f>
        <v>11195.57747252718</v>
      </c>
      <c r="BP985" s="87">
        <f>SUMIFS($AS$3:AS1311,$AO$3:AO1311,"W")</f>
        <v>0</v>
      </c>
      <c r="BQ985" s="87">
        <f>SUMIFS($AU$3:AU986,$Q$3:Q986,"O")</f>
        <v>-9366.1400000007852</v>
      </c>
      <c r="BR985" s="87">
        <f>SUMIFS($AU$3:AU986,$AA$3:AA986,"*")</f>
        <v>39108.002077921221</v>
      </c>
      <c r="BS985" s="87">
        <f>SUMIFS($AU$3:AU986,$AB$3:AB986,"*")</f>
        <v>7005.8599999997941</v>
      </c>
      <c r="BT985" s="87">
        <f>SUMIFS($AU$3:AU986,$AC$3:AC986,"*")</f>
        <v>31920.358121878122</v>
      </c>
      <c r="BU985" s="87">
        <f>SUMIFS($AU$3:AU986,$AA$3:AA986,"*",$AB$3:AB986,"*")</f>
        <v>7301.9999999995771</v>
      </c>
      <c r="BV985" s="87">
        <f>SUMIFS($AU$3:AU986,$AA$3:AA986,"*",$AC$3:AC986,"*")</f>
        <v>29901.316363636532</v>
      </c>
      <c r="BW985" s="87">
        <f>SUMIFS($AU$3:AU986,$AB$3:AB986,"*",$AC$3:AC986,"*")</f>
        <v>3739.199999999998</v>
      </c>
      <c r="BX985" s="87">
        <f>SUMIFS($AV$3:AV986,$Q$3:Q986,"F")</f>
        <v>396.72999236351012</v>
      </c>
      <c r="BY985" s="87">
        <f>SUMIFS($AV$3:AV986,$Q$3:Q986,"S")</f>
        <v>759.76285705724263</v>
      </c>
      <c r="BZ985" s="87">
        <f>SUMIFS($AV$3:AV986,$Q$3:Q986,"O")</f>
        <v>569.29929999965555</v>
      </c>
    </row>
    <row r="986" spans="1:78" ht="15.75" customHeight="1">
      <c r="A986" s="45" t="s">
        <v>2792</v>
      </c>
      <c r="B986" s="59">
        <v>45504</v>
      </c>
      <c r="C986" s="46" t="s">
        <v>2992</v>
      </c>
      <c r="D986" s="46" t="s">
        <v>186</v>
      </c>
      <c r="E986" s="66" t="s">
        <v>2993</v>
      </c>
      <c r="F986" s="47" t="s">
        <v>2994</v>
      </c>
      <c r="G986" s="48"/>
      <c r="H986" s="49"/>
      <c r="I986" s="49"/>
      <c r="J986" s="49"/>
      <c r="K986" s="50"/>
      <c r="L986" s="49"/>
      <c r="M986" s="49"/>
      <c r="N986" s="49"/>
      <c r="O986" s="50"/>
      <c r="P986" s="50"/>
      <c r="Q986" s="50"/>
      <c r="R986" s="50"/>
      <c r="S986" s="50"/>
      <c r="T986" s="50"/>
      <c r="U986" s="50"/>
      <c r="V986" s="50"/>
      <c r="W986" s="50"/>
      <c r="X986" s="50"/>
      <c r="Y986" s="50"/>
      <c r="Z986" s="52"/>
      <c r="AA986" s="52"/>
      <c r="AB986" s="52"/>
      <c r="AC986" s="52"/>
      <c r="AD986" s="231"/>
      <c r="AE986" s="49"/>
      <c r="AF986" s="84"/>
      <c r="AG986" s="49"/>
      <c r="AH986" s="49"/>
      <c r="AI986" s="49"/>
      <c r="AJ986" s="226"/>
      <c r="AK986" s="49"/>
      <c r="AL986" s="113">
        <f t="shared" si="401"/>
        <v>0</v>
      </c>
      <c r="AM986" s="113">
        <f t="shared" si="402"/>
        <v>0</v>
      </c>
      <c r="AN986" s="218"/>
      <c r="AO986" s="49"/>
      <c r="AP986" s="49"/>
      <c r="AQ986" s="84" t="str">
        <f>UPPER(RIGHT(Journal_Live[[#This Row],[DURATION ]]))</f>
        <v/>
      </c>
      <c r="AR986" s="49"/>
      <c r="AS986" s="55"/>
      <c r="AT986" s="55">
        <f t="shared" si="403"/>
        <v>0</v>
      </c>
      <c r="AU986" s="54">
        <f t="shared" si="404"/>
        <v>0</v>
      </c>
      <c r="AV986" s="56">
        <f t="shared" si="405"/>
        <v>0</v>
      </c>
      <c r="AW986" s="57"/>
      <c r="AX986" s="153"/>
      <c r="AY986" s="153"/>
      <c r="AZ986" s="153"/>
      <c r="BA986" s="153"/>
      <c r="BB986" s="153"/>
      <c r="BC986" s="153"/>
      <c r="BD986" s="151"/>
      <c r="BE986" s="152"/>
      <c r="BF986" s="151"/>
      <c r="BG986" s="94">
        <f>SUM($AV$4:AV986)</f>
        <v>6813.7921494204165</v>
      </c>
      <c r="BH986" s="95">
        <f>SUM($AU$4:AU986)</f>
        <v>42246.903836163023</v>
      </c>
      <c r="BI986" s="80">
        <f>SUMIFS($AU$3:AU987,$Q$3:Q987,"F")</f>
        <v>28758.758121878131</v>
      </c>
      <c r="BJ986" s="80">
        <f>SUMIFS($AU$3:AU987,$Q$3:Q987,"S")</f>
        <v>18290.285714285717</v>
      </c>
      <c r="BK986" s="87">
        <f>SUMIFS($AU$3:AU987,$P$3:P987,"W")</f>
        <v>16085.423836163443</v>
      </c>
      <c r="BL986" s="87">
        <f>SUMIFS($AU$3:AU987,$P$3:P987,"R")</f>
        <v>23230.800000000327</v>
      </c>
      <c r="BM986" s="87">
        <f>SUMIFS($AU$3:AU987,$AQ$3:AQ987,"M")</f>
        <v>9563.1799999983832</v>
      </c>
      <c r="BN986" s="87">
        <f>SUMIFS($AU$3:AU987,$AQ$3:AQ987,"H")</f>
        <v>12539.200000000877</v>
      </c>
      <c r="BO986" s="87">
        <f>SUMIFS($AU$3:AU987,$AQ$3:AQ987,"D")</f>
        <v>11195.57747252718</v>
      </c>
      <c r="BP986" s="87">
        <f>SUMIFS($AS$3:AS1312,$AO$3:AO1312,"W")</f>
        <v>0</v>
      </c>
      <c r="BQ986" s="87">
        <f>SUMIFS($AU$3:AU987,$Q$3:Q987,"O")</f>
        <v>-9366.1400000007852</v>
      </c>
      <c r="BR986" s="87">
        <f>SUMIFS($AU$3:AU987,$AA$3:AA987,"*")</f>
        <v>39108.002077921221</v>
      </c>
      <c r="BS986" s="87">
        <f>SUMIFS($AU$3:AU987,$AB$3:AB987,"*")</f>
        <v>7005.8599999997941</v>
      </c>
      <c r="BT986" s="87">
        <f>SUMIFS($AU$3:AU987,$AC$3:AC987,"*")</f>
        <v>31920.358121878122</v>
      </c>
      <c r="BU986" s="87">
        <f>SUMIFS($AU$3:AU987,$AA$3:AA987,"*",$AB$3:AB987,"*")</f>
        <v>7301.9999999995771</v>
      </c>
      <c r="BV986" s="87">
        <f>SUMIFS($AU$3:AU987,$AA$3:AA987,"*",$AC$3:AC987,"*")</f>
        <v>29901.316363636532</v>
      </c>
      <c r="BW986" s="87">
        <f>SUMIFS($AU$3:AU987,$AB$3:AB987,"*",$AC$3:AC987,"*")</f>
        <v>3739.199999999998</v>
      </c>
      <c r="BX986" s="87">
        <f>SUMIFS($AV$3:AV987,$Q$3:Q987,"F")</f>
        <v>396.72999236351012</v>
      </c>
      <c r="BY986" s="87">
        <f>SUMIFS($AV$3:AV987,$Q$3:Q987,"S")</f>
        <v>759.76285705724263</v>
      </c>
      <c r="BZ986" s="87">
        <f>SUMIFS($AV$3:AV987,$Q$3:Q987,"O")</f>
        <v>569.29929999965555</v>
      </c>
    </row>
    <row r="987" spans="1:78" ht="15.75" customHeight="1">
      <c r="A987" s="45" t="s">
        <v>2792</v>
      </c>
      <c r="B987" s="59">
        <v>45504</v>
      </c>
      <c r="C987" s="46" t="s">
        <v>147</v>
      </c>
      <c r="D987" s="46" t="s">
        <v>186</v>
      </c>
      <c r="E987" s="66"/>
      <c r="F987" s="47"/>
      <c r="G987" s="48" t="s">
        <v>2541</v>
      </c>
      <c r="H987" s="49"/>
      <c r="I987" s="49"/>
      <c r="J987" s="49"/>
      <c r="K987" s="50"/>
      <c r="L987" s="49">
        <v>2</v>
      </c>
      <c r="M987" s="49"/>
      <c r="N987" s="49"/>
      <c r="O987" s="50" t="s">
        <v>196</v>
      </c>
      <c r="P987" s="50" t="s">
        <v>197</v>
      </c>
      <c r="Q987" s="50" t="s">
        <v>198</v>
      </c>
      <c r="R987" s="50">
        <v>1</v>
      </c>
      <c r="S987" s="50">
        <v>0</v>
      </c>
      <c r="T987" s="50">
        <v>1</v>
      </c>
      <c r="U987" s="50" t="s">
        <v>102</v>
      </c>
      <c r="V987" s="50" t="s">
        <v>2898</v>
      </c>
      <c r="W987" s="50" t="s">
        <v>22</v>
      </c>
      <c r="X987" s="50"/>
      <c r="Y987" s="51">
        <f>IF(ISBLANK(O987),"",(IF(O987=UPPER("IB"),0.005,0.01)))</f>
        <v>0.01</v>
      </c>
      <c r="Z987" s="52">
        <f>IF(ISBLANK(O987),"",IF(O987="IB",8.63*200,IF(O987="IR",16*100,IF(O987="YT",20*100,IF(O987="YT-XT",24*200,IF(O987="TED",80*100,IF(O987="XT",29*200)))))))</f>
        <v>5800</v>
      </c>
      <c r="AA987" s="52" t="s">
        <v>908</v>
      </c>
      <c r="AB987" s="52"/>
      <c r="AC987" s="52"/>
      <c r="AD987" s="231">
        <v>95.855000000000004</v>
      </c>
      <c r="AE987" s="49"/>
      <c r="AF987" s="84"/>
      <c r="AG987" s="49"/>
      <c r="AH987" s="49"/>
      <c r="AI987" s="49"/>
      <c r="AJ987" s="226"/>
      <c r="AK987" s="49"/>
      <c r="AL987" s="113">
        <f t="shared" si="401"/>
        <v>-116</v>
      </c>
      <c r="AM987" s="113">
        <f t="shared" si="402"/>
        <v>-116</v>
      </c>
      <c r="AN987" s="218"/>
      <c r="AO987" s="49"/>
      <c r="AP987" s="49"/>
      <c r="AQ987" s="84" t="s">
        <v>350</v>
      </c>
      <c r="AR987" s="49"/>
      <c r="AS987" s="55">
        <v>95.855000000000004</v>
      </c>
      <c r="AT987" s="55">
        <f t="shared" si="403"/>
        <v>0</v>
      </c>
      <c r="AU987" s="54">
        <f t="shared" si="404"/>
        <v>0</v>
      </c>
      <c r="AV987" s="56">
        <f t="shared" si="405"/>
        <v>0</v>
      </c>
      <c r="AW987" s="57" t="s">
        <v>155</v>
      </c>
      <c r="AX987" s="153" t="s">
        <v>2995</v>
      </c>
      <c r="AY987" s="153"/>
      <c r="AZ987" s="153"/>
      <c r="BA987" s="153"/>
      <c r="BB987" s="153"/>
      <c r="BC987" s="153"/>
      <c r="BD987" s="151"/>
      <c r="BE987" s="152"/>
      <c r="BF987" s="151"/>
      <c r="BG987" s="94">
        <f>SUM($AV$4:AV987)</f>
        <v>6813.7921494204165</v>
      </c>
      <c r="BH987" s="95">
        <f>SUM($AU$4:AU987)</f>
        <v>42246.903836163023</v>
      </c>
      <c r="BI987" s="80">
        <f>SUMIFS($AU$3:AU992,$Q$3:Q992,"F")</f>
        <v>28758.758121878131</v>
      </c>
      <c r="BJ987" s="80">
        <f>SUMIFS($AU$3:AU988,$Q$3:Q988,"S")</f>
        <v>18338.285714285717</v>
      </c>
      <c r="BK987" s="87">
        <f>SUMIFS($AU$3:AU992,$P$3:P992,"W")</f>
        <v>16085.423836163443</v>
      </c>
      <c r="BL987" s="87">
        <f>SUMIFS($AU$3:AU992,$P$3:P992,"R")</f>
        <v>23278.800000000327</v>
      </c>
      <c r="BM987" s="87">
        <f>SUMIFS($AU$3:AU992,$AQ$3:AQ992,"M")</f>
        <v>9563.1799999983832</v>
      </c>
      <c r="BN987" s="87">
        <f>SUMIFS($AU$3:AU992,$AQ$3:AQ992,"H")</f>
        <v>12587.200000000877</v>
      </c>
      <c r="BO987" s="87">
        <f>SUMIFS($AU$3:AU992,$AQ$3:AQ992,"D")</f>
        <v>11195.57747252718</v>
      </c>
      <c r="BP987" s="87">
        <f>SUMIFS($AS$3:AS1313,$AO$3:AO1313,"W")</f>
        <v>0</v>
      </c>
      <c r="BQ987" s="87">
        <f>SUMIFS($AU$3:AU992,$Q$3:Q992,"O")</f>
        <v>-9366.1400000007852</v>
      </c>
      <c r="BR987" s="87">
        <f>SUMIFS($AU$3:AU992,$AA$3:AA992,"*")</f>
        <v>39156.002077921221</v>
      </c>
      <c r="BS987" s="87">
        <f>SUMIFS($AU$3:AU992,$AB$3:AB992,"*")</f>
        <v>7005.8599999997941</v>
      </c>
      <c r="BT987" s="87">
        <f>SUMIFS($AU$3:AU992,$AC$3:AC992,"*")</f>
        <v>31968.358121878122</v>
      </c>
      <c r="BU987" s="87">
        <f>SUMIFS($AU$3:AU992,$AA$3:AA992,"*",$AB$3:AB992,"*")</f>
        <v>7301.9999999995771</v>
      </c>
      <c r="BV987" s="87">
        <f>SUMIFS($AU$3:AU992,$AA$3:AA992,"*",$AC$3:AC992,"*")</f>
        <v>29949.316363636532</v>
      </c>
      <c r="BW987" s="87">
        <f>SUMIFS($AU$3:AU992,$AB$3:AB992,"*",$AC$3:AC992,"*")</f>
        <v>3739.199999999998</v>
      </c>
      <c r="BX987" s="87">
        <f>SUMIFS($AV$3:AV992,$Q$3:Q992,"F")</f>
        <v>396.72999236351012</v>
      </c>
      <c r="BY987" s="87">
        <f>SUMIFS($AV$3:AV992,$Q$3:Q992,"S")</f>
        <v>775.76285705724263</v>
      </c>
      <c r="BZ987" s="87">
        <f>SUMIFS($AV$3:AV992,$Q$3:Q992,"O")</f>
        <v>569.29929999965555</v>
      </c>
    </row>
    <row r="988" spans="1:78" ht="15.75" customHeight="1">
      <c r="A988" s="45" t="s">
        <v>2792</v>
      </c>
      <c r="B988" s="59">
        <v>45504</v>
      </c>
      <c r="C988" s="46" t="s">
        <v>147</v>
      </c>
      <c r="D988" s="46" t="s">
        <v>186</v>
      </c>
      <c r="E988" s="66"/>
      <c r="F988" s="47"/>
      <c r="G988" s="48" t="s">
        <v>2694</v>
      </c>
      <c r="H988" s="49"/>
      <c r="I988" s="49"/>
      <c r="J988" s="49"/>
      <c r="K988" s="50"/>
      <c r="L988" s="49">
        <v>1</v>
      </c>
      <c r="M988" s="49"/>
      <c r="N988" s="49"/>
      <c r="O988" s="50" t="s">
        <v>100</v>
      </c>
      <c r="P988" s="50" t="s">
        <v>126</v>
      </c>
      <c r="Q988" s="50" t="s">
        <v>102</v>
      </c>
      <c r="R988" s="50">
        <v>3</v>
      </c>
      <c r="S988" s="50">
        <v>0</v>
      </c>
      <c r="T988" s="50">
        <v>3</v>
      </c>
      <c r="U988" s="50" t="s">
        <v>102</v>
      </c>
      <c r="V988" s="50" t="s">
        <v>2898</v>
      </c>
      <c r="W988" s="50" t="s">
        <v>155</v>
      </c>
      <c r="X988" s="50"/>
      <c r="Y988" s="51">
        <f>IF(ISBLANK(O988),"",(IF(O988=UPPER("IB"),0.005,0.01)))</f>
        <v>0.01</v>
      </c>
      <c r="Z988" s="52">
        <f>IF(ISBLANK(O988),"",IF(O988="IB",8.63*200,IF(O988="IR",16*100,IF(O988="YT",20*100,IF(O988="YT-XT",24*200,IF(O988="TED",80*100,IF(O988="XT",29*200)))))))</f>
        <v>1600</v>
      </c>
      <c r="AA988" s="52" t="s">
        <v>925</v>
      </c>
      <c r="AB988" s="52"/>
      <c r="AC988" s="52" t="s">
        <v>2996</v>
      </c>
      <c r="AD988" s="231">
        <v>-0.12</v>
      </c>
      <c r="AE988" s="49"/>
      <c r="AF988" s="84"/>
      <c r="AG988" s="49"/>
      <c r="AH988" s="49"/>
      <c r="AI988" s="49"/>
      <c r="AJ988" s="226"/>
      <c r="AK988" s="49"/>
      <c r="AL988" s="113">
        <f t="shared" si="401"/>
        <v>-32</v>
      </c>
      <c r="AM988" s="113">
        <f t="shared" si="402"/>
        <v>-96</v>
      </c>
      <c r="AN988" s="218"/>
      <c r="AO988" s="49"/>
      <c r="AP988" s="49"/>
      <c r="AQ988" s="84" t="s">
        <v>142</v>
      </c>
      <c r="AR988" s="49" t="s">
        <v>2852</v>
      </c>
      <c r="AS988" s="55">
        <v>-0.13</v>
      </c>
      <c r="AT988" s="55">
        <f t="shared" si="403"/>
        <v>1.0000000000000009E-2</v>
      </c>
      <c r="AU988" s="54">
        <f t="shared" si="404"/>
        <v>48.000000000000043</v>
      </c>
      <c r="AV988" s="56">
        <f t="shared" si="405"/>
        <v>16.000000000000014</v>
      </c>
      <c r="AW988" s="57" t="s">
        <v>101</v>
      </c>
      <c r="AX988" s="153"/>
      <c r="AY988" s="153"/>
      <c r="AZ988" s="153"/>
      <c r="BA988" s="153"/>
      <c r="BB988" s="153"/>
      <c r="BC988" s="153"/>
      <c r="BD988" s="151"/>
      <c r="BE988" s="152"/>
      <c r="BF988" s="151"/>
      <c r="BG988" s="94">
        <f>SUM($AV$4:AV988)</f>
        <v>6829.7921494204165</v>
      </c>
      <c r="BH988" s="95">
        <f>SUM($AU$4:AU988)</f>
        <v>42294.903836163023</v>
      </c>
      <c r="BI988" s="80">
        <f>SUMIFS($AU$3:AU989,$Q$3:Q989,"F")</f>
        <v>28758.758121878131</v>
      </c>
      <c r="BJ988" s="80">
        <f>SUMIFS($AU$3:AU989,$Q$3:Q989,"S")</f>
        <v>18338.285714285717</v>
      </c>
      <c r="BK988" s="87">
        <f>SUMIFS($AU$3:AU989,$P$3:P989,"W")</f>
        <v>16085.423836163443</v>
      </c>
      <c r="BL988" s="87">
        <f>SUMIFS($AU$3:AU989,$P$3:P989,"R")</f>
        <v>23278.800000000327</v>
      </c>
      <c r="BM988" s="87">
        <f>SUMIFS($AU$3:AU989,$AQ$3:AQ989,"M")</f>
        <v>9563.1799999983832</v>
      </c>
      <c r="BN988" s="87">
        <f>SUMIFS($AU$3:AU989,$AQ$3:AQ989,"H")</f>
        <v>12587.200000000877</v>
      </c>
      <c r="BO988" s="87">
        <f>SUMIFS($AU$3:AU989,$AQ$3:AQ989,"D")</f>
        <v>11195.57747252718</v>
      </c>
      <c r="BP988" s="87">
        <f>SUMIFS($AS$3:AS1310,$AO$3:AO1310,"W")</f>
        <v>0</v>
      </c>
      <c r="BQ988" s="87">
        <f>SUMIFS($AU$3:AU989,$Q$3:Q989,"O")</f>
        <v>-9366.1400000007852</v>
      </c>
      <c r="BR988" s="87">
        <f>SUMIFS($AU$3:AU989,$AA$3:AA989,"*")</f>
        <v>39156.002077921221</v>
      </c>
      <c r="BS988" s="87">
        <f>SUMIFS($AU$3:AU989,$AB$3:AB989,"*")</f>
        <v>7005.8599999997941</v>
      </c>
      <c r="BT988" s="87">
        <f>SUMIFS($AU$3:AU989,$AC$3:AC989,"*")</f>
        <v>31968.358121878122</v>
      </c>
      <c r="BU988" s="87">
        <f>SUMIFS($AU$3:AU989,$AA$3:AA989,"*",$AB$3:AB989,"*")</f>
        <v>7301.9999999995771</v>
      </c>
      <c r="BV988" s="87">
        <f>SUMIFS($AU$3:AU989,$AA$3:AA989,"*",$AC$3:AC989,"*")</f>
        <v>29949.316363636532</v>
      </c>
      <c r="BW988" s="87">
        <f>SUMIFS($AU$3:AU989,$AB$3:AB989,"*",$AC$3:AC989,"*")</f>
        <v>3739.199999999998</v>
      </c>
      <c r="BX988" s="87">
        <f>SUMIFS($AV$3:AV989,$Q$3:Q989,"F")</f>
        <v>396.72999236351012</v>
      </c>
      <c r="BY988" s="87">
        <f>SUMIFS($AV$3:AV989,$Q$3:Q989,"S")</f>
        <v>775.76285705724263</v>
      </c>
      <c r="BZ988" s="87">
        <f>SUMIFS($AV$3:AV989,$Q$3:Q989,"O")</f>
        <v>569.29929999965555</v>
      </c>
    </row>
    <row r="989" spans="1:78" ht="15.75" customHeight="1">
      <c r="A989" s="45" t="s">
        <v>2792</v>
      </c>
      <c r="B989" s="59"/>
      <c r="C989" s="46"/>
      <c r="D989" s="46"/>
      <c r="E989" s="66"/>
      <c r="F989" s="47"/>
      <c r="G989" s="48"/>
      <c r="H989" s="49"/>
      <c r="I989" s="49"/>
      <c r="J989" s="49"/>
      <c r="K989" s="50"/>
      <c r="L989" s="49"/>
      <c r="M989" s="49"/>
      <c r="N989" s="49"/>
      <c r="O989" s="50"/>
      <c r="P989" s="50"/>
      <c r="Q989" s="50"/>
      <c r="R989" s="50"/>
      <c r="S989" s="50"/>
      <c r="T989" s="50"/>
      <c r="U989" s="50"/>
      <c r="V989" s="50"/>
      <c r="W989" s="50"/>
      <c r="X989" s="50"/>
      <c r="Y989" s="51"/>
      <c r="Z989" s="52"/>
      <c r="AA989" s="52"/>
      <c r="AB989" s="52"/>
      <c r="AC989" s="52"/>
      <c r="AD989" s="231"/>
      <c r="AE989" s="49"/>
      <c r="AF989" s="84"/>
      <c r="AG989" s="49"/>
      <c r="AH989" s="49"/>
      <c r="AI989" s="49"/>
      <c r="AJ989" s="226"/>
      <c r="AK989" s="49"/>
      <c r="AL989" s="113">
        <f t="shared" si="401"/>
        <v>0</v>
      </c>
      <c r="AM989" s="113">
        <f t="shared" si="402"/>
        <v>0</v>
      </c>
      <c r="AN989" s="218"/>
      <c r="AO989" s="49"/>
      <c r="AP989" s="49"/>
      <c r="AQ989" s="84" t="str">
        <f>UPPER(RIGHT(Journal_Live[[#This Row],[DURATION ]]))</f>
        <v/>
      </c>
      <c r="AR989" s="49"/>
      <c r="AS989" s="55"/>
      <c r="AT989" s="55">
        <f t="shared" si="403"/>
        <v>0</v>
      </c>
      <c r="AU989" s="54">
        <f t="shared" si="404"/>
        <v>0</v>
      </c>
      <c r="AV989" s="56">
        <f t="shared" si="405"/>
        <v>0</v>
      </c>
      <c r="AW989" s="57"/>
      <c r="AX989" s="153" t="s">
        <v>2997</v>
      </c>
      <c r="AY989" s="153" t="s">
        <v>657</v>
      </c>
      <c r="AZ989" s="153" t="s">
        <v>2998</v>
      </c>
      <c r="BA989" s="153"/>
      <c r="BB989" s="153"/>
      <c r="BC989" s="153"/>
      <c r="BD989" s="151"/>
      <c r="BE989" s="152"/>
      <c r="BF989" s="151"/>
      <c r="BG989" s="94">
        <f>SUM($AV$4:AV989)</f>
        <v>6829.7921494204165</v>
      </c>
      <c r="BH989" s="95">
        <f>SUM($AU$4:AU989)</f>
        <v>42294.903836163023</v>
      </c>
      <c r="BI989" s="80">
        <f>SUMIFS($AU$3:AU990,$Q$3:Q990,"F")</f>
        <v>28758.758121878131</v>
      </c>
      <c r="BJ989" s="80">
        <f>SUMIFS($AU$3:AU990,$Q$3:Q990,"S")</f>
        <v>18338.285714285717</v>
      </c>
      <c r="BK989" s="87">
        <f>SUMIFS($AU$3:AU990,$P$3:P990,"W")</f>
        <v>16085.423836163443</v>
      </c>
      <c r="BL989" s="87">
        <f>SUMIFS($AU$3:AU990,$P$3:P990,"R")</f>
        <v>23278.800000000327</v>
      </c>
      <c r="BM989" s="87">
        <f>SUMIFS($AU$3:AU990,$AQ$3:AQ990,"M")</f>
        <v>9563.1799999983832</v>
      </c>
      <c r="BN989" s="87">
        <f>SUMIFS($AU$3:AU990,$AQ$3:AQ990,"H")</f>
        <v>12587.200000000877</v>
      </c>
      <c r="BO989" s="87">
        <f>SUMIFS($AU$3:AU990,$AQ$3:AQ990,"D")</f>
        <v>11195.57747252718</v>
      </c>
      <c r="BP989" s="87">
        <f>SUMIFS($AS$3:AS1311,$AO$3:AO1311,"W")</f>
        <v>0</v>
      </c>
      <c r="BQ989" s="87">
        <f>SUMIFS($AU$3:AU990,$Q$3:Q990,"O")</f>
        <v>-9366.1400000007852</v>
      </c>
      <c r="BR989" s="87">
        <f>SUMIFS($AU$3:AU990,$AA$3:AA990,"*")</f>
        <v>39156.002077921221</v>
      </c>
      <c r="BS989" s="87">
        <f>SUMIFS($AU$3:AU990,$AB$3:AB990,"*")</f>
        <v>7005.8599999997941</v>
      </c>
      <c r="BT989" s="87">
        <f>SUMIFS($AU$3:AU990,$AC$3:AC990,"*")</f>
        <v>31968.358121878122</v>
      </c>
      <c r="BU989" s="87">
        <f>SUMIFS($AU$3:AU990,$AA$3:AA990,"*",$AB$3:AB990,"*")</f>
        <v>7301.9999999995771</v>
      </c>
      <c r="BV989" s="87">
        <f>SUMIFS($AU$3:AU990,$AA$3:AA990,"*",$AC$3:AC990,"*")</f>
        <v>29949.316363636532</v>
      </c>
      <c r="BW989" s="87">
        <f>SUMIFS($AU$3:AU990,$AB$3:AB990,"*",$AC$3:AC990,"*")</f>
        <v>3739.199999999998</v>
      </c>
      <c r="BX989" s="87">
        <f>SUMIFS($AV$3:AV990,$Q$3:Q990,"F")</f>
        <v>396.72999236351012</v>
      </c>
      <c r="BY989" s="87">
        <f>SUMIFS($AV$3:AV990,$Q$3:Q990,"S")</f>
        <v>775.76285705724263</v>
      </c>
      <c r="BZ989" s="87">
        <f>SUMIFS($AV$3:AV990,$Q$3:Q990,"O")</f>
        <v>569.29929999965555</v>
      </c>
    </row>
    <row r="990" spans="1:78" ht="15.75" customHeight="1">
      <c r="A990" s="45" t="s">
        <v>2792</v>
      </c>
      <c r="B990" s="59"/>
      <c r="C990" s="46"/>
      <c r="D990" s="46"/>
      <c r="E990" s="66"/>
      <c r="F990" s="47"/>
      <c r="G990" s="48"/>
      <c r="H990" s="49"/>
      <c r="I990" s="49"/>
      <c r="J990" s="49"/>
      <c r="K990" s="50"/>
      <c r="L990" s="49"/>
      <c r="M990" s="49"/>
      <c r="N990" s="49"/>
      <c r="O990" s="50"/>
      <c r="P990" s="50"/>
      <c r="Q990" s="50"/>
      <c r="R990" s="50"/>
      <c r="S990" s="50"/>
      <c r="T990" s="50"/>
      <c r="U990" s="50"/>
      <c r="V990" s="50"/>
      <c r="W990" s="50"/>
      <c r="X990" s="50"/>
      <c r="Y990" s="51"/>
      <c r="Z990" s="52"/>
      <c r="AA990" s="52"/>
      <c r="AB990" s="52"/>
      <c r="AC990" s="52"/>
      <c r="AD990" s="231"/>
      <c r="AE990" s="49"/>
      <c r="AF990" s="84"/>
      <c r="AG990" s="49"/>
      <c r="AH990" s="49"/>
      <c r="AI990" s="49"/>
      <c r="AJ990" s="226"/>
      <c r="AK990" s="49"/>
      <c r="AL990" s="113">
        <f t="shared" si="401"/>
        <v>0</v>
      </c>
      <c r="AM990" s="113">
        <f t="shared" si="402"/>
        <v>0</v>
      </c>
      <c r="AN990" s="218"/>
      <c r="AO990" s="49"/>
      <c r="AP990" s="49"/>
      <c r="AQ990" s="84" t="str">
        <f>UPPER(RIGHT(Journal_Live[[#This Row],[DURATION ]]))</f>
        <v/>
      </c>
      <c r="AR990" s="49"/>
      <c r="AS990" s="55"/>
      <c r="AT990" s="55">
        <f t="shared" si="403"/>
        <v>0</v>
      </c>
      <c r="AU990" s="54">
        <f t="shared" si="404"/>
        <v>0</v>
      </c>
      <c r="AV990" s="56">
        <f t="shared" si="405"/>
        <v>0</v>
      </c>
      <c r="AW990" s="57"/>
      <c r="AX990" s="153"/>
      <c r="AY990" s="153"/>
      <c r="AZ990" s="153"/>
      <c r="BA990" s="153"/>
      <c r="BB990" s="153"/>
      <c r="BC990" s="153"/>
      <c r="BD990" s="151"/>
      <c r="BE990" s="152"/>
      <c r="BF990" s="151"/>
      <c r="BG990" s="94">
        <f>SUM($AV$4:AV990)</f>
        <v>6829.7921494204165</v>
      </c>
      <c r="BH990" s="95">
        <f>SUM($AU$4:AU990)</f>
        <v>42294.903836163023</v>
      </c>
      <c r="BI990" s="80">
        <f>SUMIFS($AU$3:AU991,$Q$3:Q991,"F")</f>
        <v>28758.758121878131</v>
      </c>
      <c r="BJ990" s="80">
        <f>SUMIFS($AU$3:AU991,$Q$3:Q991,"S")</f>
        <v>18338.285714285717</v>
      </c>
      <c r="BK990" s="87">
        <f>SUMIFS($AU$3:AU991,$P$3:P991,"W")</f>
        <v>16085.423836163443</v>
      </c>
      <c r="BL990" s="87">
        <f>SUMIFS($AU$3:AU991,$P$3:P991,"R")</f>
        <v>23278.800000000327</v>
      </c>
      <c r="BM990" s="87">
        <f>SUMIFS($AU$3:AU991,$AQ$3:AQ991,"M")</f>
        <v>9563.1799999983832</v>
      </c>
      <c r="BN990" s="87">
        <f>SUMIFS($AU$3:AU991,$AQ$3:AQ991,"H")</f>
        <v>12587.200000000877</v>
      </c>
      <c r="BO990" s="87">
        <f>SUMIFS($AU$3:AU991,$AQ$3:AQ991,"D")</f>
        <v>11195.57747252718</v>
      </c>
      <c r="BP990" s="87">
        <f>SUMIFS($AS$3:AS1312,$AO$3:AO1312,"W")</f>
        <v>0</v>
      </c>
      <c r="BQ990" s="87">
        <f>SUMIFS($AU$3:AU991,$Q$3:Q991,"O")</f>
        <v>-9366.1400000007852</v>
      </c>
      <c r="BR990" s="87">
        <f>SUMIFS($AU$3:AU991,$AA$3:AA991,"*")</f>
        <v>39156.002077921221</v>
      </c>
      <c r="BS990" s="87">
        <f>SUMIFS($AU$3:AU991,$AB$3:AB991,"*")</f>
        <v>7005.8599999997941</v>
      </c>
      <c r="BT990" s="87">
        <f>SUMIFS($AU$3:AU991,$AC$3:AC991,"*")</f>
        <v>31968.358121878122</v>
      </c>
      <c r="BU990" s="87">
        <f>SUMIFS($AU$3:AU991,$AA$3:AA991,"*",$AB$3:AB991,"*")</f>
        <v>7301.9999999995771</v>
      </c>
      <c r="BV990" s="87">
        <f>SUMIFS($AU$3:AU991,$AA$3:AA991,"*",$AC$3:AC991,"*")</f>
        <v>29949.316363636532</v>
      </c>
      <c r="BW990" s="87">
        <f>SUMIFS($AU$3:AU991,$AB$3:AB991,"*",$AC$3:AC991,"*")</f>
        <v>3739.199999999998</v>
      </c>
      <c r="BX990" s="87">
        <f>SUMIFS($AV$3:AV991,$Q$3:Q991,"F")</f>
        <v>396.72999236351012</v>
      </c>
      <c r="BY990" s="87">
        <f>SUMIFS($AV$3:AV991,$Q$3:Q991,"S")</f>
        <v>775.76285705724263</v>
      </c>
      <c r="BZ990" s="87">
        <f>SUMIFS($AV$3:AV991,$Q$3:Q991,"O")</f>
        <v>569.29929999965555</v>
      </c>
    </row>
    <row r="991" spans="1:78" ht="15.75" customHeight="1">
      <c r="A991" s="45" t="s">
        <v>2792</v>
      </c>
      <c r="B991" s="59"/>
      <c r="C991" s="46"/>
      <c r="D991" s="46"/>
      <c r="E991" s="66"/>
      <c r="F991" s="47"/>
      <c r="G991" s="48"/>
      <c r="H991" s="49"/>
      <c r="I991" s="49"/>
      <c r="J991" s="49"/>
      <c r="K991" s="50"/>
      <c r="L991" s="49"/>
      <c r="M991" s="49"/>
      <c r="N991" s="49"/>
      <c r="O991" s="50"/>
      <c r="P991" s="50"/>
      <c r="Q991" s="50"/>
      <c r="R991" s="50"/>
      <c r="S991" s="50"/>
      <c r="T991" s="50"/>
      <c r="U991" s="50"/>
      <c r="V991" s="50"/>
      <c r="W991" s="50"/>
      <c r="X991" s="50"/>
      <c r="Y991" s="51"/>
      <c r="Z991" s="52"/>
      <c r="AA991" s="52"/>
      <c r="AB991" s="52"/>
      <c r="AC991" s="52"/>
      <c r="AD991" s="231"/>
      <c r="AE991" s="49"/>
      <c r="AF991" s="84"/>
      <c r="AG991" s="49"/>
      <c r="AH991" s="49"/>
      <c r="AI991" s="49"/>
      <c r="AJ991" s="226"/>
      <c r="AK991" s="49"/>
      <c r="AL991" s="113">
        <f t="shared" si="401"/>
        <v>0</v>
      </c>
      <c r="AM991" s="113">
        <f t="shared" si="402"/>
        <v>0</v>
      </c>
      <c r="AN991" s="218"/>
      <c r="AO991" s="49"/>
      <c r="AP991" s="49"/>
      <c r="AQ991" s="84" t="str">
        <f>UPPER(RIGHT(Journal_Live[[#This Row],[DURATION ]]))</f>
        <v/>
      </c>
      <c r="AR991" s="49"/>
      <c r="AS991" s="55"/>
      <c r="AT991" s="55">
        <f t="shared" si="403"/>
        <v>0</v>
      </c>
      <c r="AU991" s="54">
        <f t="shared" si="404"/>
        <v>0</v>
      </c>
      <c r="AV991" s="56">
        <f t="shared" si="405"/>
        <v>0</v>
      </c>
      <c r="AW991" s="57"/>
      <c r="AX991" s="153"/>
      <c r="AY991" s="153"/>
      <c r="AZ991" s="153"/>
      <c r="BA991" s="153"/>
      <c r="BB991" s="153"/>
      <c r="BC991" s="153"/>
      <c r="BD991" s="151"/>
      <c r="BE991" s="152"/>
      <c r="BF991" s="151"/>
      <c r="BG991" s="94">
        <f>SUM($AV$4:AV991)</f>
        <v>6829.7921494204165</v>
      </c>
      <c r="BH991" s="95">
        <f>SUM($AU$4:AU991)</f>
        <v>42294.903836163023</v>
      </c>
      <c r="BI991" s="80">
        <f>SUMIFS($AU$3:AU992,$Q$3:Q992,"F")</f>
        <v>28758.758121878131</v>
      </c>
      <c r="BJ991" s="80">
        <f>SUMIFS($AU$3:AU992,$Q$3:Q992,"S")</f>
        <v>18338.285714285717</v>
      </c>
      <c r="BK991" s="87">
        <f>SUMIFS($AU$3:AU992,$P$3:P992,"W")</f>
        <v>16085.423836163443</v>
      </c>
      <c r="BL991" s="87">
        <f>SUMIFS($AU$3:AU992,$P$3:P992,"R")</f>
        <v>23278.800000000327</v>
      </c>
      <c r="BM991" s="87">
        <f>SUMIFS($AU$3:AU992,$AQ$3:AQ992,"M")</f>
        <v>9563.1799999983832</v>
      </c>
      <c r="BN991" s="87">
        <f>SUMIFS($AU$3:AU992,$AQ$3:AQ992,"H")</f>
        <v>12587.200000000877</v>
      </c>
      <c r="BO991" s="87">
        <f>SUMIFS($AU$3:AU992,$AQ$3:AQ992,"D")</f>
        <v>11195.57747252718</v>
      </c>
      <c r="BP991" s="87">
        <f>SUMIFS($AS$3:AS1313,$AO$3:AO1313,"W")</f>
        <v>0</v>
      </c>
      <c r="BQ991" s="87">
        <f>SUMIFS($AU$3:AU992,$Q$3:Q992,"O")</f>
        <v>-9366.1400000007852</v>
      </c>
      <c r="BR991" s="87">
        <f>SUMIFS($AU$3:AU992,$AA$3:AA992,"*")</f>
        <v>39156.002077921221</v>
      </c>
      <c r="BS991" s="87">
        <f>SUMIFS($AU$3:AU992,$AB$3:AB992,"*")</f>
        <v>7005.8599999997941</v>
      </c>
      <c r="BT991" s="87">
        <f>SUMIFS($AU$3:AU992,$AC$3:AC992,"*")</f>
        <v>31968.358121878122</v>
      </c>
      <c r="BU991" s="87">
        <f>SUMIFS($AU$3:AU992,$AA$3:AA992,"*",$AB$3:AB992,"*")</f>
        <v>7301.9999999995771</v>
      </c>
      <c r="BV991" s="87">
        <f>SUMIFS($AU$3:AU992,$AA$3:AA992,"*",$AC$3:AC992,"*")</f>
        <v>29949.316363636532</v>
      </c>
      <c r="BW991" s="87">
        <f>SUMIFS($AU$3:AU992,$AB$3:AB992,"*",$AC$3:AC992,"*")</f>
        <v>3739.199999999998</v>
      </c>
      <c r="BX991" s="87">
        <f>SUMIFS($AV$3:AV992,$Q$3:Q992,"F")</f>
        <v>396.72999236351012</v>
      </c>
      <c r="BY991" s="87">
        <f>SUMIFS($AV$3:AV992,$Q$3:Q992,"S")</f>
        <v>775.76285705724263</v>
      </c>
      <c r="BZ991" s="87">
        <f>SUMIFS($AV$3:AV992,$Q$3:Q992,"O")</f>
        <v>569.29929999965555</v>
      </c>
    </row>
    <row r="992" spans="1:78" ht="15.75" customHeight="1">
      <c r="A992" s="45" t="s">
        <v>2792</v>
      </c>
      <c r="B992" s="59"/>
      <c r="C992" s="46"/>
      <c r="D992" s="46"/>
      <c r="E992" s="66"/>
      <c r="F992" s="47"/>
      <c r="G992" s="48"/>
      <c r="H992" s="49"/>
      <c r="I992" s="49"/>
      <c r="J992" s="49"/>
      <c r="K992" s="50"/>
      <c r="L992" s="49"/>
      <c r="M992" s="49"/>
      <c r="N992" s="49"/>
      <c r="O992" s="50"/>
      <c r="P992" s="50"/>
      <c r="Q992" s="50"/>
      <c r="R992" s="50"/>
      <c r="S992" s="50"/>
      <c r="T992" s="50"/>
      <c r="U992" s="50"/>
      <c r="V992" s="50"/>
      <c r="W992" s="50"/>
      <c r="X992" s="50"/>
      <c r="Y992" s="51"/>
      <c r="Z992" s="52"/>
      <c r="AA992" s="52"/>
      <c r="AB992" s="52"/>
      <c r="AC992" s="52"/>
      <c r="AD992" s="231"/>
      <c r="AE992" s="49"/>
      <c r="AF992" s="84"/>
      <c r="AG992" s="49"/>
      <c r="AH992" s="49"/>
      <c r="AI992" s="49"/>
      <c r="AJ992" s="226"/>
      <c r="AK992" s="49"/>
      <c r="AL992" s="113">
        <f t="shared" si="397"/>
        <v>0</v>
      </c>
      <c r="AM992" s="113">
        <f t="shared" si="398"/>
        <v>0</v>
      </c>
      <c r="AN992" s="218"/>
      <c r="AO992" s="49"/>
      <c r="AP992" s="49"/>
      <c r="AQ992" s="84" t="str">
        <f>UPPER(RIGHT(Journal_Live[[#This Row],[DURATION ]]))</f>
        <v/>
      </c>
      <c r="AR992" s="49"/>
      <c r="AS992" s="55"/>
      <c r="AT992" s="55">
        <f t="shared" si="399"/>
        <v>0</v>
      </c>
      <c r="AU992" s="54">
        <f t="shared" si="400"/>
        <v>0</v>
      </c>
      <c r="AV992" s="56">
        <f t="shared" si="381"/>
        <v>0</v>
      </c>
      <c r="AW992" s="57"/>
      <c r="AX992" s="153"/>
      <c r="AY992" s="153"/>
      <c r="AZ992" s="153"/>
      <c r="BA992" s="153"/>
      <c r="BB992" s="153"/>
      <c r="BC992" s="153"/>
      <c r="BD992" s="151"/>
      <c r="BE992" s="152"/>
      <c r="BF992" s="151"/>
      <c r="BG992" s="94">
        <f>SUM($AV$4:AV992)</f>
        <v>6829.7921494204165</v>
      </c>
      <c r="BH992" s="95">
        <f>SUM($AU$4:AU992)</f>
        <v>42294.903836163023</v>
      </c>
      <c r="BI992" s="80">
        <f>SUMIFS($AU$3:AU993,$Q$3:Q993,"F")</f>
        <v>28758.758121878131</v>
      </c>
      <c r="BJ992" s="80">
        <f>SUMIFS($AU$3:AU993,$Q$3:Q993,"S")</f>
        <v>18338.285714285717</v>
      </c>
      <c r="BK992" s="87">
        <f>SUMIFS($AU$3:AU993,$P$3:P993,"W")</f>
        <v>16085.423836163443</v>
      </c>
      <c r="BL992" s="87">
        <f>SUMIFS($AU$3:AU993,$P$3:P993,"R")</f>
        <v>23278.800000000327</v>
      </c>
      <c r="BM992" s="87">
        <f>SUMIFS($AU$3:AU993,$AQ$3:AQ993,"M")</f>
        <v>9563.1799999983832</v>
      </c>
      <c r="BN992" s="87">
        <f>SUMIFS($AU$3:AU993,$AQ$3:AQ993,"H")</f>
        <v>12587.200000000877</v>
      </c>
      <c r="BO992" s="87">
        <f>SUMIFS($AU$3:AU993,$AQ$3:AQ993,"D")</f>
        <v>11195.57747252718</v>
      </c>
      <c r="BP992" s="87">
        <f>SUMIFS($AS$3:AS1314,$AO$3:AO1314,"W")</f>
        <v>0</v>
      </c>
      <c r="BQ992" s="87">
        <f>SUMIFS($AU$3:AU993,$Q$3:Q993,"O")</f>
        <v>-9366.1400000007852</v>
      </c>
      <c r="BR992" s="87">
        <f>SUMIFS($AU$3:AU993,$AA$3:AA993,"*")</f>
        <v>39156.002077921221</v>
      </c>
      <c r="BS992" s="87">
        <f>SUMIFS($AU$3:AU993,$AB$3:AB993,"*")</f>
        <v>7005.8599999997941</v>
      </c>
      <c r="BT992" s="87">
        <f>SUMIFS($AU$3:AU993,$AC$3:AC993,"*")</f>
        <v>31968.358121878122</v>
      </c>
      <c r="BU992" s="87">
        <f>SUMIFS($AU$3:AU993,$AA$3:AA993,"*",$AB$3:AB993,"*")</f>
        <v>7301.9999999995771</v>
      </c>
      <c r="BV992" s="87">
        <f>SUMIFS($AU$3:AU993,$AA$3:AA993,"*",$AC$3:AC993,"*")</f>
        <v>29949.316363636532</v>
      </c>
      <c r="BW992" s="87">
        <f>SUMIFS($AU$3:AU993,$AB$3:AB993,"*",$AC$3:AC993,"*")</f>
        <v>3739.199999999998</v>
      </c>
      <c r="BX992" s="87">
        <f>SUMIFS($AV$3:AV993,$Q$3:Q993,"F")</f>
        <v>396.72999236351012</v>
      </c>
      <c r="BY992" s="87">
        <f>SUMIFS($AV$3:AV993,$Q$3:Q993,"S")</f>
        <v>775.76285705724263</v>
      </c>
      <c r="BZ992" s="87">
        <f>SUMIFS($AV$3:AV993,$Q$3:Q993,"O")</f>
        <v>569.29929999965555</v>
      </c>
    </row>
    <row r="993" spans="1:78" ht="15.75" customHeight="1">
      <c r="A993" s="45" t="s">
        <v>2792</v>
      </c>
      <c r="B993" s="59"/>
      <c r="C993" s="46"/>
      <c r="D993" s="46"/>
      <c r="E993" s="66"/>
      <c r="F993" s="47"/>
      <c r="G993" s="48"/>
      <c r="H993" s="49"/>
      <c r="I993" s="49"/>
      <c r="J993" s="49"/>
      <c r="K993" s="50"/>
      <c r="L993" s="49"/>
      <c r="M993" s="49"/>
      <c r="N993" s="49"/>
      <c r="O993" s="50"/>
      <c r="P993" s="50"/>
      <c r="Q993" s="50"/>
      <c r="R993" s="50"/>
      <c r="S993" s="50"/>
      <c r="T993" s="50"/>
      <c r="U993" s="50"/>
      <c r="V993" s="50"/>
      <c r="W993" s="50"/>
      <c r="X993" s="50"/>
      <c r="Y993" s="51"/>
      <c r="Z993" s="52"/>
      <c r="AA993" s="52"/>
      <c r="AB993" s="52"/>
      <c r="AC993" s="52"/>
      <c r="AD993" s="231"/>
      <c r="AE993" s="49"/>
      <c r="AF993" s="84"/>
      <c r="AG993" s="49"/>
      <c r="AH993" s="49"/>
      <c r="AI993" s="49"/>
      <c r="AJ993" s="226"/>
      <c r="AK993" s="49"/>
      <c r="AL993" s="113">
        <f t="shared" si="370"/>
        <v>0</v>
      </c>
      <c r="AM993" s="113">
        <f>AL993*(R993-S993)</f>
        <v>0</v>
      </c>
      <c r="AN993" s="218"/>
      <c r="AO993" s="49"/>
      <c r="AP993" s="49"/>
      <c r="AQ993" s="84" t="str">
        <f>UPPER(RIGHT(Journal_Live[[#This Row],[DURATION ]]))</f>
        <v/>
      </c>
      <c r="AR993" s="49"/>
      <c r="AS993" s="55"/>
      <c r="AT993" s="55">
        <f>IF(ISBLANK(AS993),,IF(U993="S",AD993-AS993,AS993-AD993))</f>
        <v>0</v>
      </c>
      <c r="AU993" s="54">
        <f>AV993*R993</f>
        <v>0</v>
      </c>
      <c r="AV993" s="56">
        <f t="shared" si="371"/>
        <v>0</v>
      </c>
      <c r="AW993" s="57"/>
      <c r="AX993" s="153"/>
      <c r="AY993" s="153"/>
      <c r="AZ993" s="153"/>
      <c r="BA993" s="153"/>
      <c r="BB993" s="153"/>
      <c r="BC993" s="153"/>
      <c r="BD993" s="151"/>
      <c r="BE993" s="152"/>
      <c r="BF993" s="151"/>
      <c r="BG993" s="94">
        <f>SUM($AV$4:AV993)</f>
        <v>6829.7921494204165</v>
      </c>
      <c r="BH993" s="95">
        <f>SUM($AU$4:AU993)</f>
        <v>42294.903836163023</v>
      </c>
      <c r="BI993" s="80">
        <f>SUMIFS($AU$3:AU994,$Q$3:Q994,"F")</f>
        <v>28758.758121878131</v>
      </c>
      <c r="BJ993" s="80">
        <f>SUMIFS($AU$3:AU994,$Q$3:Q994,"S")</f>
        <v>18338.285714285717</v>
      </c>
      <c r="BK993" s="87">
        <f>SUMIFS($AU$3:AU994,$P$3:P994,"W")</f>
        <v>16085.423836163443</v>
      </c>
      <c r="BL993" s="87">
        <f>SUMIFS($AU$3:AU994,$P$3:P994,"R")</f>
        <v>23278.800000000327</v>
      </c>
      <c r="BM993" s="87">
        <f>SUMIFS($AU$3:AU994,$AQ$3:AQ994,"M")</f>
        <v>9563.1799999983832</v>
      </c>
      <c r="BN993" s="87">
        <f>SUMIFS($AU$3:AU994,$AQ$3:AQ994,"H")</f>
        <v>12587.200000000877</v>
      </c>
      <c r="BO993" s="87">
        <f>SUMIFS($AU$3:AU994,$AQ$3:AQ994,"D")</f>
        <v>11195.57747252718</v>
      </c>
      <c r="BP993" s="87">
        <f>SUMIFS($AS$3:AS1315,$AO$3:AO1315,"W")</f>
        <v>0</v>
      </c>
      <c r="BQ993" s="87">
        <f>SUMIFS($AU$3:AU994,$Q$3:Q994,"O")</f>
        <v>-9366.1400000007852</v>
      </c>
      <c r="BR993" s="87">
        <f>SUMIFS($AU$3:AU994,$AA$3:AA994,"*")</f>
        <v>39156.002077921221</v>
      </c>
      <c r="BS993" s="87">
        <f>SUMIFS($AU$3:AU994,$AB$3:AB994,"*")</f>
        <v>7005.8599999997941</v>
      </c>
      <c r="BT993" s="87">
        <f>SUMIFS($AU$3:AU994,$AC$3:AC994,"*")</f>
        <v>31968.358121878122</v>
      </c>
      <c r="BU993" s="87">
        <f>SUMIFS($AU$3:AU994,$AA$3:AA994,"*",$AB$3:AB994,"*")</f>
        <v>7301.9999999995771</v>
      </c>
      <c r="BV993" s="87">
        <f>SUMIFS($AU$3:AU994,$AA$3:AA994,"*",$AC$3:AC994,"*")</f>
        <v>29949.316363636532</v>
      </c>
      <c r="BW993" s="87">
        <f>SUMIFS($AU$3:AU994,$AB$3:AB994,"*",$AC$3:AC994,"*")</f>
        <v>3739.199999999998</v>
      </c>
      <c r="BX993" s="87">
        <f>SUMIFS($AV$3:AV994,$Q$3:Q994,"F")</f>
        <v>396.72999236351012</v>
      </c>
      <c r="BY993" s="87">
        <f>SUMIFS($AV$3:AV994,$Q$3:Q994,"S")</f>
        <v>775.76285705724263</v>
      </c>
      <c r="BZ993" s="87">
        <f>SUMIFS($AV$3:AV994,$Q$3:Q994,"O")</f>
        <v>569.29929999965555</v>
      </c>
    </row>
    <row r="994" spans="1:78" ht="15.75" customHeight="1">
      <c r="A994" s="45" t="s">
        <v>2792</v>
      </c>
      <c r="B994" s="59"/>
      <c r="C994" s="46"/>
      <c r="D994" s="46"/>
      <c r="E994" s="66"/>
      <c r="F994" s="47"/>
      <c r="G994" s="48"/>
      <c r="H994" s="49"/>
      <c r="I994" s="49"/>
      <c r="J994" s="49"/>
      <c r="K994" s="50"/>
      <c r="L994" s="49"/>
      <c r="M994" s="49"/>
      <c r="N994" s="49"/>
      <c r="O994" s="50"/>
      <c r="P994" s="50"/>
      <c r="Q994" s="50"/>
      <c r="R994" s="50"/>
      <c r="S994" s="50"/>
      <c r="T994" s="50"/>
      <c r="U994" s="50"/>
      <c r="V994" s="50"/>
      <c r="W994" s="50"/>
      <c r="X994" s="50"/>
      <c r="Y994" s="51"/>
      <c r="Z994" s="52"/>
      <c r="AA994" s="52"/>
      <c r="AB994" s="52"/>
      <c r="AC994" s="52"/>
      <c r="AD994" s="231"/>
      <c r="AE994" s="49"/>
      <c r="AF994" s="84"/>
      <c r="AG994" s="49"/>
      <c r="AH994" s="49"/>
      <c r="AI994" s="49"/>
      <c r="AJ994" s="226"/>
      <c r="AK994" s="49"/>
      <c r="AL994" s="113">
        <f t="shared" si="370"/>
        <v>0</v>
      </c>
      <c r="AM994" s="113">
        <f>AL994*(R994-S994)</f>
        <v>0</v>
      </c>
      <c r="AN994" s="218"/>
      <c r="AO994" s="49"/>
      <c r="AP994" s="49"/>
      <c r="AQ994" s="84" t="str">
        <f>UPPER(RIGHT(Journal_Live[[#This Row],[DURATION ]]))</f>
        <v/>
      </c>
      <c r="AR994" s="49"/>
      <c r="AS994" s="55"/>
      <c r="AT994" s="55">
        <f>IF(ISBLANK(AS994),,IF(U994="S",AD994-AS994,AS994-AD994))</f>
        <v>0</v>
      </c>
      <c r="AU994" s="54">
        <f>AV994*R994</f>
        <v>0</v>
      </c>
      <c r="AV994" s="56">
        <f t="shared" si="371"/>
        <v>0</v>
      </c>
      <c r="AW994" s="57"/>
      <c r="AX994" s="99"/>
      <c r="AY994" s="99"/>
      <c r="AZ994" s="153"/>
      <c r="BA994" s="153"/>
      <c r="BB994" s="153"/>
      <c r="BC994" s="153"/>
      <c r="BD994" s="153"/>
      <c r="BE994" s="152"/>
      <c r="BF994" s="151"/>
      <c r="BG994" s="94">
        <f>SUM($AV$4:AV994)</f>
        <v>6829.7921494204165</v>
      </c>
      <c r="BH994" s="95">
        <f>SUM($AU$4:AU994)</f>
        <v>42294.903836163023</v>
      </c>
      <c r="BI994" s="80">
        <f>SUMIFS($AU$3:AU995,$Q$3:Q995,"F")</f>
        <v>28758.758121878131</v>
      </c>
      <c r="BJ994" s="80">
        <f>SUMIFS($AU$3:AU995,$Q$3:Q995,"S")</f>
        <v>18338.285714285717</v>
      </c>
      <c r="BK994" s="87">
        <f>SUMIFS($AU$3:AU995,$P$3:P995,"W")</f>
        <v>16085.423836163443</v>
      </c>
      <c r="BL994" s="87">
        <f>SUMIFS($AU$3:AU995,$P$3:P995,"R")</f>
        <v>23278.800000000327</v>
      </c>
      <c r="BM994" s="87">
        <f>SUMIFS($AU$3:AU995,$AQ$3:AQ995,"M")</f>
        <v>9563.1799999983832</v>
      </c>
      <c r="BN994" s="87">
        <f>SUMIFS($AU$3:AU995,$AQ$3:AQ995,"H")</f>
        <v>12587.200000000877</v>
      </c>
      <c r="BO994" s="87">
        <f>SUMIFS($AU$3:AU995,$AQ$3:AQ995,"D")</f>
        <v>11195.57747252718</v>
      </c>
      <c r="BP994" s="87">
        <f>SUMIFS($AS$3:AS1316,$AO$3:AO1316,"W")</f>
        <v>0</v>
      </c>
      <c r="BQ994" s="87">
        <f>SUMIFS($AU$3:AU995,$Q$3:Q995,"O")</f>
        <v>-9366.1400000007852</v>
      </c>
      <c r="BR994" s="87">
        <f>SUMIFS($AU$3:AU995,$AA$3:AA995,"*")</f>
        <v>39156.002077921221</v>
      </c>
      <c r="BS994" s="87">
        <f>SUMIFS($AU$3:AU995,$AB$3:AB995,"*")</f>
        <v>7005.8599999997941</v>
      </c>
      <c r="BT994" s="87">
        <f>SUMIFS($AU$3:AU995,$AC$3:AC995,"*")</f>
        <v>31968.358121878122</v>
      </c>
      <c r="BU994" s="87">
        <f>SUMIFS($AU$3:AU995,$AA$3:AA995,"*",$AB$3:AB995,"*")</f>
        <v>7301.9999999995771</v>
      </c>
      <c r="BV994" s="87">
        <f>SUMIFS($AU$3:AU995,$AA$3:AA995,"*",$AC$3:AC995,"*")</f>
        <v>29949.316363636532</v>
      </c>
      <c r="BW994" s="87">
        <f>SUMIFS($AU$3:AU995,$AB$3:AB995,"*",$AC$3:AC995,"*")</f>
        <v>3739.199999999998</v>
      </c>
      <c r="BX994" s="87">
        <f>SUMIFS($AV$3:AV995,$Q$3:Q995,"F")</f>
        <v>396.72999236351012</v>
      </c>
      <c r="BY994" s="87">
        <f>SUMIFS($AV$3:AV995,$Q$3:Q995,"S")</f>
        <v>775.76285705724263</v>
      </c>
      <c r="BZ994" s="87">
        <f>SUMIFS($AV$3:AV995,$Q$3:Q995,"O")</f>
        <v>569.29929999965555</v>
      </c>
    </row>
    <row r="995" spans="1:78" ht="15.75" customHeight="1">
      <c r="A995" s="45" t="s">
        <v>2792</v>
      </c>
      <c r="B995" s="59"/>
      <c r="C995" s="46"/>
      <c r="D995" s="46"/>
      <c r="E995" s="66"/>
      <c r="F995" s="47"/>
      <c r="G995" s="48"/>
      <c r="H995" s="49"/>
      <c r="I995" s="49"/>
      <c r="J995" s="49"/>
      <c r="K995" s="50"/>
      <c r="L995" s="49"/>
      <c r="M995" s="49"/>
      <c r="N995" s="49"/>
      <c r="O995" s="50"/>
      <c r="P995" s="50"/>
      <c r="Q995" s="50"/>
      <c r="R995" s="50"/>
      <c r="S995" s="50"/>
      <c r="T995" s="50"/>
      <c r="U995" s="50"/>
      <c r="V995" s="50"/>
      <c r="W995" s="50"/>
      <c r="X995" s="50"/>
      <c r="Y995" s="51"/>
      <c r="Z995" s="52"/>
      <c r="AA995" s="52"/>
      <c r="AB995" s="52"/>
      <c r="AC995" s="52"/>
      <c r="AD995" s="231"/>
      <c r="AE995" s="49"/>
      <c r="AF995" s="84"/>
      <c r="AG995" s="49"/>
      <c r="AH995" s="49"/>
      <c r="AI995" s="49"/>
      <c r="AJ995" s="226"/>
      <c r="AK995" s="49"/>
      <c r="AL995" s="113">
        <f t="shared" si="370"/>
        <v>0</v>
      </c>
      <c r="AM995" s="113">
        <f>AL995*(R995-S995)</f>
        <v>0</v>
      </c>
      <c r="AN995" s="218"/>
      <c r="AO995" s="49"/>
      <c r="AP995" s="49"/>
      <c r="AQ995" s="84" t="str">
        <f>UPPER(RIGHT(Journal_Live[[#This Row],[DURATION ]]))</f>
        <v/>
      </c>
      <c r="AR995" s="49"/>
      <c r="AS995" s="55"/>
      <c r="AT995" s="55">
        <f>IF(ISBLANK(AS995),,IF(U995="S",AD995-AS995,AS995-AD995))</f>
        <v>0</v>
      </c>
      <c r="AU995" s="54">
        <f>AV995*R995</f>
        <v>0</v>
      </c>
      <c r="AV995" s="56">
        <f t="shared" si="371"/>
        <v>0</v>
      </c>
      <c r="AW995" s="57"/>
      <c r="AX995" s="99"/>
      <c r="AY995" s="99"/>
      <c r="AZ995" s="99"/>
      <c r="BA995" s="99"/>
      <c r="BB995" s="99"/>
      <c r="BC995" s="99"/>
      <c r="BD995" s="99"/>
      <c r="BE995" s="99"/>
      <c r="BF995" s="99"/>
      <c r="BG995" s="94">
        <f>SUM($AV$4:AV995)</f>
        <v>6829.7921494204165</v>
      </c>
      <c r="BH995" s="95">
        <f>SUM($AU$4:AU995)</f>
        <v>42294.903836163023</v>
      </c>
      <c r="BI995" s="80">
        <f>SUMIFS($AU$3:AU996,$Q$3:Q996,"F")</f>
        <v>28758.758121878131</v>
      </c>
      <c r="BJ995" s="80">
        <f>SUMIFS($AU$3:AU996,$Q$3:Q996,"S")</f>
        <v>18338.285714285717</v>
      </c>
      <c r="BK995" s="87">
        <f>SUMIFS($AU$3:AU996,$P$3:P996,"W")</f>
        <v>16085.423836163443</v>
      </c>
      <c r="BL995" s="87">
        <f>SUMIFS($AU$3:AU996,$P$3:P996,"R")</f>
        <v>23278.800000000327</v>
      </c>
      <c r="BM995" s="87">
        <f>SUMIFS($AU$3:AU996,$AQ$3:AQ996,"M")</f>
        <v>9563.1799999983832</v>
      </c>
      <c r="BN995" s="87">
        <f>SUMIFS($AU$3:AU996,$AQ$3:AQ996,"H")</f>
        <v>12587.200000000877</v>
      </c>
      <c r="BO995" s="87">
        <f>SUMIFS($AU$3:AU996,$AQ$3:AQ996,"D")</f>
        <v>11195.57747252718</v>
      </c>
      <c r="BP995" s="87">
        <f>SUMIFS($AS$3:AS1317,$AO$3:AO1317,"W")</f>
        <v>0</v>
      </c>
      <c r="BQ995" s="87">
        <f>SUMIFS($AU$3:AU996,$Q$3:Q996,"O")</f>
        <v>-9366.1400000007852</v>
      </c>
      <c r="BR995" s="87">
        <f>SUMIFS($AU$3:AU996,$AA$3:AA996,"*")</f>
        <v>39156.002077921221</v>
      </c>
      <c r="BS995" s="87">
        <f>SUMIFS($AU$3:AU996,$AB$3:AB996,"*")</f>
        <v>7005.8599999997941</v>
      </c>
      <c r="BT995" s="87">
        <f>SUMIFS($AU$3:AU996,$AC$3:AC996,"*")</f>
        <v>31968.358121878122</v>
      </c>
      <c r="BU995" s="87">
        <f>SUMIFS($AU$3:AU996,$AA$3:AA996,"*",$AB$3:AB996,"*")</f>
        <v>7301.9999999995771</v>
      </c>
      <c r="BV995" s="87">
        <f>SUMIFS($AU$3:AU996,$AA$3:AA996,"*",$AC$3:AC996,"*")</f>
        <v>29949.316363636532</v>
      </c>
      <c r="BW995" s="87">
        <f>SUMIFS($AU$3:AU996,$AB$3:AB996,"*",$AC$3:AC996,"*")</f>
        <v>3739.199999999998</v>
      </c>
      <c r="BX995" s="87">
        <f>SUMIFS($AV$3:AV996,$Q$3:Q996,"F")</f>
        <v>396.72999236351012</v>
      </c>
      <c r="BY995" s="87">
        <f>SUMIFS($AV$3:AV996,$Q$3:Q996,"S")</f>
        <v>775.76285705724263</v>
      </c>
      <c r="BZ995" s="87">
        <f>SUMIFS($AV$3:AV996,$Q$3:Q996,"O")</f>
        <v>569.29929999965555</v>
      </c>
    </row>
    <row r="996" spans="1:78" ht="15.75" customHeight="1">
      <c r="A996" s="45" t="s">
        <v>2792</v>
      </c>
      <c r="B996" s="59"/>
      <c r="C996" s="46"/>
      <c r="D996" s="46"/>
      <c r="E996" s="66"/>
      <c r="F996" s="47"/>
      <c r="G996" s="48"/>
      <c r="H996" s="49"/>
      <c r="I996" s="49"/>
      <c r="J996" s="49"/>
      <c r="K996" s="50"/>
      <c r="L996" s="49"/>
      <c r="M996" s="49"/>
      <c r="N996" s="49"/>
      <c r="O996" s="50"/>
      <c r="P996" s="50"/>
      <c r="Q996" s="50"/>
      <c r="R996" s="50"/>
      <c r="S996" s="50"/>
      <c r="T996" s="50"/>
      <c r="U996" s="50"/>
      <c r="V996" s="50"/>
      <c r="W996" s="50"/>
      <c r="X996" s="50"/>
      <c r="Y996" s="51"/>
      <c r="Z996" s="52"/>
      <c r="AA996" s="52"/>
      <c r="AB996" s="52"/>
      <c r="AC996" s="52"/>
      <c r="AD996" s="231"/>
      <c r="AE996" s="49"/>
      <c r="AF996" s="84"/>
      <c r="AG996" s="49"/>
      <c r="AH996" s="49"/>
      <c r="AI996" s="49"/>
      <c r="AJ996" s="226"/>
      <c r="AK996" s="49"/>
      <c r="AL996" s="113">
        <f t="shared" si="261"/>
        <v>0</v>
      </c>
      <c r="AM996" s="113">
        <f>AL996*(R996-S996)</f>
        <v>0</v>
      </c>
      <c r="AN996" s="218"/>
      <c r="AO996" s="49"/>
      <c r="AP996" s="49"/>
      <c r="AQ996" s="84" t="str">
        <f>UPPER(RIGHT(Journal_Live[[#This Row],[DURATION ]]))</f>
        <v/>
      </c>
      <c r="AR996" s="49"/>
      <c r="AS996" s="55"/>
      <c r="AT996" s="55">
        <f>IF(ISBLANK(AS996),,IF(U996="S",AD996-AS996,AS996-AD996))</f>
        <v>0</v>
      </c>
      <c r="AU996" s="54">
        <f>AV996*R996</f>
        <v>0</v>
      </c>
      <c r="AV996" s="56">
        <f t="shared" si="288"/>
        <v>0</v>
      </c>
      <c r="AW996" s="57"/>
      <c r="AX996" s="99"/>
      <c r="AY996" s="99"/>
      <c r="AZ996" s="99"/>
      <c r="BA996" s="99"/>
      <c r="BB996" s="99"/>
      <c r="BC996" s="99"/>
      <c r="BD996" s="99"/>
      <c r="BE996" s="99"/>
      <c r="BF996" s="99"/>
      <c r="BG996" s="94">
        <f>SUM($AV$4:AV996)</f>
        <v>6829.7921494204165</v>
      </c>
      <c r="BH996" s="95">
        <f>SUM($AU$4:AU996)</f>
        <v>42294.903836163023</v>
      </c>
      <c r="BI996" s="80">
        <f>SUMIFS($AU$3:AU997,$Q$3:Q997,"F")</f>
        <v>28758.758121878131</v>
      </c>
      <c r="BJ996" s="80">
        <f>SUMIFS($AU$3:AU997,$Q$3:Q997,"S")</f>
        <v>18338.285714285717</v>
      </c>
      <c r="BK996" s="87">
        <f>SUMIFS($AU$3:AU997,$P$3:P997,"W")</f>
        <v>16085.423836163443</v>
      </c>
      <c r="BL996" s="87">
        <f>SUMIFS($AU$3:AU997,$P$3:P997,"R")</f>
        <v>23278.800000000327</v>
      </c>
      <c r="BM996" s="87">
        <f>SUMIFS($AU$3:AU997,$AQ$3:AQ997,"M")</f>
        <v>9563.1799999983832</v>
      </c>
      <c r="BN996" s="87">
        <f>SUMIFS($AU$3:AU997,$AQ$3:AQ997,"H")</f>
        <v>12587.200000000877</v>
      </c>
      <c r="BO996" s="87">
        <f>SUMIFS($AU$3:AU997,$AQ$3:AQ997,"D")</f>
        <v>11195.57747252718</v>
      </c>
      <c r="BP996" s="87">
        <f>SUMIFS($AS$3:AS1318,$AO$3:AO1318,"W")</f>
        <v>0</v>
      </c>
      <c r="BQ996" s="87">
        <f>SUMIFS($AU$3:AU997,$Q$3:Q997,"O")</f>
        <v>-9366.1400000007852</v>
      </c>
      <c r="BR996" s="87">
        <f>SUMIFS($AU$3:AU997,$AA$3:AA997,"*")</f>
        <v>39156.002077921221</v>
      </c>
      <c r="BS996" s="87">
        <f>SUMIFS($AU$3:AU997,$AB$3:AB997,"*")</f>
        <v>7005.8599999997941</v>
      </c>
      <c r="BT996" s="87">
        <f>SUMIFS($AU$3:AU997,$AC$3:AC997,"*")</f>
        <v>31968.358121878122</v>
      </c>
      <c r="BU996" s="87">
        <f>SUMIFS($AU$3:AU997,$AA$3:AA997,"*",$AB$3:AB997,"*")</f>
        <v>7301.9999999995771</v>
      </c>
      <c r="BV996" s="87">
        <f>SUMIFS($AU$3:AU997,$AA$3:AA997,"*",$AC$3:AC997,"*")</f>
        <v>29949.316363636532</v>
      </c>
      <c r="BW996" s="87">
        <f>SUMIFS($AU$3:AU997,$AB$3:AB997,"*",$AC$3:AC997,"*")</f>
        <v>3739.199999999998</v>
      </c>
      <c r="BX996" s="87">
        <f>SUMIFS($AV$3:AV997,$Q$3:Q997,"F")</f>
        <v>396.72999236351012</v>
      </c>
      <c r="BY996" s="87">
        <f>SUMIFS($AV$3:AV997,$Q$3:Q997,"S")</f>
        <v>775.76285705724263</v>
      </c>
      <c r="BZ996" s="87">
        <f>SUMIFS($AV$3:AV997,$Q$3:Q997,"O")</f>
        <v>569.29929999965555</v>
      </c>
    </row>
    <row r="997" spans="1:78" ht="15.75" customHeight="1">
      <c r="A997" s="111" t="s">
        <v>2999</v>
      </c>
      <c r="B997" s="68"/>
      <c r="C997" s="60"/>
      <c r="D997" s="60"/>
      <c r="E997" s="61"/>
      <c r="F997" s="62"/>
      <c r="G997" s="60"/>
      <c r="H997" s="60"/>
      <c r="I997" s="60"/>
      <c r="J997" s="60"/>
      <c r="K997" s="63"/>
      <c r="L997" s="60"/>
      <c r="M997" s="60"/>
      <c r="N997" s="60"/>
      <c r="O997" s="60"/>
      <c r="P997" s="63"/>
      <c r="Q997" s="63"/>
      <c r="R997" s="63"/>
      <c r="S997" s="63"/>
      <c r="T997" s="63"/>
      <c r="U997" s="63"/>
      <c r="V997" s="63"/>
      <c r="W997" s="63"/>
      <c r="X997" s="63"/>
      <c r="Y997" s="63"/>
      <c r="Z997" s="63"/>
      <c r="AA997" s="64"/>
      <c r="AB997" s="64"/>
      <c r="AC997" s="64"/>
      <c r="AD997" s="232"/>
      <c r="AE997" s="60"/>
      <c r="AF997" s="60"/>
      <c r="AG997" s="60"/>
      <c r="AH997" s="60"/>
      <c r="AI997" s="60"/>
      <c r="AJ997" s="227"/>
      <c r="AK997" s="60"/>
      <c r="AL997" s="60"/>
      <c r="AM997" s="60"/>
      <c r="AN997" s="219"/>
      <c r="AO997" s="60"/>
      <c r="AP997" s="60"/>
      <c r="AQ997" s="85" t="str">
        <f>UPPER(RIGHT(Journal_Live[[#This Row],[DURATION ]]))</f>
        <v/>
      </c>
      <c r="AR997" s="60"/>
      <c r="AS997" s="60"/>
      <c r="AT997" s="60"/>
      <c r="AU997" s="60"/>
      <c r="AV997" s="60"/>
      <c r="AW997" s="60"/>
      <c r="AX997" s="99"/>
      <c r="AY997" s="99"/>
      <c r="AZ997" s="99"/>
      <c r="BA997" s="98"/>
      <c r="BB997" s="98"/>
      <c r="BC997" s="98"/>
      <c r="BD997" s="98"/>
      <c r="BE997" s="98"/>
      <c r="BF997" s="98"/>
      <c r="BG997" s="94">
        <f>SUM($AV$4:AV997)</f>
        <v>6829.7921494204165</v>
      </c>
      <c r="BH997" s="95">
        <f>SUM($AU$4:AU997)</f>
        <v>42294.903836163023</v>
      </c>
      <c r="BI997" s="80">
        <f>SUMIFS($AS$3:AS1254,$Q$3:Q1254,"F")</f>
        <v>-0.30068292040481398</v>
      </c>
      <c r="BJ997" s="80">
        <f>SUMIFS($AU$3:AU998,$Q$3:Q998,"S")</f>
        <v>18338.285714285717</v>
      </c>
      <c r="BK997" s="87">
        <f>SUMIFS($AS$3:AS1254,$P$3:P1254,"W")</f>
        <v>2165.903467205992</v>
      </c>
      <c r="BL997" s="87">
        <f>SUMIFS($AS$3:AS1254,$P$3:P1254,"R")</f>
        <v>1429.1986379096184</v>
      </c>
      <c r="BM997" s="87">
        <f>SUMIFS($AS$3:AS1254,$AO$3:AO1254,"M")</f>
        <v>0</v>
      </c>
      <c r="BN997" s="87">
        <f>SUMIFS($AS$3:AS1254,$AO$3:AO1254,"H")</f>
        <v>0</v>
      </c>
      <c r="BO997" s="87">
        <f>SUMIFS($AS$3:AS1254,$AO$3:AO1254,"D")</f>
        <v>0</v>
      </c>
      <c r="BP997" s="87">
        <f>SUMIFS($AS$3:AS1464,$AO$3:AO1464,"W")</f>
        <v>0</v>
      </c>
      <c r="BQ997" s="87">
        <f>SUMIFS($AS$3:AS1254,$Q$3:Q1254,"O")</f>
        <v>9107.0139166666668</v>
      </c>
      <c r="BR997" s="87">
        <f>SUMIFS($AS$3:AS1254,$Y$3:Y1254,"*")</f>
        <v>0</v>
      </c>
      <c r="BS997" s="87">
        <f>SUMIFS($AS$3:AS1254,$Z$3:Z1254,"*")</f>
        <v>0</v>
      </c>
      <c r="BT997" s="87">
        <f>SUMIFS($AS$3:AS1254,$AA$3:AA1254,"*")</f>
        <v>8110.7790046316404</v>
      </c>
      <c r="BU997" s="87">
        <f>SUMIFS($AS$3:AS1254,$Y$3:Y1254,"*",$Z$3:Z1254,"*")</f>
        <v>0</v>
      </c>
      <c r="BV997" s="87">
        <f>SUMIFS($AS$3:AS1254,$Y$3:Y1254,"*",$AA$3:AA1254,"*")</f>
        <v>0</v>
      </c>
      <c r="BW997" s="87">
        <f>SUMIFS($AS$3:AS1254,$Z$3:Z1254,"*",$AA$3:AA1254,"*")</f>
        <v>0</v>
      </c>
      <c r="BX997" s="87">
        <f>SUMIFS($AT$3:AT1254,$Q$3:Q1254,"F")</f>
        <v>0.22468701445796327</v>
      </c>
      <c r="BY997" s="87">
        <f>SUMIFS($AT$3:AT1254,$Q$3:Q1254,"S")</f>
        <v>0.41458988089887261</v>
      </c>
      <c r="BZ997" s="87">
        <f>SUMIFS($AT$3:AT1254,$Q$3:Q1254,"O")</f>
        <v>-0.1922833333333894</v>
      </c>
    </row>
    <row r="998" spans="1:78" ht="15.75" customHeight="1">
      <c r="A998" s="45" t="s">
        <v>3000</v>
      </c>
      <c r="B998" s="59"/>
      <c r="C998" s="46"/>
      <c r="D998" s="46"/>
      <c r="E998" s="66"/>
      <c r="F998" s="47"/>
      <c r="G998" s="48"/>
      <c r="H998" s="49"/>
      <c r="I998" s="49"/>
      <c r="J998" s="49"/>
      <c r="K998" s="50"/>
      <c r="L998" s="49"/>
      <c r="M998" s="49"/>
      <c r="N998" s="49"/>
      <c r="O998" s="50"/>
      <c r="P998" s="50"/>
      <c r="Q998" s="50"/>
      <c r="R998" s="50"/>
      <c r="S998" s="50"/>
      <c r="T998" s="50"/>
      <c r="U998" s="50"/>
      <c r="V998" s="50"/>
      <c r="W998" s="50"/>
      <c r="X998" s="50"/>
      <c r="Y998" s="51"/>
      <c r="Z998" s="52"/>
      <c r="AA998" s="52"/>
      <c r="AB998" s="52"/>
      <c r="AC998" s="52"/>
      <c r="AD998" s="231"/>
      <c r="AE998" s="49"/>
      <c r="AF998" s="84"/>
      <c r="AG998" s="49"/>
      <c r="AH998" s="49"/>
      <c r="AI998" s="49"/>
      <c r="AJ998" s="226"/>
      <c r="AK998" s="49"/>
      <c r="AL998" s="113">
        <f t="shared" ref="AL998:AL1006" si="409">-0.02*Z998</f>
        <v>0</v>
      </c>
      <c r="AM998" s="113">
        <f t="shared" ref="AM998:AM1011" si="410">AL998*(R998-S998)</f>
        <v>0</v>
      </c>
      <c r="AN998" s="218"/>
      <c r="AO998" s="49"/>
      <c r="AP998" s="49"/>
      <c r="AQ998" s="84" t="str">
        <f>UPPER(RIGHT(Journal_Live[[#This Row],[DURATION ]]))</f>
        <v/>
      </c>
      <c r="AR998" s="49"/>
      <c r="AS998" s="55"/>
      <c r="AT998" s="55">
        <f t="shared" ref="AT998:AT1011" si="411">IF(ISBLANK(AS998),,IF(U998="S",AD998-AS998,AS998-AD998))</f>
        <v>0</v>
      </c>
      <c r="AU998" s="54">
        <f t="shared" ref="AU998:AU1011" si="412">AV998*R998</f>
        <v>0</v>
      </c>
      <c r="AV998" s="56">
        <f t="shared" ref="AV998:AV1006" si="413">IF(ISBLANK(AS998),,(AT998*Z998))</f>
        <v>0</v>
      </c>
      <c r="AW998" s="57"/>
      <c r="AX998" s="151"/>
      <c r="AY998" s="151"/>
      <c r="AZ998" s="151"/>
      <c r="BA998" s="151"/>
      <c r="BB998" s="151"/>
      <c r="BC998" s="151"/>
      <c r="BD998" s="151"/>
      <c r="BE998" s="152"/>
      <c r="BF998" s="151"/>
      <c r="BG998" s="94">
        <f>SUM($AV$4:AV998)</f>
        <v>6829.7921494204165</v>
      </c>
      <c r="BH998" s="95">
        <f>SUM($AU$4:AU998)</f>
        <v>42294.903836163023</v>
      </c>
      <c r="BI998" s="80">
        <f>SUMIFS($AU$3:AU1001,$Q$3:Q1001,"F")</f>
        <v>27318.758121878131</v>
      </c>
      <c r="BJ998" s="80">
        <f>SUMIFS($AU$3:AU999,$Q$3:Q999,"S")</f>
        <v>18850.285714285717</v>
      </c>
      <c r="BK998" s="87">
        <f>SUMIFS($AU$3:AU1001,$P$3:P1001,"W")</f>
        <v>14645.423836163443</v>
      </c>
      <c r="BL998" s="87">
        <f>SUMIFS($AU$3:AU1001,$P$3:P1001,"R")</f>
        <v>23790.800000000327</v>
      </c>
      <c r="BM998" s="87">
        <f>SUMIFS($AU$3:AU1001,$AQ$3:AQ1001,"M")</f>
        <v>9563.1799999983832</v>
      </c>
      <c r="BN998" s="87">
        <f>SUMIFS($AU$3:AU1001,$AQ$3:AQ1001,"H")</f>
        <v>13051.200000000877</v>
      </c>
      <c r="BO998" s="87">
        <f>SUMIFS($AU$3:AU1001,$AQ$3:AQ1001,"D")</f>
        <v>9755.5774725271804</v>
      </c>
      <c r="BP998" s="87">
        <f>SUMIFS($AS$3:AS1306,$AO$3:AO1306,"W")</f>
        <v>0</v>
      </c>
      <c r="BQ998" s="87">
        <f>SUMIFS($AU$3:AU1001,$Q$3:Q1001,"O")</f>
        <v>-9366.1400000007852</v>
      </c>
      <c r="BR998" s="87">
        <f>SUMIFS($AU$3:AU1001,$AA$3:AA1001,"*")</f>
        <v>38180.002077921221</v>
      </c>
      <c r="BS998" s="87">
        <f>SUMIFS($AU$3:AU1001,$AB$3:AB1001,"*")</f>
        <v>7005.8599999997941</v>
      </c>
      <c r="BT998" s="87">
        <f>SUMIFS($AU$3:AU1001,$AC$3:AC1001,"*")</f>
        <v>31040.358121878122</v>
      </c>
      <c r="BU998" s="87">
        <f>SUMIFS($AU$3:AU1001,$AA$3:AA1001,"*",$AB$3:AB1001,"*")</f>
        <v>7301.9999999995771</v>
      </c>
      <c r="BV998" s="87">
        <f>SUMIFS($AU$3:AU1001,$AA$3:AA1001,"*",$AC$3:AC1001,"*")</f>
        <v>29021.316363636532</v>
      </c>
      <c r="BW998" s="87">
        <f>SUMIFS($AU$3:AU1001,$AB$3:AB1001,"*",$AC$3:AC1001,"*")</f>
        <v>3739.199999999998</v>
      </c>
      <c r="BX998" s="87">
        <f>SUMIFS($AV$3:AV1001,$Q$3:Q1001,"F")</f>
        <v>341.34537697889471</v>
      </c>
      <c r="BY998" s="87">
        <f>SUMIFS($AV$3:AV1001,$Q$3:Q1001,"S")</f>
        <v>767.76285705724263</v>
      </c>
      <c r="BZ998" s="87">
        <f>SUMIFS($AV$3:AV1001,$Q$3:Q1001,"O")</f>
        <v>569.29929999965555</v>
      </c>
    </row>
    <row r="999" spans="1:78" ht="15.75" customHeight="1">
      <c r="A999" s="45" t="s">
        <v>3000</v>
      </c>
      <c r="B999" s="59">
        <v>45505</v>
      </c>
      <c r="C999" s="46" t="s">
        <v>3001</v>
      </c>
      <c r="D999" s="46" t="s">
        <v>107</v>
      </c>
      <c r="E999" s="66"/>
      <c r="F999" s="47"/>
      <c r="G999" s="155" t="s">
        <v>2694</v>
      </c>
      <c r="H999" s="49"/>
      <c r="I999" s="49"/>
      <c r="J999" s="49"/>
      <c r="K999" s="50"/>
      <c r="L999" s="49"/>
      <c r="M999" s="49">
        <v>2</v>
      </c>
      <c r="N999" s="49"/>
      <c r="O999" s="50" t="s">
        <v>100</v>
      </c>
      <c r="P999" s="50" t="s">
        <v>126</v>
      </c>
      <c r="Q999" s="50" t="s">
        <v>102</v>
      </c>
      <c r="R999" s="50">
        <v>32</v>
      </c>
      <c r="S999" s="50">
        <v>0</v>
      </c>
      <c r="T999" s="50">
        <v>32</v>
      </c>
      <c r="U999" s="50" t="s">
        <v>22</v>
      </c>
      <c r="V999" s="50" t="s">
        <v>2898</v>
      </c>
      <c r="W999" s="50" t="s">
        <v>22</v>
      </c>
      <c r="X999" s="50" t="s">
        <v>3002</v>
      </c>
      <c r="Y999" s="51">
        <f>IF(ISBLANK(O999),"",(IF(O999=UPPER("IB"),0.005,0.01)))</f>
        <v>0.01</v>
      </c>
      <c r="Z999" s="52">
        <f>IF(ISBLANK(O999),"",IF(O999="IB",8.63*200,IF(O999="IR",16*100,IF(O999="YT",20*100,IF(O999="YT-XT",24*200,IF(O999="TED",80*100,IF(O999="XT",29*200)))))))</f>
        <v>1600</v>
      </c>
      <c r="AA999" s="52" t="s">
        <v>925</v>
      </c>
      <c r="AB999" s="52"/>
      <c r="AC999" s="52" t="s">
        <v>3003</v>
      </c>
      <c r="AD999" s="231">
        <v>-0.13</v>
      </c>
      <c r="AE999" s="49"/>
      <c r="AF999" s="84"/>
      <c r="AG999" s="49"/>
      <c r="AH999" s="49"/>
      <c r="AI999" s="49"/>
      <c r="AJ999" s="226" t="s">
        <v>3004</v>
      </c>
      <c r="AK999" s="49"/>
      <c r="AL999" s="113">
        <f t="shared" si="409"/>
        <v>-32</v>
      </c>
      <c r="AM999" s="113">
        <f t="shared" si="410"/>
        <v>-1024</v>
      </c>
      <c r="AN999" s="218"/>
      <c r="AO999" s="49"/>
      <c r="AP999" s="49" t="s">
        <v>422</v>
      </c>
      <c r="AQ999" s="84" t="s">
        <v>142</v>
      </c>
      <c r="AR999" s="49" t="s">
        <v>3005</v>
      </c>
      <c r="AS999" s="55">
        <v>-0.12</v>
      </c>
      <c r="AT999" s="55">
        <f t="shared" si="411"/>
        <v>1.0000000000000009E-2</v>
      </c>
      <c r="AU999" s="54">
        <f t="shared" si="412"/>
        <v>512.00000000000045</v>
      </c>
      <c r="AV999" s="56">
        <f t="shared" si="413"/>
        <v>16.000000000000014</v>
      </c>
      <c r="AW999" s="57" t="s">
        <v>101</v>
      </c>
      <c r="AX999" s="151"/>
      <c r="AY999" s="151"/>
      <c r="AZ999" s="151"/>
      <c r="BA999" s="151"/>
      <c r="BB999" s="151"/>
      <c r="BC999" s="153"/>
      <c r="BD999" s="151"/>
      <c r="BE999" s="152"/>
      <c r="BF999" s="151"/>
      <c r="BG999" s="94">
        <f>SUM($AV$4:AV999)</f>
        <v>6845.7921494204165</v>
      </c>
      <c r="BH999" s="95">
        <f>SUM($AU$4:AU999)</f>
        <v>42806.903836163023</v>
      </c>
      <c r="BI999" s="80">
        <f>SUMIFS($AU$3:AU1002,$Q$3:Q1002,"F")</f>
        <v>27318.758121878131</v>
      </c>
      <c r="BJ999" s="80">
        <f>SUMIFS($AU$3:AU1000,$Q$3:Q1000,"S")</f>
        <v>18850.285714285717</v>
      </c>
      <c r="BK999" s="87">
        <f>SUMIFS($AU$3:AU1002,$P$3:P1002,"W")</f>
        <v>14645.423836163443</v>
      </c>
      <c r="BL999" s="87">
        <f>SUMIFS($AU$3:AU1002,$P$3:P1002,"R")</f>
        <v>23790.800000000327</v>
      </c>
      <c r="BM999" s="87">
        <f>SUMIFS($AU$3:AU1002,$AQ$3:AQ1002,"M")</f>
        <v>9563.1799999983832</v>
      </c>
      <c r="BN999" s="87">
        <f>SUMIFS($AU$3:AU1002,$AQ$3:AQ1002,"H")</f>
        <v>13051.200000000877</v>
      </c>
      <c r="BO999" s="87">
        <f>SUMIFS($AU$3:AU1002,$AQ$3:AQ1002,"D")</f>
        <v>9755.5774725271804</v>
      </c>
      <c r="BP999" s="87">
        <f>SUMIFS($AS$3:AS1307,$AO$3:AO1307,"W")</f>
        <v>0</v>
      </c>
      <c r="BQ999" s="87">
        <f>SUMIFS($AU$3:AU1002,$Q$3:Q1002,"O")</f>
        <v>-9366.1400000007852</v>
      </c>
      <c r="BR999" s="87">
        <f>SUMIFS($AU$3:AU1002,$AA$3:AA1002,"*")</f>
        <v>38180.002077921221</v>
      </c>
      <c r="BS999" s="87">
        <f>SUMIFS($AU$3:AU1002,$AB$3:AB1002,"*")</f>
        <v>7005.8599999997941</v>
      </c>
      <c r="BT999" s="87">
        <f>SUMIFS($AU$3:AU1002,$AC$3:AC1002,"*")</f>
        <v>31040.358121878122</v>
      </c>
      <c r="BU999" s="87">
        <f>SUMIFS($AU$3:AU1002,$AA$3:AA1002,"*",$AB$3:AB1002,"*")</f>
        <v>7301.9999999995771</v>
      </c>
      <c r="BV999" s="87">
        <f>SUMIFS($AU$3:AU1002,$AA$3:AA1002,"*",$AC$3:AC1002,"*")</f>
        <v>29021.316363636532</v>
      </c>
      <c r="BW999" s="87">
        <f>SUMIFS($AU$3:AU1002,$AB$3:AB1002,"*",$AC$3:AC1002,"*")</f>
        <v>3739.199999999998</v>
      </c>
      <c r="BX999" s="87">
        <f>SUMIFS($AV$3:AV1002,$Q$3:Q1002,"F")</f>
        <v>341.34537697889471</v>
      </c>
      <c r="BY999" s="87">
        <f>SUMIFS($AV$3:AV1002,$Q$3:Q1002,"S")</f>
        <v>767.76285705724263</v>
      </c>
      <c r="BZ999" s="87">
        <f>SUMIFS($AV$3:AV1002,$Q$3:Q1002,"O")</f>
        <v>569.29929999965555</v>
      </c>
    </row>
    <row r="1000" spans="1:78" ht="15.75" customHeight="1">
      <c r="A1000" s="45" t="s">
        <v>3006</v>
      </c>
      <c r="B1000" s="59">
        <v>45505</v>
      </c>
      <c r="C1000" s="46" t="s">
        <v>3007</v>
      </c>
      <c r="D1000" s="46" t="s">
        <v>107</v>
      </c>
      <c r="E1000" s="66"/>
      <c r="F1000" s="47"/>
      <c r="G1000" s="155" t="s">
        <v>3008</v>
      </c>
      <c r="H1000" s="49"/>
      <c r="I1000" s="49"/>
      <c r="J1000" s="49"/>
      <c r="K1000" s="50"/>
      <c r="L1000" s="49">
        <v>1</v>
      </c>
      <c r="M1000" s="49"/>
      <c r="N1000" s="49"/>
      <c r="O1000" s="50" t="s">
        <v>100</v>
      </c>
      <c r="P1000" s="50" t="s">
        <v>101</v>
      </c>
      <c r="Q1000" s="50" t="s">
        <v>127</v>
      </c>
      <c r="R1000" s="50">
        <v>26</v>
      </c>
      <c r="S1000" s="50">
        <v>8</v>
      </c>
      <c r="T1000" s="50">
        <v>18</v>
      </c>
      <c r="U1000" s="50" t="s">
        <v>22</v>
      </c>
      <c r="V1000" s="50" t="s">
        <v>2906</v>
      </c>
      <c r="W1000" s="50" t="s">
        <v>22</v>
      </c>
      <c r="X1000" s="50" t="s">
        <v>3009</v>
      </c>
      <c r="Y1000" s="51">
        <f>IF(ISBLANK(O1000),"",(IF(O1000=UPPER("IB"),0.005,0.01)))</f>
        <v>0.01</v>
      </c>
      <c r="Z1000" s="52">
        <f>IF(ISBLANK(O1000),"",IF(O1000="IB",8.63*200,IF(O1000="IR",16*100,IF(O1000="YT",20*100,IF(O1000="YT-XT",24*200,IF(O1000="TED",80*100,IF(O1000="XT",29*200)))))))</f>
        <v>1600</v>
      </c>
      <c r="AA1000" s="52" t="s">
        <v>3010</v>
      </c>
      <c r="AB1000" s="52"/>
      <c r="AC1000" s="52" t="s">
        <v>3011</v>
      </c>
      <c r="AD1000" s="231">
        <v>-0.02</v>
      </c>
      <c r="AE1000" s="49"/>
      <c r="AF1000" s="84"/>
      <c r="AG1000" s="49"/>
      <c r="AH1000" s="49"/>
      <c r="AI1000" s="49"/>
      <c r="AJ1000" s="226"/>
      <c r="AK1000" s="49"/>
      <c r="AL1000" s="113">
        <f>-0.03*Z1000</f>
        <v>-48</v>
      </c>
      <c r="AM1000" s="113">
        <f t="shared" si="410"/>
        <v>-864</v>
      </c>
      <c r="AN1000" s="218"/>
      <c r="AO1000" s="49"/>
      <c r="AP1000" s="49" t="s">
        <v>1369</v>
      </c>
      <c r="AQ1000" s="84" t="s">
        <v>155</v>
      </c>
      <c r="AR1000" s="49" t="s">
        <v>3012</v>
      </c>
      <c r="AS1000" s="55">
        <f>((-0.06*12)+(-0.05*8)+(-0.05*6))/26</f>
        <v>-5.4615384615384621E-2</v>
      </c>
      <c r="AT1000" s="55">
        <f t="shared" si="411"/>
        <v>-3.4615384615384617E-2</v>
      </c>
      <c r="AU1000" s="54">
        <f t="shared" si="412"/>
        <v>-1440</v>
      </c>
      <c r="AV1000" s="56">
        <f t="shared" si="413"/>
        <v>-55.384615384615387</v>
      </c>
      <c r="AW1000" s="57" t="s">
        <v>121</v>
      </c>
      <c r="AX1000" s="151" t="s">
        <v>3013</v>
      </c>
      <c r="AY1000" s="151" t="s">
        <v>3014</v>
      </c>
      <c r="AZ1000" s="151"/>
      <c r="BA1000" s="151"/>
      <c r="BB1000" s="151"/>
      <c r="BC1000" s="153"/>
      <c r="BD1000" s="151"/>
      <c r="BE1000" s="152"/>
      <c r="BF1000" s="151"/>
      <c r="BG1000" s="94">
        <f>SUM($AV$4:AV1000)</f>
        <v>6790.4075340358013</v>
      </c>
      <c r="BH1000" s="95">
        <f>SUM($AU$4:AU1000)</f>
        <v>41366.903836163023</v>
      </c>
      <c r="BI1000" s="80">
        <f>SUMIFS($AU$3:AU1003,$Q$3:Q1003,"F")</f>
        <v>27318.758121878131</v>
      </c>
      <c r="BJ1000" s="80">
        <f>SUMIFS($AU$3:AU1001,$Q$3:Q1001,"S")</f>
        <v>18802.285714285717</v>
      </c>
      <c r="BK1000" s="87">
        <f>SUMIFS($AU$3:AU1003,$P$3:P1003,"W")</f>
        <v>14645.423836163443</v>
      </c>
      <c r="BL1000" s="87">
        <f>SUMIFS($AU$3:AU1003,$P$3:P1003,"R")</f>
        <v>23790.800000000327</v>
      </c>
      <c r="BM1000" s="87">
        <f>SUMIFS($AU$3:AU1003,$AQ$3:AQ1003,"M")</f>
        <v>9563.1799999983832</v>
      </c>
      <c r="BN1000" s="87">
        <f>SUMIFS($AU$3:AU1003,$AQ$3:AQ1003,"H")</f>
        <v>13051.200000000877</v>
      </c>
      <c r="BO1000" s="87">
        <f>SUMIFS($AU$3:AU1003,$AQ$3:AQ1003,"D")</f>
        <v>9755.5774725271804</v>
      </c>
      <c r="BP1000" s="87">
        <f>SUMIFS($AS$3:AS1308,$AO$3:AO1308,"W")</f>
        <v>0</v>
      </c>
      <c r="BQ1000" s="87">
        <f>SUMIFS($AU$3:AU1003,$Q$3:Q1003,"O")</f>
        <v>-9366.1400000007852</v>
      </c>
      <c r="BR1000" s="87">
        <f>SUMIFS($AU$3:AU1003,$AA$3:AA1003,"*")</f>
        <v>38180.002077921221</v>
      </c>
      <c r="BS1000" s="87">
        <f>SUMIFS($AU$3:AU1003,$AB$3:AB1003,"*")</f>
        <v>7005.8599999997941</v>
      </c>
      <c r="BT1000" s="87">
        <f>SUMIFS($AU$3:AU1003,$AC$3:AC1003,"*")</f>
        <v>31040.358121878122</v>
      </c>
      <c r="BU1000" s="87">
        <f>SUMIFS($AU$3:AU1003,$AA$3:AA1003,"*",$AB$3:AB1003,"*")</f>
        <v>7301.9999999995771</v>
      </c>
      <c r="BV1000" s="87">
        <f>SUMIFS($AU$3:AU1003,$AA$3:AA1003,"*",$AC$3:AC1003,"*")</f>
        <v>29021.316363636532</v>
      </c>
      <c r="BW1000" s="87">
        <f>SUMIFS($AU$3:AU1003,$AB$3:AB1003,"*",$AC$3:AC1003,"*")</f>
        <v>3739.199999999998</v>
      </c>
      <c r="BX1000" s="87">
        <f>SUMIFS($AV$3:AV1003,$Q$3:Q1003,"F")</f>
        <v>341.34537697889471</v>
      </c>
      <c r="BY1000" s="87">
        <f>SUMIFS($AV$3:AV1003,$Q$3:Q1003,"S")</f>
        <v>767.76285705724263</v>
      </c>
      <c r="BZ1000" s="87">
        <f>SUMIFS($AV$3:AV1003,$Q$3:Q1003,"O")</f>
        <v>569.29929999965555</v>
      </c>
    </row>
    <row r="1001" spans="1:78" ht="15.75" customHeight="1">
      <c r="A1001" s="45" t="s">
        <v>3000</v>
      </c>
      <c r="B1001" s="59">
        <v>45505</v>
      </c>
      <c r="C1001" s="46" t="s">
        <v>3015</v>
      </c>
      <c r="D1001" s="46" t="s">
        <v>107</v>
      </c>
      <c r="E1001" s="66"/>
      <c r="F1001" s="47"/>
      <c r="G1001" s="223" t="s">
        <v>287</v>
      </c>
      <c r="H1001" s="49"/>
      <c r="I1001" s="49"/>
      <c r="J1001" s="49"/>
      <c r="K1001" s="50"/>
      <c r="L1001" s="49">
        <v>1</v>
      </c>
      <c r="M1001" s="49"/>
      <c r="N1001" s="49"/>
      <c r="O1001" s="50" t="s">
        <v>288</v>
      </c>
      <c r="P1001" s="50" t="s">
        <v>197</v>
      </c>
      <c r="Q1001" s="50" t="s">
        <v>102</v>
      </c>
      <c r="R1001" s="50">
        <v>2</v>
      </c>
      <c r="S1001" s="50">
        <v>0</v>
      </c>
      <c r="T1001" s="50">
        <v>1</v>
      </c>
      <c r="U1001" s="50" t="s">
        <v>102</v>
      </c>
      <c r="V1001" s="50" t="s">
        <v>2898</v>
      </c>
      <c r="W1001" s="50" t="s">
        <v>22</v>
      </c>
      <c r="X1001" s="50"/>
      <c r="Y1001" s="51">
        <f>IF(ISBLANK(O1001),"",(IF(O1001=UPPER("IB"),0.005,0.01)))</f>
        <v>0.01</v>
      </c>
      <c r="Z1001" s="52">
        <f>IF(ISBLANK(O1001),"",IF(O1001="IB",8.63*200,IF(O1001="IR",16*100,IF(O1001="YT",20*100,IF(O1001="YT-XT",24*200,IF(O1001="TED",80*100,IF(O1001="XT",29*200)))))))</f>
        <v>4800</v>
      </c>
      <c r="AA1001" s="52" t="s">
        <v>3016</v>
      </c>
      <c r="AB1001" s="52"/>
      <c r="AC1001" s="52"/>
      <c r="AD1001" s="231">
        <v>0.39500000000000002</v>
      </c>
      <c r="AE1001" s="49"/>
      <c r="AF1001" s="84"/>
      <c r="AG1001" s="49"/>
      <c r="AH1001" s="49"/>
      <c r="AI1001" s="49"/>
      <c r="AJ1001" s="226"/>
      <c r="AK1001" s="49"/>
      <c r="AL1001" s="113">
        <f t="shared" si="409"/>
        <v>-96</v>
      </c>
      <c r="AM1001" s="113">
        <f t="shared" si="410"/>
        <v>-192</v>
      </c>
      <c r="AN1001" s="218"/>
      <c r="AO1001" s="49"/>
      <c r="AP1001" s="49" t="s">
        <v>3017</v>
      </c>
      <c r="AQ1001" s="84" t="s">
        <v>142</v>
      </c>
      <c r="AR1001" s="49" t="s">
        <v>3018</v>
      </c>
      <c r="AS1001" s="55">
        <v>0.4</v>
      </c>
      <c r="AT1001" s="55">
        <f t="shared" si="411"/>
        <v>-5.0000000000000044E-3</v>
      </c>
      <c r="AU1001" s="54">
        <f t="shared" si="412"/>
        <v>-48.000000000000043</v>
      </c>
      <c r="AV1001" s="56">
        <f t="shared" si="413"/>
        <v>-24.000000000000021</v>
      </c>
      <c r="AW1001" s="57" t="s">
        <v>121</v>
      </c>
      <c r="AX1001" s="151" t="s">
        <v>3019</v>
      </c>
      <c r="AY1001" s="151"/>
      <c r="AZ1001" s="151"/>
      <c r="BA1001" s="151"/>
      <c r="BB1001" s="151"/>
      <c r="BC1001" s="153"/>
      <c r="BD1001" s="151"/>
      <c r="BE1001" s="152"/>
      <c r="BF1001" s="151"/>
      <c r="BG1001" s="94">
        <f>SUM($AV$4:AV1001)</f>
        <v>6766.4075340358013</v>
      </c>
      <c r="BH1001" s="95">
        <f>SUM($AU$4:AU1001)</f>
        <v>41318.903836163023</v>
      </c>
      <c r="BI1001" s="80">
        <f>SUMIFS($AU$3:AU1004,$Q$3:Q1004,"F")</f>
        <v>27318.758121878131</v>
      </c>
      <c r="BJ1001" s="80">
        <f>SUMIFS($AU$3:AU1002,$Q$3:Q1002,"S")</f>
        <v>18802.285714285717</v>
      </c>
      <c r="BK1001" s="87">
        <f>SUMIFS($AU$3:AU1004,$P$3:P1004,"W")</f>
        <v>14645.423836163443</v>
      </c>
      <c r="BL1001" s="87">
        <f>SUMIFS($AU$3:AU1004,$P$3:P1004,"R")</f>
        <v>23790.800000000327</v>
      </c>
      <c r="BM1001" s="87">
        <f>SUMIFS($AU$3:AU1004,$AQ$3:AQ1004,"M")</f>
        <v>9563.1799999983832</v>
      </c>
      <c r="BN1001" s="87">
        <f>SUMIFS($AU$3:AU1004,$AQ$3:AQ1004,"H")</f>
        <v>13051.200000000877</v>
      </c>
      <c r="BO1001" s="87">
        <f>SUMIFS($AU$3:AU1004,$AQ$3:AQ1004,"D")</f>
        <v>9755.5774725271804</v>
      </c>
      <c r="BP1001" s="87">
        <f>SUMIFS($AS$3:AS1309,$AO$3:AO1309,"W")</f>
        <v>0</v>
      </c>
      <c r="BQ1001" s="87">
        <f>SUMIFS($AU$3:AU1004,$Q$3:Q1004,"O")</f>
        <v>-9366.1400000007852</v>
      </c>
      <c r="BR1001" s="87">
        <f>SUMIFS($AU$3:AU1004,$AA$3:AA1004,"*")</f>
        <v>38180.002077921221</v>
      </c>
      <c r="BS1001" s="87">
        <f>SUMIFS($AU$3:AU1004,$AB$3:AB1004,"*")</f>
        <v>7005.8599999997941</v>
      </c>
      <c r="BT1001" s="87">
        <f>SUMIFS($AU$3:AU1004,$AC$3:AC1004,"*")</f>
        <v>31040.358121878122</v>
      </c>
      <c r="BU1001" s="87">
        <f>SUMIFS($AU$3:AU1004,$AA$3:AA1004,"*",$AB$3:AB1004,"*")</f>
        <v>7301.9999999995771</v>
      </c>
      <c r="BV1001" s="87">
        <f>SUMIFS($AU$3:AU1004,$AA$3:AA1004,"*",$AC$3:AC1004,"*")</f>
        <v>29021.316363636532</v>
      </c>
      <c r="BW1001" s="87">
        <f>SUMIFS($AU$3:AU1004,$AB$3:AB1004,"*",$AC$3:AC1004,"*")</f>
        <v>3739.199999999998</v>
      </c>
      <c r="BX1001" s="87">
        <f>SUMIFS($AV$3:AV1004,$Q$3:Q1004,"F")</f>
        <v>341.34537697889471</v>
      </c>
      <c r="BY1001" s="87">
        <f>SUMIFS($AV$3:AV1004,$Q$3:Q1004,"S")</f>
        <v>767.76285705724263</v>
      </c>
      <c r="BZ1001" s="87">
        <f>SUMIFS($AV$3:AV1004,$Q$3:Q1004,"O")</f>
        <v>569.29929999965555</v>
      </c>
    </row>
    <row r="1002" spans="1:78" ht="15.75" customHeight="1">
      <c r="A1002" s="45" t="s">
        <v>3000</v>
      </c>
      <c r="B1002" s="59">
        <v>45506</v>
      </c>
      <c r="C1002" s="46" t="s">
        <v>2847</v>
      </c>
      <c r="D1002" s="46" t="s">
        <v>115</v>
      </c>
      <c r="E1002" s="66"/>
      <c r="F1002" s="47"/>
      <c r="G1002" s="155" t="s">
        <v>2821</v>
      </c>
      <c r="H1002" s="49"/>
      <c r="I1002" s="49"/>
      <c r="J1002" s="49"/>
      <c r="K1002" s="50"/>
      <c r="L1002" s="49"/>
      <c r="M1002" s="49">
        <v>1</v>
      </c>
      <c r="N1002" s="49"/>
      <c r="O1002" s="50" t="s">
        <v>100</v>
      </c>
      <c r="P1002" s="50" t="s">
        <v>101</v>
      </c>
      <c r="Q1002" s="50" t="s">
        <v>102</v>
      </c>
      <c r="R1002" s="50">
        <v>16</v>
      </c>
      <c r="S1002" s="50">
        <v>0</v>
      </c>
      <c r="T1002" s="50">
        <v>16</v>
      </c>
      <c r="U1002" s="50" t="s">
        <v>102</v>
      </c>
      <c r="V1002" s="50" t="s">
        <v>2898</v>
      </c>
      <c r="W1002" s="50" t="s">
        <v>22</v>
      </c>
      <c r="X1002" s="50" t="s">
        <v>3002</v>
      </c>
      <c r="Y1002" s="51">
        <f>IF(ISBLANK(O1002),"",(IF(O1002=UPPER("IB"),0.005,0.01)))</f>
        <v>0.01</v>
      </c>
      <c r="Z1002" s="52">
        <f>IF(ISBLANK(O1002),"",IF(O1002="IB",8.63*200,IF(O1002="IR",16*100,IF(O1002="YT",20*100,IF(O1002="YT-XT",24*200,IF(O1002="TED",80*100,IF(O1002="XT",29*200)))))))</f>
        <v>1600</v>
      </c>
      <c r="AA1002" s="52" t="s">
        <v>925</v>
      </c>
      <c r="AB1002" s="52"/>
      <c r="AC1002" s="52"/>
      <c r="AD1002" s="231">
        <v>-0.31</v>
      </c>
      <c r="AE1002" s="49"/>
      <c r="AF1002" s="84"/>
      <c r="AG1002" s="49"/>
      <c r="AH1002" s="49"/>
      <c r="AI1002" s="49"/>
      <c r="AJ1002" s="226"/>
      <c r="AK1002" s="49"/>
      <c r="AL1002" s="113">
        <f t="shared" si="409"/>
        <v>-32</v>
      </c>
      <c r="AM1002" s="113">
        <f t="shared" si="410"/>
        <v>-512</v>
      </c>
      <c r="AN1002" s="218"/>
      <c r="AO1002" s="49"/>
      <c r="AP1002" s="49"/>
      <c r="AQ1002" s="84" t="str">
        <f>UPPER(RIGHT(Journal_Live[[#This Row],[DURATION ]]))</f>
        <v/>
      </c>
      <c r="AR1002" s="49" t="s">
        <v>1190</v>
      </c>
      <c r="AS1002" s="55">
        <v>-0.31</v>
      </c>
      <c r="AT1002" s="55">
        <f t="shared" si="411"/>
        <v>0</v>
      </c>
      <c r="AU1002" s="54">
        <f t="shared" si="412"/>
        <v>0</v>
      </c>
      <c r="AV1002" s="56">
        <f t="shared" si="413"/>
        <v>0</v>
      </c>
      <c r="AW1002" s="57" t="s">
        <v>155</v>
      </c>
      <c r="AX1002" s="151" t="s">
        <v>3020</v>
      </c>
      <c r="AY1002" s="151" t="s">
        <v>1460</v>
      </c>
      <c r="AZ1002" s="151"/>
      <c r="BA1002" s="151"/>
      <c r="BB1002" s="151"/>
      <c r="BC1002" s="153"/>
      <c r="BD1002" s="151"/>
      <c r="BE1002" s="152"/>
      <c r="BF1002" s="151"/>
      <c r="BG1002" s="94">
        <f>SUM($AV$4:AV1002)</f>
        <v>6766.4075340358013</v>
      </c>
      <c r="BH1002" s="95">
        <f>SUM($AU$4:AU1002)</f>
        <v>41318.903836163023</v>
      </c>
      <c r="BI1002" s="80">
        <f>SUMIFS($AU$3:AU1005,$Q$3:Q1005,"F")</f>
        <v>27318.758121878131</v>
      </c>
      <c r="BJ1002" s="80">
        <f>SUMIFS($AU$3:AU1003,$Q$3:Q1003,"S")</f>
        <v>18802.285714285717</v>
      </c>
      <c r="BK1002" s="87">
        <f>SUMIFS($AU$3:AU1005,$P$3:P1005,"W")</f>
        <v>14645.423836163443</v>
      </c>
      <c r="BL1002" s="87">
        <f>SUMIFS($AU$3:AU1005,$P$3:P1005,"R")</f>
        <v>23790.800000000327</v>
      </c>
      <c r="BM1002" s="87">
        <f>SUMIFS($AU$3:AU1005,$AQ$3:AQ1005,"M")</f>
        <v>9563.1799999983832</v>
      </c>
      <c r="BN1002" s="87">
        <f>SUMIFS($AU$3:AU1005,$AQ$3:AQ1005,"H")</f>
        <v>13051.200000000877</v>
      </c>
      <c r="BO1002" s="87">
        <f>SUMIFS($AU$3:AU1005,$AQ$3:AQ1005,"D")</f>
        <v>9755.5774725271804</v>
      </c>
      <c r="BP1002" s="87">
        <f>SUMIFS($AS$3:AS1310,$AO$3:AO1310,"W")</f>
        <v>0</v>
      </c>
      <c r="BQ1002" s="87">
        <f>SUMIFS($AU$3:AU1005,$Q$3:Q1005,"O")</f>
        <v>-9366.1400000007852</v>
      </c>
      <c r="BR1002" s="87">
        <f>SUMIFS($AU$3:AU1005,$AA$3:AA1005,"*")</f>
        <v>38180.002077921221</v>
      </c>
      <c r="BS1002" s="87">
        <f>SUMIFS($AU$3:AU1005,$AB$3:AB1005,"*")</f>
        <v>7005.8599999997941</v>
      </c>
      <c r="BT1002" s="87">
        <f>SUMIFS($AU$3:AU1005,$AC$3:AC1005,"*")</f>
        <v>31040.358121878122</v>
      </c>
      <c r="BU1002" s="87">
        <f>SUMIFS($AU$3:AU1005,$AA$3:AA1005,"*",$AB$3:AB1005,"*")</f>
        <v>7301.9999999995771</v>
      </c>
      <c r="BV1002" s="87">
        <f>SUMIFS($AU$3:AU1005,$AA$3:AA1005,"*",$AC$3:AC1005,"*")</f>
        <v>29021.316363636532</v>
      </c>
      <c r="BW1002" s="87">
        <f>SUMIFS($AU$3:AU1005,$AB$3:AB1005,"*",$AC$3:AC1005,"*")</f>
        <v>3739.199999999998</v>
      </c>
      <c r="BX1002" s="87">
        <f>SUMIFS($AV$3:AV1005,$Q$3:Q1005,"F")</f>
        <v>341.34537697889471</v>
      </c>
      <c r="BY1002" s="87">
        <f>SUMIFS($AV$3:AV1005,$Q$3:Q1005,"S")</f>
        <v>767.76285705724263</v>
      </c>
      <c r="BZ1002" s="87">
        <f>SUMIFS($AV$3:AV1005,$Q$3:Q1005,"O")</f>
        <v>569.29929999965555</v>
      </c>
    </row>
    <row r="1003" spans="1:78" ht="15.75" customHeight="1">
      <c r="A1003" s="45" t="s">
        <v>3000</v>
      </c>
      <c r="B1003" s="59"/>
      <c r="C1003" s="46"/>
      <c r="D1003" s="46"/>
      <c r="E1003" s="66"/>
      <c r="F1003" s="47"/>
      <c r="G1003" s="48"/>
      <c r="H1003" s="49"/>
      <c r="I1003" s="49"/>
      <c r="J1003" s="49"/>
      <c r="K1003" s="50"/>
      <c r="L1003" s="49"/>
      <c r="M1003" s="49"/>
      <c r="N1003" s="49"/>
      <c r="O1003" s="50"/>
      <c r="P1003" s="50"/>
      <c r="Q1003" s="50"/>
      <c r="R1003" s="50"/>
      <c r="S1003" s="50"/>
      <c r="T1003" s="50"/>
      <c r="U1003" s="50"/>
      <c r="V1003" s="50"/>
      <c r="W1003" s="50"/>
      <c r="X1003" s="50"/>
      <c r="Y1003" s="51"/>
      <c r="Z1003" s="52"/>
      <c r="AA1003" s="52"/>
      <c r="AB1003" s="52"/>
      <c r="AC1003" s="52"/>
      <c r="AD1003" s="231"/>
      <c r="AE1003" s="49"/>
      <c r="AF1003" s="84"/>
      <c r="AG1003" s="49"/>
      <c r="AH1003" s="49"/>
      <c r="AI1003" s="49"/>
      <c r="AJ1003" s="226"/>
      <c r="AK1003" s="49"/>
      <c r="AL1003" s="113">
        <f t="shared" si="409"/>
        <v>0</v>
      </c>
      <c r="AM1003" s="113">
        <f t="shared" si="410"/>
        <v>0</v>
      </c>
      <c r="AN1003" s="218"/>
      <c r="AO1003" s="49"/>
      <c r="AP1003" s="49"/>
      <c r="AQ1003" s="84" t="str">
        <f>UPPER(RIGHT(Journal_Live[[#This Row],[DURATION ]]))</f>
        <v/>
      </c>
      <c r="AR1003" s="49"/>
      <c r="AS1003" s="55"/>
      <c r="AT1003" s="55">
        <f t="shared" si="411"/>
        <v>0</v>
      </c>
      <c r="AU1003" s="54">
        <f t="shared" si="412"/>
        <v>0</v>
      </c>
      <c r="AV1003" s="56">
        <f t="shared" si="413"/>
        <v>0</v>
      </c>
      <c r="AW1003" s="57"/>
      <c r="AX1003" s="224" t="s">
        <v>3021</v>
      </c>
      <c r="AY1003" s="151"/>
      <c r="AZ1003" s="151"/>
      <c r="BA1003" s="151"/>
      <c r="BB1003" s="151"/>
      <c r="BC1003" s="153"/>
      <c r="BD1003" s="151"/>
      <c r="BE1003" s="152"/>
      <c r="BF1003" s="151"/>
      <c r="BG1003" s="94">
        <f>SUM($AV$4:AV1003)</f>
        <v>6766.4075340358013</v>
      </c>
      <c r="BH1003" s="95">
        <f>SUM($AU$4:AU1003)</f>
        <v>41318.903836163023</v>
      </c>
      <c r="BI1003" s="80">
        <f>SUMIFS($AU$3:AU1006,$Q$3:Q1006,"F")</f>
        <v>27318.758121878131</v>
      </c>
      <c r="BJ1003" s="80">
        <f>SUMIFS($AU$3:AU1004,$Q$3:Q1004,"S")</f>
        <v>18802.285714285717</v>
      </c>
      <c r="BK1003" s="87">
        <f>SUMIFS($AU$3:AU1006,$P$3:P1006,"W")</f>
        <v>14645.423836163443</v>
      </c>
      <c r="BL1003" s="87">
        <f>SUMIFS($AU$3:AU1006,$P$3:P1006,"R")</f>
        <v>23790.800000000327</v>
      </c>
      <c r="BM1003" s="87">
        <f>SUMIFS($AU$3:AU1006,$AQ$3:AQ1006,"M")</f>
        <v>9563.1799999983832</v>
      </c>
      <c r="BN1003" s="87">
        <f>SUMIFS($AU$3:AU1006,$AQ$3:AQ1006,"H")</f>
        <v>13051.200000000877</v>
      </c>
      <c r="BO1003" s="87">
        <f>SUMIFS($AU$3:AU1006,$AQ$3:AQ1006,"D")</f>
        <v>9755.5774725271804</v>
      </c>
      <c r="BP1003" s="87">
        <f>SUMIFS($AS$3:AS1311,$AO$3:AO1311,"W")</f>
        <v>0</v>
      </c>
      <c r="BQ1003" s="87">
        <f>SUMIFS($AU$3:AU1006,$Q$3:Q1006,"O")</f>
        <v>-9366.1400000007852</v>
      </c>
      <c r="BR1003" s="87">
        <f>SUMIFS($AU$3:AU1006,$AA$3:AA1006,"*")</f>
        <v>38180.002077921221</v>
      </c>
      <c r="BS1003" s="87">
        <f>SUMIFS($AU$3:AU1006,$AB$3:AB1006,"*")</f>
        <v>7005.8599999997941</v>
      </c>
      <c r="BT1003" s="87">
        <f>SUMIFS($AU$3:AU1006,$AC$3:AC1006,"*")</f>
        <v>31040.358121878122</v>
      </c>
      <c r="BU1003" s="87">
        <f>SUMIFS($AU$3:AU1006,$AA$3:AA1006,"*",$AB$3:AB1006,"*")</f>
        <v>7301.9999999995771</v>
      </c>
      <c r="BV1003" s="87">
        <f>SUMIFS($AU$3:AU1006,$AA$3:AA1006,"*",$AC$3:AC1006,"*")</f>
        <v>29021.316363636532</v>
      </c>
      <c r="BW1003" s="87">
        <f>SUMIFS($AU$3:AU1006,$AB$3:AB1006,"*",$AC$3:AC1006,"*")</f>
        <v>3739.199999999998</v>
      </c>
      <c r="BX1003" s="87">
        <f>SUMIFS($AV$3:AV1006,$Q$3:Q1006,"F")</f>
        <v>341.34537697889471</v>
      </c>
      <c r="BY1003" s="87">
        <f>SUMIFS($AV$3:AV1006,$Q$3:Q1006,"S")</f>
        <v>767.76285705724263</v>
      </c>
      <c r="BZ1003" s="87">
        <f>SUMIFS($AV$3:AV1006,$Q$3:Q1006,"O")</f>
        <v>569.29929999965555</v>
      </c>
    </row>
    <row r="1004" spans="1:78" ht="15.75" customHeight="1">
      <c r="A1004" s="45" t="s">
        <v>3000</v>
      </c>
      <c r="B1004" s="59">
        <v>45506</v>
      </c>
      <c r="C1004" s="46" t="s">
        <v>1143</v>
      </c>
      <c r="D1004" s="46" t="s">
        <v>115</v>
      </c>
      <c r="E1004" s="66" t="s">
        <v>3022</v>
      </c>
      <c r="F1004" s="47" t="s">
        <v>2837</v>
      </c>
      <c r="G1004" s="48"/>
      <c r="H1004" s="49"/>
      <c r="I1004" s="49"/>
      <c r="J1004" s="49">
        <v>1</v>
      </c>
      <c r="K1004" s="50" t="s">
        <v>155</v>
      </c>
      <c r="L1004" s="49"/>
      <c r="M1004" s="49"/>
      <c r="N1004" s="49"/>
      <c r="O1004" s="50"/>
      <c r="P1004" s="50"/>
      <c r="Q1004" s="50"/>
      <c r="R1004" s="50"/>
      <c r="S1004" s="50"/>
      <c r="T1004" s="50"/>
      <c r="U1004" s="50"/>
      <c r="V1004" s="50"/>
      <c r="W1004" s="50"/>
      <c r="X1004" s="50"/>
      <c r="Y1004" s="51"/>
      <c r="Z1004" s="52"/>
      <c r="AA1004" s="52"/>
      <c r="AB1004" s="52"/>
      <c r="AC1004" s="52"/>
      <c r="AD1004" s="231"/>
      <c r="AE1004" s="49"/>
      <c r="AF1004" s="84"/>
      <c r="AG1004" s="49"/>
      <c r="AH1004" s="49"/>
      <c r="AI1004" s="49"/>
      <c r="AJ1004" s="226"/>
      <c r="AK1004" s="49"/>
      <c r="AL1004" s="113">
        <f t="shared" si="409"/>
        <v>0</v>
      </c>
      <c r="AM1004" s="113">
        <f t="shared" si="410"/>
        <v>0</v>
      </c>
      <c r="AN1004" s="218"/>
      <c r="AO1004" s="49"/>
      <c r="AP1004" s="49"/>
      <c r="AQ1004" s="84" t="str">
        <f>UPPER(RIGHT(Journal_Live[[#This Row],[DURATION ]]))</f>
        <v/>
      </c>
      <c r="AR1004" s="49"/>
      <c r="AS1004" s="55"/>
      <c r="AT1004" s="55">
        <f t="shared" si="411"/>
        <v>0</v>
      </c>
      <c r="AU1004" s="54">
        <f t="shared" si="412"/>
        <v>0</v>
      </c>
      <c r="AV1004" s="56">
        <f t="shared" si="413"/>
        <v>0</v>
      </c>
      <c r="AW1004" s="57"/>
      <c r="AX1004" s="151"/>
      <c r="AY1004" s="151"/>
      <c r="AZ1004" s="151"/>
      <c r="BA1004" s="151"/>
      <c r="BB1004" s="151"/>
      <c r="BC1004" s="153"/>
      <c r="BD1004" s="151"/>
      <c r="BE1004" s="152"/>
      <c r="BF1004" s="151"/>
      <c r="BG1004" s="94">
        <f>SUM($AV$4:AV1004)</f>
        <v>6766.4075340358013</v>
      </c>
      <c r="BH1004" s="95">
        <f>SUM($AU$4:AU1004)</f>
        <v>41318.903836163023</v>
      </c>
      <c r="BI1004" s="80">
        <f>SUMIFS($AU$3:AU1007,$Q$3:Q1007,"F")</f>
        <v>27318.758121878131</v>
      </c>
      <c r="BJ1004" s="80">
        <f>SUMIFS($AU$3:AU1005,$Q$3:Q1005,"S")</f>
        <v>18802.285714285717</v>
      </c>
      <c r="BK1004" s="87">
        <f>SUMIFS($AU$3:AU1007,$P$3:P1007,"W")</f>
        <v>14693.423836163443</v>
      </c>
      <c r="BL1004" s="87">
        <f>SUMIFS($AU$3:AU1007,$P$3:P1007,"R")</f>
        <v>23790.800000000327</v>
      </c>
      <c r="BM1004" s="87">
        <f>SUMIFS($AU$3:AU1007,$AQ$3:AQ1007,"M")</f>
        <v>9611.1799999983832</v>
      </c>
      <c r="BN1004" s="87">
        <f>SUMIFS($AU$3:AU1007,$AQ$3:AQ1007,"H")</f>
        <v>13051.200000000877</v>
      </c>
      <c r="BO1004" s="87">
        <f>SUMIFS($AU$3:AU1007,$AQ$3:AQ1007,"D")</f>
        <v>9755.5774725271804</v>
      </c>
      <c r="BP1004" s="87">
        <f>SUMIFS($AS$3:AS1312,$AO$3:AO1312,"W")</f>
        <v>0</v>
      </c>
      <c r="BQ1004" s="87">
        <f>SUMIFS($AU$3:AU1007,$Q$3:Q1007,"O")</f>
        <v>-9366.1400000007852</v>
      </c>
      <c r="BR1004" s="87">
        <f>SUMIFS($AU$3:AU1007,$AA$3:AA1007,"*")</f>
        <v>38228.002077921221</v>
      </c>
      <c r="BS1004" s="87">
        <f>SUMIFS($AU$3:AU1007,$AB$3:AB1007,"*")</f>
        <v>7005.8599999997941</v>
      </c>
      <c r="BT1004" s="87">
        <f>SUMIFS($AU$3:AU1007,$AC$3:AC1007,"*")</f>
        <v>31040.358121878122</v>
      </c>
      <c r="BU1004" s="87">
        <f>SUMIFS($AU$3:AU1007,$AA$3:AA1007,"*",$AB$3:AB1007,"*")</f>
        <v>7301.9999999995771</v>
      </c>
      <c r="BV1004" s="87">
        <f>SUMIFS($AU$3:AU1007,$AA$3:AA1007,"*",$AC$3:AC1007,"*")</f>
        <v>29021.316363636532</v>
      </c>
      <c r="BW1004" s="87">
        <f>SUMIFS($AU$3:AU1007,$AB$3:AB1007,"*",$AC$3:AC1007,"*")</f>
        <v>3739.199999999998</v>
      </c>
      <c r="BX1004" s="87">
        <f>SUMIFS($AV$3:AV1007,$Q$3:Q1007,"F")</f>
        <v>341.34537697889471</v>
      </c>
      <c r="BY1004" s="87">
        <f>SUMIFS($AV$3:AV1007,$Q$3:Q1007,"S")</f>
        <v>770.42952372390926</v>
      </c>
      <c r="BZ1004" s="87">
        <f>SUMIFS($AV$3:AV1007,$Q$3:Q1007,"O")</f>
        <v>569.29929999965555</v>
      </c>
    </row>
    <row r="1005" spans="1:78" ht="15.75" customHeight="1">
      <c r="A1005" s="45" t="s">
        <v>3000</v>
      </c>
      <c r="B1005" s="59"/>
      <c r="C1005" s="46"/>
      <c r="D1005" s="46"/>
      <c r="E1005" s="66" t="s">
        <v>3023</v>
      </c>
      <c r="F1005" s="47"/>
      <c r="G1005" s="48"/>
      <c r="H1005" s="49"/>
      <c r="I1005" s="49"/>
      <c r="J1005" s="49">
        <v>1</v>
      </c>
      <c r="K1005" s="50" t="s">
        <v>155</v>
      </c>
      <c r="L1005" s="49"/>
      <c r="M1005" s="49"/>
      <c r="N1005" s="49"/>
      <c r="O1005" s="50"/>
      <c r="P1005" s="50"/>
      <c r="Q1005" s="50"/>
      <c r="R1005" s="50"/>
      <c r="S1005" s="50"/>
      <c r="T1005" s="50"/>
      <c r="U1005" s="50"/>
      <c r="V1005" s="50"/>
      <c r="W1005" s="50"/>
      <c r="X1005" s="50"/>
      <c r="Y1005" s="51"/>
      <c r="Z1005" s="52"/>
      <c r="AA1005" s="52"/>
      <c r="AB1005" s="52"/>
      <c r="AC1005" s="52"/>
      <c r="AD1005" s="231"/>
      <c r="AE1005" s="49"/>
      <c r="AF1005" s="84"/>
      <c r="AG1005" s="49"/>
      <c r="AH1005" s="49"/>
      <c r="AI1005" s="49"/>
      <c r="AJ1005" s="226"/>
      <c r="AK1005" s="49"/>
      <c r="AL1005" s="113">
        <f t="shared" si="409"/>
        <v>0</v>
      </c>
      <c r="AM1005" s="113">
        <f t="shared" si="410"/>
        <v>0</v>
      </c>
      <c r="AN1005" s="218"/>
      <c r="AO1005" s="49"/>
      <c r="AP1005" s="49"/>
      <c r="AQ1005" s="84" t="str">
        <f>UPPER(RIGHT(Journal_Live[[#This Row],[DURATION ]]))</f>
        <v/>
      </c>
      <c r="AR1005" s="49"/>
      <c r="AS1005" s="55"/>
      <c r="AT1005" s="55">
        <f t="shared" si="411"/>
        <v>0</v>
      </c>
      <c r="AU1005" s="54">
        <f t="shared" si="412"/>
        <v>0</v>
      </c>
      <c r="AV1005" s="56">
        <f t="shared" si="413"/>
        <v>0</v>
      </c>
      <c r="AW1005" s="57"/>
      <c r="AX1005" s="151"/>
      <c r="AY1005" s="151"/>
      <c r="AZ1005" s="151"/>
      <c r="BA1005" s="151"/>
      <c r="BB1005" s="151"/>
      <c r="BC1005" s="153"/>
      <c r="BD1005" s="151"/>
      <c r="BE1005" s="152"/>
      <c r="BF1005" s="151"/>
      <c r="BG1005" s="94">
        <f>SUM($AV$4:AV1005)</f>
        <v>6766.4075340358013</v>
      </c>
      <c r="BH1005" s="95">
        <f>SUM($AU$4:AU1005)</f>
        <v>41318.903836163023</v>
      </c>
      <c r="BI1005" s="80">
        <f>SUMIFS($AU$3:AU1008,$Q$3:Q1008,"F")</f>
        <v>27318.758121878131</v>
      </c>
      <c r="BJ1005" s="80">
        <f>SUMIFS($AU$3:AU1006,$Q$3:Q1006,"S")</f>
        <v>18802.285714285717</v>
      </c>
      <c r="BK1005" s="87">
        <f>SUMIFS($AU$3:AU1008,$P$3:P1008,"W")</f>
        <v>14949.423836163445</v>
      </c>
      <c r="BL1005" s="87">
        <f>SUMIFS($AU$3:AU1008,$P$3:P1008,"R")</f>
        <v>23790.800000000327</v>
      </c>
      <c r="BM1005" s="87">
        <f>SUMIFS($AU$3:AU1008,$AQ$3:AQ1008,"M")</f>
        <v>9867.179999998385</v>
      </c>
      <c r="BN1005" s="87">
        <f>SUMIFS($AU$3:AU1008,$AQ$3:AQ1008,"H")</f>
        <v>13051.200000000877</v>
      </c>
      <c r="BO1005" s="87">
        <f>SUMIFS($AU$3:AU1008,$AQ$3:AQ1008,"D")</f>
        <v>9755.5774725271804</v>
      </c>
      <c r="BP1005" s="87">
        <f>SUMIFS($AS$3:AS1313,$AO$3:AO1313,"W")</f>
        <v>0</v>
      </c>
      <c r="BQ1005" s="87">
        <f>SUMIFS($AU$3:AU1008,$Q$3:Q1008,"O")</f>
        <v>-9366.1400000007852</v>
      </c>
      <c r="BR1005" s="87">
        <f>SUMIFS($AU$3:AU1008,$AA$3:AA1008,"*")</f>
        <v>38484.002077921221</v>
      </c>
      <c r="BS1005" s="87">
        <f>SUMIFS($AU$3:AU1008,$AB$3:AB1008,"*")</f>
        <v>7005.8599999997941</v>
      </c>
      <c r="BT1005" s="87">
        <f>SUMIFS($AU$3:AU1008,$AC$3:AC1008,"*")</f>
        <v>31040.358121878122</v>
      </c>
      <c r="BU1005" s="87">
        <f>SUMIFS($AU$3:AU1008,$AA$3:AA1008,"*",$AB$3:AB1008,"*")</f>
        <v>7301.9999999995771</v>
      </c>
      <c r="BV1005" s="87">
        <f>SUMIFS($AU$3:AU1008,$AA$3:AA1008,"*",$AC$3:AC1008,"*")</f>
        <v>29021.316363636532</v>
      </c>
      <c r="BW1005" s="87">
        <f>SUMIFS($AU$3:AU1008,$AB$3:AB1008,"*",$AC$3:AC1008,"*")</f>
        <v>3739.199999999998</v>
      </c>
      <c r="BX1005" s="87">
        <f>SUMIFS($AV$3:AV1008,$Q$3:Q1008,"F")</f>
        <v>341.34537697889471</v>
      </c>
      <c r="BY1005" s="87">
        <f>SUMIFS($AV$3:AV1008,$Q$3:Q1008,"S")</f>
        <v>786.42952372390937</v>
      </c>
      <c r="BZ1005" s="87">
        <f>SUMIFS($AV$3:AV1008,$Q$3:Q1008,"O")</f>
        <v>569.29929999965555</v>
      </c>
    </row>
    <row r="1006" spans="1:78" ht="15.75" customHeight="1">
      <c r="A1006" s="45" t="s">
        <v>3000</v>
      </c>
      <c r="B1006" s="59"/>
      <c r="C1006" s="46"/>
      <c r="D1006" s="46"/>
      <c r="E1006" s="66" t="s">
        <v>3024</v>
      </c>
      <c r="F1006" s="47"/>
      <c r="G1006" s="48"/>
      <c r="H1006" s="49"/>
      <c r="I1006" s="49"/>
      <c r="J1006" s="49">
        <v>1</v>
      </c>
      <c r="K1006" s="50" t="s">
        <v>155</v>
      </c>
      <c r="L1006" s="49"/>
      <c r="M1006" s="49"/>
      <c r="N1006" s="49"/>
      <c r="O1006" s="50"/>
      <c r="P1006" s="50"/>
      <c r="Q1006" s="50"/>
      <c r="R1006" s="50"/>
      <c r="S1006" s="50"/>
      <c r="T1006" s="50"/>
      <c r="U1006" s="50"/>
      <c r="V1006" s="50"/>
      <c r="W1006" s="50"/>
      <c r="X1006" s="50"/>
      <c r="Y1006" s="51"/>
      <c r="Z1006" s="52"/>
      <c r="AA1006" s="52"/>
      <c r="AB1006" s="52"/>
      <c r="AC1006" s="52"/>
      <c r="AD1006" s="231"/>
      <c r="AE1006" s="49"/>
      <c r="AF1006" s="84"/>
      <c r="AG1006" s="49"/>
      <c r="AH1006" s="49"/>
      <c r="AI1006" s="49"/>
      <c r="AJ1006" s="226"/>
      <c r="AK1006" s="49"/>
      <c r="AL1006" s="113">
        <f t="shared" si="409"/>
        <v>0</v>
      </c>
      <c r="AM1006" s="113">
        <f t="shared" si="410"/>
        <v>0</v>
      </c>
      <c r="AN1006" s="218"/>
      <c r="AO1006" s="49"/>
      <c r="AP1006" s="49"/>
      <c r="AQ1006" s="84" t="str">
        <f>UPPER(RIGHT(Journal_Live[[#This Row],[DURATION ]]))</f>
        <v/>
      </c>
      <c r="AR1006" s="49"/>
      <c r="AS1006" s="55"/>
      <c r="AT1006" s="55">
        <f t="shared" si="411"/>
        <v>0</v>
      </c>
      <c r="AU1006" s="54">
        <f t="shared" si="412"/>
        <v>0</v>
      </c>
      <c r="AV1006" s="56">
        <f t="shared" si="413"/>
        <v>0</v>
      </c>
      <c r="AW1006" s="57"/>
      <c r="AX1006" s="151"/>
      <c r="AY1006" s="151"/>
      <c r="AZ1006" s="151"/>
      <c r="BA1006" s="151"/>
      <c r="BB1006" s="151"/>
      <c r="BC1006" s="153"/>
      <c r="BD1006" s="151"/>
      <c r="BE1006" s="152"/>
      <c r="BF1006" s="151"/>
      <c r="BG1006" s="94">
        <f>SUM($AV$4:AV1006)</f>
        <v>6766.4075340358013</v>
      </c>
      <c r="BH1006" s="95">
        <f>SUM($AU$4:AU1006)</f>
        <v>41318.903836163023</v>
      </c>
      <c r="BI1006" s="80">
        <f>SUMIFS($AU$3:AU1009,$Q$3:Q1009,"F")</f>
        <v>27318.758121878131</v>
      </c>
      <c r="BJ1006" s="80">
        <f>SUMIFS($AU$3:AU1007,$Q$3:Q1007,"S")</f>
        <v>18850.285714285717</v>
      </c>
      <c r="BK1006" s="87">
        <f>SUMIFS($AU$3:AU1009,$P$3:P1009,"W")</f>
        <v>14949.423836163445</v>
      </c>
      <c r="BL1006" s="87">
        <f>SUMIFS($AU$3:AU1009,$P$3:P1009,"R")</f>
        <v>22926.800000000327</v>
      </c>
      <c r="BM1006" s="87">
        <f>SUMIFS($AU$3:AU1009,$AQ$3:AQ1009,"M")</f>
        <v>9867.179999998385</v>
      </c>
      <c r="BN1006" s="87">
        <f>SUMIFS($AU$3:AU1009,$AQ$3:AQ1009,"H")</f>
        <v>13051.200000000877</v>
      </c>
      <c r="BO1006" s="87">
        <f>SUMIFS($AU$3:AU1009,$AQ$3:AQ1009,"D")</f>
        <v>8891.5774725271804</v>
      </c>
      <c r="BP1006" s="87">
        <f>SUMIFS($AS$3:AS1314,$AO$3:AO1314,"W")</f>
        <v>0</v>
      </c>
      <c r="BQ1006" s="87">
        <f>SUMIFS($AU$3:AU1009,$Q$3:Q1009,"O")</f>
        <v>-9366.1400000007852</v>
      </c>
      <c r="BR1006" s="87">
        <f>SUMIFS($AU$3:AU1009,$AA$3:AA1009,"*")</f>
        <v>37620.002077921221</v>
      </c>
      <c r="BS1006" s="87">
        <f>SUMIFS($AU$3:AU1009,$AB$3:AB1009,"*")</f>
        <v>7005.8599999997941</v>
      </c>
      <c r="BT1006" s="87">
        <f>SUMIFS($AU$3:AU1009,$AC$3:AC1009,"*")</f>
        <v>31040.358121878122</v>
      </c>
      <c r="BU1006" s="87">
        <f>SUMIFS($AU$3:AU1009,$AA$3:AA1009,"*",$AB$3:AB1009,"*")</f>
        <v>7301.9999999995771</v>
      </c>
      <c r="BV1006" s="87">
        <f>SUMIFS($AU$3:AU1009,$AA$3:AA1009,"*",$AC$3:AC1009,"*")</f>
        <v>29021.316363636532</v>
      </c>
      <c r="BW1006" s="87">
        <f>SUMIFS($AU$3:AU1009,$AB$3:AB1009,"*",$AC$3:AC1009,"*")</f>
        <v>3739.199999999998</v>
      </c>
      <c r="BX1006" s="87">
        <f>SUMIFS($AV$3:AV1009,$Q$3:Q1009,"F")</f>
        <v>341.34537697889471</v>
      </c>
      <c r="BY1006" s="87">
        <f>SUMIFS($AV$3:AV1009,$Q$3:Q1009,"S")</f>
        <v>738.42952372390937</v>
      </c>
      <c r="BZ1006" s="87">
        <f>SUMIFS($AV$3:AV1009,$Q$3:Q1009,"O")</f>
        <v>569.29929999965555</v>
      </c>
    </row>
    <row r="1007" spans="1:78" ht="15.75" customHeight="1">
      <c r="A1007" s="45" t="s">
        <v>3000</v>
      </c>
      <c r="B1007" s="59">
        <v>45506</v>
      </c>
      <c r="C1007" s="46" t="s">
        <v>147</v>
      </c>
      <c r="D1007" s="46" t="s">
        <v>115</v>
      </c>
      <c r="E1007" s="66"/>
      <c r="F1007" s="47"/>
      <c r="G1007" s="155" t="s">
        <v>3025</v>
      </c>
      <c r="H1007" s="49"/>
      <c r="I1007" s="49"/>
      <c r="J1007" s="49"/>
      <c r="K1007" s="50"/>
      <c r="L1007" s="49"/>
      <c r="M1007" s="49">
        <v>1</v>
      </c>
      <c r="N1007" s="49"/>
      <c r="O1007" s="50" t="s">
        <v>100</v>
      </c>
      <c r="P1007" s="50" t="s">
        <v>101</v>
      </c>
      <c r="Q1007" s="50" t="s">
        <v>102</v>
      </c>
      <c r="R1007" s="50">
        <v>18</v>
      </c>
      <c r="S1007" s="50">
        <v>0</v>
      </c>
      <c r="T1007" s="50">
        <v>9</v>
      </c>
      <c r="U1007" s="50" t="s">
        <v>22</v>
      </c>
      <c r="V1007" s="50" t="s">
        <v>2898</v>
      </c>
      <c r="W1007" s="50" t="s">
        <v>155</v>
      </c>
      <c r="X1007" s="50" t="s">
        <v>3026</v>
      </c>
      <c r="Y1007" s="51">
        <f t="shared" ref="Y1007:Y1012" si="414">IF(ISBLANK(O1007),"",(IF(O1007=UPPER("IB"),0.005,0.01)))</f>
        <v>0.01</v>
      </c>
      <c r="Z1007" s="52">
        <f t="shared" ref="Z1007:Z1012" si="415">IF(ISBLANK(O1007),"",IF(O1007="IB",8.63*200,IF(O1007="IR",16*100,IF(O1007="YT",20*100,IF(O1007="YT-XT",24*200,IF(O1007="TED",80*100,IF(O1007="XT",29*200)))))))</f>
        <v>1600</v>
      </c>
      <c r="AA1007" s="52" t="s">
        <v>3027</v>
      </c>
      <c r="AB1007" s="52"/>
      <c r="AC1007" s="52"/>
      <c r="AD1007" s="231">
        <v>-0.255</v>
      </c>
      <c r="AE1007" s="49"/>
      <c r="AF1007" s="84"/>
      <c r="AG1007" s="49"/>
      <c r="AH1007" s="49"/>
      <c r="AI1007" s="49"/>
      <c r="AJ1007" s="226"/>
      <c r="AK1007" s="49"/>
      <c r="AL1007" s="113">
        <f t="shared" ref="AL1007:AL1089" si="416">-0.02*Z1007</f>
        <v>-32</v>
      </c>
      <c r="AM1007" s="113">
        <f t="shared" si="410"/>
        <v>-576</v>
      </c>
      <c r="AN1007" s="218"/>
      <c r="AO1007" s="49"/>
      <c r="AP1007" s="49"/>
      <c r="AQ1007" s="84" t="s">
        <v>350</v>
      </c>
      <c r="AR1007" s="49"/>
      <c r="AS1007" s="55">
        <f>((-0.25*6)+(-0.26*6)+(-0.25*6))/18</f>
        <v>-0.25333333333333335</v>
      </c>
      <c r="AT1007" s="55">
        <f t="shared" si="411"/>
        <v>1.6666666666666496E-3</v>
      </c>
      <c r="AU1007" s="54">
        <f t="shared" si="412"/>
        <v>47.99999999999951</v>
      </c>
      <c r="AV1007" s="56">
        <f t="shared" ref="AV1007:AV1089" si="417">IF(ISBLANK(AS1007),,(AT1007*Z1007))</f>
        <v>2.6666666666666394</v>
      </c>
      <c r="AW1007" s="57" t="s">
        <v>101</v>
      </c>
      <c r="AX1007" s="151"/>
      <c r="AY1007" s="151"/>
      <c r="AZ1007" s="151"/>
      <c r="BA1007" s="151"/>
      <c r="BB1007" s="151"/>
      <c r="BC1007" s="153"/>
      <c r="BD1007" s="151"/>
      <c r="BE1007" s="152"/>
      <c r="BF1007" s="151"/>
      <c r="BG1007" s="94">
        <f>SUM($AV$4:AV1007)</f>
        <v>6769.0742007024683</v>
      </c>
      <c r="BH1007" s="95">
        <f>SUM($AU$4:AU1007)</f>
        <v>41366.903836163023</v>
      </c>
      <c r="BI1007" s="80">
        <f>SUMIFS($AU$3:AU1010,$Q$3:Q1010,"F")</f>
        <v>27318.758121878131</v>
      </c>
      <c r="BJ1007" s="80">
        <f>SUMIFS($AU$3:AU1008,$Q$3:Q1008,"S")</f>
        <v>19106.285714285717</v>
      </c>
      <c r="BK1007" s="87">
        <f>SUMIFS($AU$3:AU1010,$P$3:P1010,"W")</f>
        <v>14949.423836163445</v>
      </c>
      <c r="BL1007" s="87">
        <f>SUMIFS($AU$3:AU1010,$P$3:P1010,"R")</f>
        <v>20366.800000000327</v>
      </c>
      <c r="BM1007" s="87">
        <f>SUMIFS($AU$3:AU1010,$AQ$3:AQ1010,"M")</f>
        <v>9867.179999998385</v>
      </c>
      <c r="BN1007" s="87">
        <f>SUMIFS($AU$3:AU1010,$AQ$3:AQ1010,"H")</f>
        <v>13051.200000000877</v>
      </c>
      <c r="BO1007" s="87">
        <f>SUMIFS($AU$3:AU1010,$AQ$3:AQ1010,"D")</f>
        <v>6331.5774725271795</v>
      </c>
      <c r="BP1007" s="87">
        <f>SUMIFS($AS$3:AS1315,$AO$3:AO1315,"W")</f>
        <v>0</v>
      </c>
      <c r="BQ1007" s="87">
        <f>SUMIFS($AU$3:AU1010,$Q$3:Q1010,"O")</f>
        <v>-9366.1400000007852</v>
      </c>
      <c r="BR1007" s="87">
        <f>SUMIFS($AU$3:AU1010,$AA$3:AA1010,"*")</f>
        <v>35060.002077921221</v>
      </c>
      <c r="BS1007" s="87">
        <f>SUMIFS($AU$3:AU1010,$AB$3:AB1010,"*")</f>
        <v>7005.8599999997941</v>
      </c>
      <c r="BT1007" s="87">
        <f>SUMIFS($AU$3:AU1010,$AC$3:AC1010,"*")</f>
        <v>28480.358121878122</v>
      </c>
      <c r="BU1007" s="87">
        <f>SUMIFS($AU$3:AU1010,$AA$3:AA1010,"*",$AB$3:AB1010,"*")</f>
        <v>7301.9999999995771</v>
      </c>
      <c r="BV1007" s="87">
        <f>SUMIFS($AU$3:AU1010,$AA$3:AA1010,"*",$AC$3:AC1010,"*")</f>
        <v>26461.316363636532</v>
      </c>
      <c r="BW1007" s="87">
        <f>SUMIFS($AU$3:AU1010,$AB$3:AB1010,"*",$AC$3:AC1010,"*")</f>
        <v>3739.199999999998</v>
      </c>
      <c r="BX1007" s="87">
        <f>SUMIFS($AV$3:AV1010,$Q$3:Q1010,"F")</f>
        <v>341.34537697889471</v>
      </c>
      <c r="BY1007" s="87">
        <f>SUMIFS($AV$3:AV1010,$Q$3:Q1010,"S")</f>
        <v>658.42952372390937</v>
      </c>
      <c r="BZ1007" s="87">
        <f>SUMIFS($AV$3:AV1010,$Q$3:Q1010,"O")</f>
        <v>569.29929999965555</v>
      </c>
    </row>
    <row r="1008" spans="1:78" ht="15.75" customHeight="1">
      <c r="A1008" s="45" t="s">
        <v>3000</v>
      </c>
      <c r="B1008" s="59">
        <v>45506</v>
      </c>
      <c r="C1008" s="46" t="s">
        <v>147</v>
      </c>
      <c r="D1008" s="46" t="s">
        <v>115</v>
      </c>
      <c r="E1008" s="66"/>
      <c r="F1008" s="47"/>
      <c r="G1008" s="155" t="s">
        <v>2712</v>
      </c>
      <c r="H1008" s="49"/>
      <c r="I1008" s="49"/>
      <c r="J1008" s="49"/>
      <c r="K1008" s="50"/>
      <c r="L1008" s="49"/>
      <c r="M1008" s="49">
        <v>1</v>
      </c>
      <c r="N1008" s="49"/>
      <c r="O1008" s="50" t="s">
        <v>100</v>
      </c>
      <c r="P1008" s="50" t="s">
        <v>101</v>
      </c>
      <c r="Q1008" s="50" t="s">
        <v>102</v>
      </c>
      <c r="R1008" s="50">
        <v>16</v>
      </c>
      <c r="S1008" s="50">
        <v>0</v>
      </c>
      <c r="T1008" s="50">
        <v>11</v>
      </c>
      <c r="U1008" s="50" t="s">
        <v>102</v>
      </c>
      <c r="V1008" s="50" t="s">
        <v>2898</v>
      </c>
      <c r="W1008" s="50" t="s">
        <v>155</v>
      </c>
      <c r="X1008" s="50" t="s">
        <v>3002</v>
      </c>
      <c r="Y1008" s="51">
        <f t="shared" si="414"/>
        <v>0.01</v>
      </c>
      <c r="Z1008" s="52">
        <f t="shared" si="415"/>
        <v>1600</v>
      </c>
      <c r="AA1008" s="52" t="s">
        <v>3028</v>
      </c>
      <c r="AB1008" s="52"/>
      <c r="AC1008" s="52"/>
      <c r="AD1008" s="231">
        <v>-0.22</v>
      </c>
      <c r="AE1008" s="49"/>
      <c r="AF1008" s="84"/>
      <c r="AG1008" s="49"/>
      <c r="AH1008" s="49"/>
      <c r="AI1008" s="49"/>
      <c r="AJ1008" s="226"/>
      <c r="AK1008" s="49"/>
      <c r="AL1008" s="113">
        <f t="shared" si="416"/>
        <v>-32</v>
      </c>
      <c r="AM1008" s="113">
        <f t="shared" si="410"/>
        <v>-512</v>
      </c>
      <c r="AN1008" s="218"/>
      <c r="AO1008" s="49"/>
      <c r="AP1008" s="49"/>
      <c r="AQ1008" s="84" t="s">
        <v>350</v>
      </c>
      <c r="AR1008" s="49"/>
      <c r="AS1008" s="55">
        <f>((-0.23*11)+(-0.23*5))/16</f>
        <v>-0.23000000000000004</v>
      </c>
      <c r="AT1008" s="55">
        <f t="shared" si="411"/>
        <v>1.0000000000000037E-2</v>
      </c>
      <c r="AU1008" s="54">
        <f t="shared" si="412"/>
        <v>256.00000000000091</v>
      </c>
      <c r="AV1008" s="56">
        <f t="shared" si="417"/>
        <v>16.000000000000057</v>
      </c>
      <c r="AW1008" s="57" t="s">
        <v>101</v>
      </c>
      <c r="AX1008" s="151"/>
      <c r="AY1008" s="151"/>
      <c r="AZ1008" s="151"/>
      <c r="BA1008" s="151"/>
      <c r="BB1008" s="151"/>
      <c r="BC1008" s="153"/>
      <c r="BD1008" s="151"/>
      <c r="BE1008" s="152"/>
      <c r="BF1008" s="151"/>
      <c r="BG1008" s="94">
        <f>SUM($AV$4:AV1008)</f>
        <v>6785.0742007024683</v>
      </c>
      <c r="BH1008" s="95">
        <f>SUM($AU$4:AU1008)</f>
        <v>41622.903836163023</v>
      </c>
      <c r="BI1008" s="80">
        <f>SUMIFS($AU$3:AU1011,$Q$3:Q1011,"F")</f>
        <v>27318.758121878131</v>
      </c>
      <c r="BJ1008" s="80">
        <f>SUMIFS($AU$3:AU1009,$Q$3:Q1009,"S")</f>
        <v>18242.285714285717</v>
      </c>
      <c r="BK1008" s="87">
        <f>SUMIFS($AU$3:AU1011,$P$3:P1011,"W")</f>
        <v>14949.423836163445</v>
      </c>
      <c r="BL1008" s="87">
        <f>SUMIFS($AU$3:AU1011,$P$3:P1011,"R")</f>
        <v>20366.800000000327</v>
      </c>
      <c r="BM1008" s="87">
        <f>SUMIFS($AU$3:AU1011,$AQ$3:AQ1011,"M")</f>
        <v>9867.179999998385</v>
      </c>
      <c r="BN1008" s="87">
        <f>SUMIFS($AU$3:AU1011,$AQ$3:AQ1011,"H")</f>
        <v>13051.200000000877</v>
      </c>
      <c r="BO1008" s="87">
        <f>SUMIFS($AU$3:AU1011,$AQ$3:AQ1011,"D")</f>
        <v>6331.5774725271795</v>
      </c>
      <c r="BP1008" s="87">
        <f>SUMIFS($AS$3:AS1316,$AO$3:AO1316,"W")</f>
        <v>0</v>
      </c>
      <c r="BQ1008" s="87">
        <f>SUMIFS($AU$3:AU1011,$Q$3:Q1011,"O")</f>
        <v>-9366.1400000007852</v>
      </c>
      <c r="BR1008" s="87">
        <f>SUMIFS($AU$3:AU1011,$AA$3:AA1011,"*")</f>
        <v>35060.002077921221</v>
      </c>
      <c r="BS1008" s="87">
        <f>SUMIFS($AU$3:AU1011,$AB$3:AB1011,"*")</f>
        <v>7005.8599999997941</v>
      </c>
      <c r="BT1008" s="87">
        <f>SUMIFS($AU$3:AU1011,$AC$3:AC1011,"*")</f>
        <v>28480.358121878122</v>
      </c>
      <c r="BU1008" s="87">
        <f>SUMIFS($AU$3:AU1011,$AA$3:AA1011,"*",$AB$3:AB1011,"*")</f>
        <v>7301.9999999995771</v>
      </c>
      <c r="BV1008" s="87">
        <f>SUMIFS($AU$3:AU1011,$AA$3:AA1011,"*",$AC$3:AC1011,"*")</f>
        <v>26461.316363636532</v>
      </c>
      <c r="BW1008" s="87">
        <f>SUMIFS($AU$3:AU1011,$AB$3:AB1011,"*",$AC$3:AC1011,"*")</f>
        <v>3739.199999999998</v>
      </c>
      <c r="BX1008" s="87">
        <f>SUMIFS($AV$3:AV1011,$Q$3:Q1011,"F")</f>
        <v>341.34537697889471</v>
      </c>
      <c r="BY1008" s="87">
        <f>SUMIFS($AV$3:AV1011,$Q$3:Q1011,"S")</f>
        <v>658.42952372390937</v>
      </c>
      <c r="BZ1008" s="87">
        <f>SUMIFS($AV$3:AV1011,$Q$3:Q1011,"O")</f>
        <v>569.29929999965555</v>
      </c>
    </row>
    <row r="1009" spans="1:78" ht="15.75" customHeight="1">
      <c r="A1009" s="45" t="s">
        <v>3006</v>
      </c>
      <c r="B1009" s="59">
        <v>45506</v>
      </c>
      <c r="C1009" s="46" t="s">
        <v>2128</v>
      </c>
      <c r="D1009" s="46" t="s">
        <v>115</v>
      </c>
      <c r="E1009" s="66"/>
      <c r="F1009" s="47"/>
      <c r="G1009" s="155" t="s">
        <v>2694</v>
      </c>
      <c r="H1009" s="49"/>
      <c r="I1009" s="49"/>
      <c r="J1009" s="49"/>
      <c r="K1009" s="50"/>
      <c r="L1009" s="49"/>
      <c r="M1009" s="49">
        <v>1</v>
      </c>
      <c r="N1009" s="49"/>
      <c r="O1009" s="50" t="s">
        <v>100</v>
      </c>
      <c r="P1009" s="50" t="s">
        <v>126</v>
      </c>
      <c r="Q1009" s="50" t="s">
        <v>102</v>
      </c>
      <c r="R1009" s="50">
        <v>18</v>
      </c>
      <c r="S1009" s="50">
        <v>0</v>
      </c>
      <c r="T1009" s="50">
        <v>18</v>
      </c>
      <c r="U1009" s="50" t="s">
        <v>102</v>
      </c>
      <c r="V1009" s="50" t="s">
        <v>2898</v>
      </c>
      <c r="W1009" s="50" t="s">
        <v>22</v>
      </c>
      <c r="X1009" s="50" t="s">
        <v>3002</v>
      </c>
      <c r="Y1009" s="51">
        <f t="shared" si="414"/>
        <v>0.01</v>
      </c>
      <c r="Z1009" s="52">
        <f t="shared" si="415"/>
        <v>1600</v>
      </c>
      <c r="AA1009" s="52" t="s">
        <v>3029</v>
      </c>
      <c r="AB1009" s="52"/>
      <c r="AC1009" s="52"/>
      <c r="AD1009" s="231">
        <v>-0.11</v>
      </c>
      <c r="AE1009" s="49"/>
      <c r="AF1009" s="84"/>
      <c r="AG1009" s="49"/>
      <c r="AH1009" s="49"/>
      <c r="AI1009" s="49"/>
      <c r="AJ1009" s="226"/>
      <c r="AK1009" s="49"/>
      <c r="AL1009" s="113">
        <f t="shared" si="416"/>
        <v>-32</v>
      </c>
      <c r="AM1009" s="113">
        <f t="shared" si="410"/>
        <v>-576</v>
      </c>
      <c r="AN1009" s="218"/>
      <c r="AO1009" s="49"/>
      <c r="AP1009" s="49" t="s">
        <v>279</v>
      </c>
      <c r="AQ1009" s="84" t="s">
        <v>155</v>
      </c>
      <c r="AR1009" s="49"/>
      <c r="AS1009" s="55">
        <v>-0.08</v>
      </c>
      <c r="AT1009" s="55">
        <f t="shared" si="411"/>
        <v>-0.03</v>
      </c>
      <c r="AU1009" s="54">
        <f t="shared" si="412"/>
        <v>-864</v>
      </c>
      <c r="AV1009" s="56">
        <f t="shared" si="417"/>
        <v>-48</v>
      </c>
      <c r="AW1009" s="57" t="s">
        <v>121</v>
      </c>
      <c r="AX1009" s="151" t="s">
        <v>3030</v>
      </c>
      <c r="AY1009" s="151"/>
      <c r="AZ1009" s="151"/>
      <c r="BA1009" s="151"/>
      <c r="BB1009" s="151"/>
      <c r="BC1009" s="153"/>
      <c r="BD1009" s="151"/>
      <c r="BE1009" s="152"/>
      <c r="BF1009" s="151"/>
      <c r="BG1009" s="94">
        <f>SUM($AV$4:AV1009)</f>
        <v>6737.0742007024683</v>
      </c>
      <c r="BH1009" s="95">
        <f>SUM($AU$4:AU1009)</f>
        <v>40758.903836163023</v>
      </c>
      <c r="BI1009" s="80">
        <f>SUMIFS($AU$3:AU1090,$Q$3:Q1090,"F")</f>
        <v>27302.758121878131</v>
      </c>
      <c r="BJ1009" s="80">
        <f>SUMIFS($AU$3:AU1010,$Q$3:Q1010,"S")</f>
        <v>15682.285714285717</v>
      </c>
      <c r="BK1009" s="87">
        <f>SUMIFS($AU$3:AU1090,$P$3:P1090,"W")</f>
        <v>14725.423836163412</v>
      </c>
      <c r="BL1009" s="87">
        <f>SUMIFS($AU$3:AU1090,$P$3:P1090,"R")</f>
        <v>20606.800000000316</v>
      </c>
      <c r="BM1009" s="87">
        <f>SUMIFS($AU$3:AU1090,$AQ$3:AQ1090,"M")</f>
        <v>9430.1799999983141</v>
      </c>
      <c r="BN1009" s="87">
        <f>SUMIFS($AU$3:AU1090,$AQ$3:AQ1090,"H")</f>
        <v>13147.200000000877</v>
      </c>
      <c r="BO1009" s="87">
        <f>SUMIFS($AU$3:AU1090,$AQ$3:AQ1090,"D")</f>
        <v>7291.5774725271494</v>
      </c>
      <c r="BP1009" s="87">
        <f>SUMIFS($AS$3:AS1317,$AO$3:AO1317,"W")</f>
        <v>0</v>
      </c>
      <c r="BQ1009" s="87">
        <f>SUMIFS($AU$3:AU1090,$Q$3:Q1090,"O")</f>
        <v>-9935.1400000008871</v>
      </c>
      <c r="BR1009" s="87">
        <f>SUMIFS($AU$3:AU1090,$AA$3:AA1090,"*")</f>
        <v>34559.002077921141</v>
      </c>
      <c r="BS1009" s="87">
        <f>SUMIFS($AU$3:AU1090,$AB$3:AB1090,"*")</f>
        <v>7433.8599999997632</v>
      </c>
      <c r="BT1009" s="87">
        <f>SUMIFS($AU$3:AU1090,$AC$3:AC1090,"*")</f>
        <v>28192.358121878111</v>
      </c>
      <c r="BU1009" s="87">
        <f>SUMIFS($AU$3:AU1090,$AA$3:AA1090,"*",$AB$3:AB1090,"*")</f>
        <v>7493.9999999995462</v>
      </c>
      <c r="BV1009" s="87">
        <f>SUMIFS($AU$3:AU1090,$AA$3:AA1090,"*",$AC$3:AC1090,"*")</f>
        <v>25997.316363636532</v>
      </c>
      <c r="BW1009" s="87">
        <f>SUMIFS($AU$3:AU1090,$AB$3:AB1090,"*",$AC$3:AC1090,"*")</f>
        <v>3851.199999999998</v>
      </c>
      <c r="BX1009" s="87">
        <f>SUMIFS($AV$3:AV1090,$Q$3:Q1090,"F")</f>
        <v>369.34537697889471</v>
      </c>
      <c r="BY1009" s="87">
        <f>SUMIFS($AV$3:AV1090,$Q$3:Q1090,"S")</f>
        <v>676.67714277152845</v>
      </c>
      <c r="BZ1009" s="87">
        <f>SUMIFS($AV$3:AV1090,$Q$3:Q1090,"O")</f>
        <v>326.96596666624367</v>
      </c>
    </row>
    <row r="1010" spans="1:78" ht="15.75" customHeight="1">
      <c r="A1010" s="45" t="s">
        <v>3006</v>
      </c>
      <c r="B1010" s="59">
        <v>45506</v>
      </c>
      <c r="C1010" s="46" t="s">
        <v>2852</v>
      </c>
      <c r="D1010" s="46" t="s">
        <v>115</v>
      </c>
      <c r="E1010" s="66"/>
      <c r="F1010" s="47"/>
      <c r="G1010" s="155" t="s">
        <v>3031</v>
      </c>
      <c r="H1010" s="49"/>
      <c r="I1010" s="49"/>
      <c r="J1010" s="49"/>
      <c r="K1010" s="50"/>
      <c r="L1010" s="49"/>
      <c r="M1010" s="49">
        <v>1</v>
      </c>
      <c r="N1010" s="49"/>
      <c r="O1010" s="50" t="s">
        <v>100</v>
      </c>
      <c r="P1010" s="50" t="s">
        <v>126</v>
      </c>
      <c r="Q1010" s="50" t="s">
        <v>102</v>
      </c>
      <c r="R1010" s="50">
        <v>32</v>
      </c>
      <c r="S1010" s="50">
        <v>0</v>
      </c>
      <c r="T1010" s="50">
        <v>32</v>
      </c>
      <c r="U1010" s="50" t="s">
        <v>102</v>
      </c>
      <c r="V1010" s="50" t="s">
        <v>2898</v>
      </c>
      <c r="W1010" s="50" t="s">
        <v>155</v>
      </c>
      <c r="X1010" s="50" t="s">
        <v>3026</v>
      </c>
      <c r="Y1010" s="51">
        <f t="shared" si="414"/>
        <v>0.01</v>
      </c>
      <c r="Z1010" s="52">
        <f t="shared" si="415"/>
        <v>1600</v>
      </c>
      <c r="AA1010" s="52" t="s">
        <v>925</v>
      </c>
      <c r="AB1010" s="52"/>
      <c r="AC1010" s="52" t="s">
        <v>3032</v>
      </c>
      <c r="AD1010" s="231">
        <v>-0.17</v>
      </c>
      <c r="AE1010" s="49"/>
      <c r="AF1010" s="84"/>
      <c r="AG1010" s="49"/>
      <c r="AH1010" s="49"/>
      <c r="AI1010" s="49"/>
      <c r="AJ1010" s="226"/>
      <c r="AK1010" s="49"/>
      <c r="AL1010" s="113">
        <f t="shared" si="416"/>
        <v>-32</v>
      </c>
      <c r="AM1010" s="113">
        <f t="shared" si="410"/>
        <v>-1024</v>
      </c>
      <c r="AN1010" s="218"/>
      <c r="AO1010" s="49"/>
      <c r="AP1010" s="49"/>
      <c r="AQ1010" s="84" t="s">
        <v>155</v>
      </c>
      <c r="AR1010" s="49"/>
      <c r="AS1010" s="55">
        <v>-0.12</v>
      </c>
      <c r="AT1010" s="55">
        <f t="shared" si="411"/>
        <v>-5.0000000000000017E-2</v>
      </c>
      <c r="AU1010" s="54">
        <f t="shared" si="412"/>
        <v>-2560.0000000000009</v>
      </c>
      <c r="AV1010" s="56">
        <f t="shared" si="417"/>
        <v>-80.000000000000028</v>
      </c>
      <c r="AW1010" s="57" t="s">
        <v>121</v>
      </c>
      <c r="AX1010" s="151" t="s">
        <v>3033</v>
      </c>
      <c r="AY1010" s="151"/>
      <c r="AZ1010" s="151"/>
      <c r="BA1010" s="151"/>
      <c r="BB1010" s="151"/>
      <c r="BC1010" s="153"/>
      <c r="BD1010" s="151"/>
      <c r="BE1010" s="152"/>
      <c r="BF1010" s="151"/>
      <c r="BG1010" s="94">
        <f>SUM($AV$4:AV1010)</f>
        <v>6657.0742007024683</v>
      </c>
      <c r="BH1010" s="95">
        <f>SUM($AU$4:AU1010)</f>
        <v>38198.903836163023</v>
      </c>
      <c r="BI1010" s="80">
        <f>SUMIFS($AU$3:AU1091,$Q$3:Q1091,"F")</f>
        <v>27302.758121878131</v>
      </c>
      <c r="BJ1010" s="80">
        <f>SUMIFS($AU$3:AU1011,$Q$3:Q1011,"S")</f>
        <v>15682.285714285717</v>
      </c>
      <c r="BK1010" s="87">
        <f>SUMIFS($AU$3:AU1091,$P$3:P1091,"W")</f>
        <v>14725.423836163412</v>
      </c>
      <c r="BL1010" s="87">
        <f>SUMIFS($AU$3:AU1091,$P$3:P1091,"R")</f>
        <v>20606.800000000316</v>
      </c>
      <c r="BM1010" s="87">
        <f>SUMIFS($AU$3:AU1091,$AQ$3:AQ1091,"M")</f>
        <v>9430.1799999983141</v>
      </c>
      <c r="BN1010" s="87">
        <f>SUMIFS($AU$3:AU1091,$AQ$3:AQ1091,"H")</f>
        <v>13147.200000000877</v>
      </c>
      <c r="BO1010" s="87">
        <f>SUMIFS($AU$3:AU1091,$AQ$3:AQ1091,"D")</f>
        <v>7291.5774725271494</v>
      </c>
      <c r="BP1010" s="87">
        <f>SUMIFS($AS$3:AS1318,$AO$3:AO1318,"W")</f>
        <v>0</v>
      </c>
      <c r="BQ1010" s="87">
        <f>SUMIFS($AU$3:AU1091,$Q$3:Q1091,"O")</f>
        <v>-9935.1400000008871</v>
      </c>
      <c r="BR1010" s="87">
        <f>SUMIFS($AU$3:AU1091,$AA$3:AA1091,"*")</f>
        <v>34559.002077921141</v>
      </c>
      <c r="BS1010" s="87">
        <f>SUMIFS($AU$3:AU1091,$AB$3:AB1091,"*")</f>
        <v>7433.8599999997632</v>
      </c>
      <c r="BT1010" s="87">
        <f>SUMIFS($AU$3:AU1091,$AC$3:AC1091,"*")</f>
        <v>28192.358121878111</v>
      </c>
      <c r="BU1010" s="87">
        <f>SUMIFS($AU$3:AU1091,$AA$3:AA1091,"*",$AB$3:AB1091,"*")</f>
        <v>7493.9999999995462</v>
      </c>
      <c r="BV1010" s="87">
        <f>SUMIFS($AU$3:AU1091,$AA$3:AA1091,"*",$AC$3:AC1091,"*")</f>
        <v>25997.316363636532</v>
      </c>
      <c r="BW1010" s="87">
        <f>SUMIFS($AU$3:AU1091,$AB$3:AB1091,"*",$AC$3:AC1091,"*")</f>
        <v>3851.199999999998</v>
      </c>
      <c r="BX1010" s="87">
        <f>SUMIFS($AV$3:AV1091,$Q$3:Q1091,"F")</f>
        <v>369.34537697889471</v>
      </c>
      <c r="BY1010" s="87">
        <f>SUMIFS($AV$3:AV1091,$Q$3:Q1091,"S")</f>
        <v>676.67714277152845</v>
      </c>
      <c r="BZ1010" s="87">
        <f>SUMIFS($AV$3:AV1091,$Q$3:Q1091,"O")</f>
        <v>326.96596666624367</v>
      </c>
    </row>
    <row r="1011" spans="1:78" ht="15.75" customHeight="1">
      <c r="A1011" s="45" t="s">
        <v>3000</v>
      </c>
      <c r="B1011" s="59">
        <v>45506</v>
      </c>
      <c r="C1011" s="46" t="s">
        <v>2852</v>
      </c>
      <c r="D1011" s="46" t="s">
        <v>115</v>
      </c>
      <c r="E1011" s="66"/>
      <c r="F1011" s="47"/>
      <c r="G1011" s="155" t="s">
        <v>2712</v>
      </c>
      <c r="H1011" s="49"/>
      <c r="I1011" s="49"/>
      <c r="J1011" s="49"/>
      <c r="K1011" s="50"/>
      <c r="L1011" s="49"/>
      <c r="M1011" s="49">
        <v>1</v>
      </c>
      <c r="N1011" s="49"/>
      <c r="O1011" s="50" t="s">
        <v>100</v>
      </c>
      <c r="P1011" s="50" t="s">
        <v>101</v>
      </c>
      <c r="Q1011" s="50" t="s">
        <v>102</v>
      </c>
      <c r="R1011" s="50">
        <v>16</v>
      </c>
      <c r="S1011" s="50">
        <v>0</v>
      </c>
      <c r="T1011" s="50">
        <v>16</v>
      </c>
      <c r="U1011" s="50" t="s">
        <v>102</v>
      </c>
      <c r="V1011" s="50" t="s">
        <v>2898</v>
      </c>
      <c r="W1011" s="50" t="s">
        <v>155</v>
      </c>
      <c r="X1011" s="50"/>
      <c r="Y1011" s="51">
        <f t="shared" si="414"/>
        <v>0.01</v>
      </c>
      <c r="Z1011" s="52">
        <f t="shared" si="415"/>
        <v>1600</v>
      </c>
      <c r="AA1011" s="52" t="s">
        <v>925</v>
      </c>
      <c r="AB1011" s="52"/>
      <c r="AC1011" s="52"/>
      <c r="AD1011" s="231">
        <v>-0.22</v>
      </c>
      <c r="AE1011" s="49"/>
      <c r="AF1011" s="84"/>
      <c r="AG1011" s="49"/>
      <c r="AH1011" s="49"/>
      <c r="AI1011" s="49"/>
      <c r="AJ1011" s="226"/>
      <c r="AK1011" s="49"/>
      <c r="AL1011" s="113">
        <f t="shared" si="416"/>
        <v>-32</v>
      </c>
      <c r="AM1011" s="113">
        <f t="shared" si="410"/>
        <v>-512</v>
      </c>
      <c r="AN1011" s="218"/>
      <c r="AO1011" s="49"/>
      <c r="AP1011" s="49"/>
      <c r="AQ1011" s="84" t="s">
        <v>155</v>
      </c>
      <c r="AR1011" s="49"/>
      <c r="AS1011" s="55">
        <v>-0.22</v>
      </c>
      <c r="AT1011" s="55">
        <f t="shared" si="411"/>
        <v>0</v>
      </c>
      <c r="AU1011" s="54">
        <f t="shared" si="412"/>
        <v>0</v>
      </c>
      <c r="AV1011" s="56">
        <f t="shared" si="417"/>
        <v>0</v>
      </c>
      <c r="AW1011" s="57" t="s">
        <v>155</v>
      </c>
      <c r="AX1011" s="151"/>
      <c r="AY1011" s="151"/>
      <c r="AZ1011" s="151"/>
      <c r="BA1011" s="151"/>
      <c r="BB1011" s="151"/>
      <c r="BC1011" s="153"/>
      <c r="BD1011" s="151"/>
      <c r="BE1011" s="152"/>
      <c r="BF1011" s="151"/>
      <c r="BG1011" s="94">
        <f>SUM($AV$4:AV1011)</f>
        <v>6657.0742007024683</v>
      </c>
      <c r="BH1011" s="95">
        <f>SUM($AU$4:AU1011)</f>
        <v>38198.903836163023</v>
      </c>
      <c r="BI1011" s="80">
        <f>SUMIFS($AU$3:AU1092,$Q$3:Q1092,"F")</f>
        <v>27302.758121878131</v>
      </c>
      <c r="BJ1011" s="80">
        <f>SUMIFS($AU$3:AU1012,$Q$3:Q1012,"S")</f>
        <v>15874.285714285717</v>
      </c>
      <c r="BK1011" s="87">
        <f>SUMIFS($AU$3:AU1092,$P$3:P1092,"W")</f>
        <v>14725.423836163412</v>
      </c>
      <c r="BL1011" s="87">
        <f>SUMIFS($AU$3:AU1092,$P$3:P1092,"R")</f>
        <v>20606.800000000316</v>
      </c>
      <c r="BM1011" s="87">
        <f>SUMIFS($AU$3:AU1092,$AQ$3:AQ1092,"M")</f>
        <v>9430.1799999983141</v>
      </c>
      <c r="BN1011" s="87">
        <f>SUMIFS($AU$3:AU1092,$AQ$3:AQ1092,"H")</f>
        <v>13147.200000000877</v>
      </c>
      <c r="BO1011" s="87">
        <f>SUMIFS($AU$3:AU1092,$AQ$3:AQ1092,"D")</f>
        <v>7291.5774725271494</v>
      </c>
      <c r="BP1011" s="87">
        <f>SUMIFS($AS$3:AS1319,$AO$3:AO1319,"W")</f>
        <v>0</v>
      </c>
      <c r="BQ1011" s="87">
        <f>SUMIFS($AU$3:AU1092,$Q$3:Q1092,"O")</f>
        <v>-9935.1400000008871</v>
      </c>
      <c r="BR1011" s="87">
        <f>SUMIFS($AU$3:AU1092,$AA$3:AA1092,"*")</f>
        <v>34559.002077921141</v>
      </c>
      <c r="BS1011" s="87">
        <f>SUMIFS($AU$3:AU1092,$AB$3:AB1092,"*")</f>
        <v>7433.8599999997632</v>
      </c>
      <c r="BT1011" s="87">
        <f>SUMIFS($AU$3:AU1092,$AC$3:AC1092,"*")</f>
        <v>28192.358121878111</v>
      </c>
      <c r="BU1011" s="87">
        <f>SUMIFS($AU$3:AU1092,$AA$3:AA1092,"*",$AB$3:AB1092,"*")</f>
        <v>7493.9999999995462</v>
      </c>
      <c r="BV1011" s="87">
        <f>SUMIFS($AU$3:AU1092,$AA$3:AA1092,"*",$AC$3:AC1092,"*")</f>
        <v>25997.316363636532</v>
      </c>
      <c r="BW1011" s="87">
        <f>SUMIFS($AU$3:AU1092,$AB$3:AB1092,"*",$AC$3:AC1092,"*")</f>
        <v>3851.199999999998</v>
      </c>
      <c r="BX1011" s="87">
        <f>SUMIFS($AV$3:AV1092,$Q$3:Q1092,"F")</f>
        <v>369.34537697889471</v>
      </c>
      <c r="BY1011" s="87">
        <f>SUMIFS($AV$3:AV1092,$Q$3:Q1092,"S")</f>
        <v>676.67714277152845</v>
      </c>
      <c r="BZ1011" s="87">
        <f>SUMIFS($AV$3:AV1092,$Q$3:Q1092,"O")</f>
        <v>326.96596666624367</v>
      </c>
    </row>
    <row r="1012" spans="1:78" ht="15.75" customHeight="1">
      <c r="A1012" s="45" t="s">
        <v>3000</v>
      </c>
      <c r="B1012" s="59">
        <v>45506</v>
      </c>
      <c r="C1012" s="46" t="s">
        <v>3034</v>
      </c>
      <c r="D1012" s="46" t="s">
        <v>115</v>
      </c>
      <c r="E1012" s="66"/>
      <c r="F1012" s="47"/>
      <c r="G1012" s="155" t="s">
        <v>2688</v>
      </c>
      <c r="H1012" s="49"/>
      <c r="I1012" s="49"/>
      <c r="J1012" s="49"/>
      <c r="K1012" s="50"/>
      <c r="L1012" s="49"/>
      <c r="M1012" s="49">
        <v>1</v>
      </c>
      <c r="N1012" s="49"/>
      <c r="O1012" s="50" t="s">
        <v>100</v>
      </c>
      <c r="P1012" s="50" t="s">
        <v>101</v>
      </c>
      <c r="Q1012" s="50" t="s">
        <v>102</v>
      </c>
      <c r="R1012" s="50">
        <v>12</v>
      </c>
      <c r="S1012" s="50">
        <v>0</v>
      </c>
      <c r="T1012" s="50">
        <v>12</v>
      </c>
      <c r="U1012" s="50" t="s">
        <v>102</v>
      </c>
      <c r="V1012" s="50" t="s">
        <v>2898</v>
      </c>
      <c r="W1012" s="50" t="s">
        <v>22</v>
      </c>
      <c r="X1012" s="50" t="s">
        <v>3035</v>
      </c>
      <c r="Y1012" s="51">
        <f t="shared" si="414"/>
        <v>0.01</v>
      </c>
      <c r="Z1012" s="52">
        <f t="shared" si="415"/>
        <v>1600</v>
      </c>
      <c r="AA1012" s="52" t="s">
        <v>3036</v>
      </c>
      <c r="AB1012" s="52"/>
      <c r="AC1012" s="52"/>
      <c r="AD1012" s="231">
        <v>-0.32</v>
      </c>
      <c r="AE1012" s="49"/>
      <c r="AF1012" s="84"/>
      <c r="AG1012" s="49"/>
      <c r="AH1012" s="49"/>
      <c r="AI1012" s="49"/>
      <c r="AJ1012" s="226"/>
      <c r="AK1012" s="49"/>
      <c r="AL1012" s="113">
        <f t="shared" ref="AL1012:AL1019" si="418">-0.02*Z1012</f>
        <v>-32</v>
      </c>
      <c r="AM1012" s="113">
        <f t="shared" ref="AM1012:AM1019" si="419">AL1012*(R1012-S1012)</f>
        <v>-384</v>
      </c>
      <c r="AN1012" s="218"/>
      <c r="AO1012" s="49"/>
      <c r="AP1012" s="49" t="s">
        <v>279</v>
      </c>
      <c r="AQ1012" s="84" t="s">
        <v>155</v>
      </c>
      <c r="AR1012" s="49" t="s">
        <v>3012</v>
      </c>
      <c r="AS1012" s="55">
        <v>-0.33</v>
      </c>
      <c r="AT1012" s="55">
        <f t="shared" ref="AT1012:AT1019" si="420">IF(ISBLANK(AS1012),,IF(U1012="S",AD1012-AS1012,AS1012-AD1012))</f>
        <v>1.0000000000000009E-2</v>
      </c>
      <c r="AU1012" s="54">
        <f t="shared" ref="AU1012:AU1019" si="421">AV1012*R1012</f>
        <v>192.00000000000017</v>
      </c>
      <c r="AV1012" s="56">
        <f t="shared" ref="AV1012:AV1019" si="422">IF(ISBLANK(AS1012),,(AT1012*Z1012))</f>
        <v>16.000000000000014</v>
      </c>
      <c r="AW1012" s="57" t="s">
        <v>101</v>
      </c>
      <c r="AX1012" s="151" t="s">
        <v>1588</v>
      </c>
      <c r="AY1012" s="151"/>
      <c r="AZ1012" s="151"/>
      <c r="BA1012" s="151"/>
      <c r="BB1012" s="153"/>
      <c r="BC1012" s="153"/>
      <c r="BD1012" s="151"/>
      <c r="BE1012" s="152"/>
      <c r="BF1012" s="151"/>
      <c r="BG1012" s="94">
        <f>SUM($AV$4:AV1012)</f>
        <v>6673.0742007024683</v>
      </c>
      <c r="BH1012" s="95">
        <f>SUM($AU$4:AU1012)</f>
        <v>38390.903836163023</v>
      </c>
      <c r="BI1012" s="80">
        <f>SUMIFS($AU$3:AU1220,$Q$3:Q1220,"F")</f>
        <v>27366.758121878131</v>
      </c>
      <c r="BJ1012" s="80">
        <f>SUMIFS($AU$3:AU1013,$Q$3:Q1013,"S")</f>
        <v>15874.285714285717</v>
      </c>
      <c r="BK1012" s="87">
        <f>SUMIFS($AU$3:AU1220,$P$3:P1220,"W")</f>
        <v>13893.423836163411</v>
      </c>
      <c r="BL1012" s="87">
        <f>SUMIFS($AU$3:AU1220,$P$3:P1220,"R")</f>
        <v>21150.800000000316</v>
      </c>
      <c r="BM1012" s="87">
        <f>SUMIFS($AU$3:AU1220,$AQ$3:AQ1220,"M")</f>
        <v>8785.3799999984803</v>
      </c>
      <c r="BN1012" s="87">
        <f>SUMIFS($AU$3:AU1220,$AQ$3:AQ1220,"H")</f>
        <v>14347.200000000703</v>
      </c>
      <c r="BO1012" s="87">
        <f>SUMIFS($AU$3:AU1220,$AQ$3:AQ1220,"D")</f>
        <v>6043.5774725271904</v>
      </c>
      <c r="BP1012" s="87">
        <f>SUMIFS($AS$3:AS1308,$AO$3:AO1308,"W")</f>
        <v>0</v>
      </c>
      <c r="BQ1012" s="87">
        <f>SUMIFS($AU$3:AU1220,$Q$3:Q1220,"O")</f>
        <v>-10627.940000000801</v>
      </c>
      <c r="BR1012" s="87">
        <f>SUMIFS($AU$3:AU1220,$AA$3:AA1220,"*")</f>
        <v>34522.202077921254</v>
      </c>
      <c r="BS1012" s="87">
        <f>SUMIFS($AU$3:AU1220,$AB$3:AB1220,"*")</f>
        <v>6281.8599999997014</v>
      </c>
      <c r="BT1012" s="87">
        <f>SUMIFS($AU$3:AU1220,$AC$3:AC1220,"*")</f>
        <v>28352.358121878111</v>
      </c>
      <c r="BU1012" s="87">
        <f>SUMIFS($AU$3:AU1220,$AA$3:AA1220,"*",$AB$3:AB1220,"*")</f>
        <v>7349.9999999995116</v>
      </c>
      <c r="BV1012" s="87">
        <f>SUMIFS($AU$3:AU1220,$AA$3:AA1220,"*",$AC$3:AC1220,"*")</f>
        <v>26125.316363636532</v>
      </c>
      <c r="BW1012" s="87">
        <f>SUMIFS($AU$3:AU1220,$AB$3:AB1220,"*",$AC$3:AC1220,"*")</f>
        <v>3595.199999999998</v>
      </c>
      <c r="BX1012" s="87">
        <f>SUMIFS($AV$3:AV1220,$Q$3:Q1220,"F")</f>
        <v>359.49922313274095</v>
      </c>
      <c r="BY1012" s="87">
        <f>SUMIFS($AV$3:AV1220,$Q$3:Q1220,"S")</f>
        <v>647.34380943819531</v>
      </c>
      <c r="BZ1012" s="87">
        <f>SUMIFS($AV$3:AV1220,$Q$3:Q1220,"O")</f>
        <v>134.16596666632353</v>
      </c>
    </row>
    <row r="1013" spans="1:78" ht="15.75" customHeight="1">
      <c r="A1013" s="45" t="s">
        <v>3000</v>
      </c>
      <c r="B1013" s="59">
        <v>45509</v>
      </c>
      <c r="C1013" s="46" t="s">
        <v>2847</v>
      </c>
      <c r="D1013" s="46" t="s">
        <v>176</v>
      </c>
      <c r="E1013" s="66" t="s">
        <v>3037</v>
      </c>
      <c r="F1013" s="47"/>
      <c r="G1013" s="48"/>
      <c r="H1013" s="49"/>
      <c r="I1013" s="49"/>
      <c r="J1013" s="49"/>
      <c r="K1013" s="50"/>
      <c r="L1013" s="49"/>
      <c r="M1013" s="49"/>
      <c r="N1013" s="49"/>
      <c r="O1013" s="50"/>
      <c r="P1013" s="50"/>
      <c r="Q1013" s="50"/>
      <c r="R1013" s="50"/>
      <c r="S1013" s="50"/>
      <c r="T1013" s="50"/>
      <c r="U1013" s="50"/>
      <c r="V1013" s="50"/>
      <c r="W1013" s="50"/>
      <c r="X1013" s="50"/>
      <c r="Y1013" s="50"/>
      <c r="Z1013" s="50"/>
      <c r="AA1013" s="52"/>
      <c r="AB1013" s="52"/>
      <c r="AC1013" s="52"/>
      <c r="AD1013" s="231"/>
      <c r="AE1013" s="49"/>
      <c r="AF1013" s="84"/>
      <c r="AG1013" s="49"/>
      <c r="AH1013" s="49"/>
      <c r="AI1013" s="49"/>
      <c r="AJ1013" s="226"/>
      <c r="AK1013" s="49"/>
      <c r="AL1013" s="113">
        <f t="shared" si="418"/>
        <v>0</v>
      </c>
      <c r="AM1013" s="113">
        <f t="shared" si="419"/>
        <v>0</v>
      </c>
      <c r="AN1013" s="218"/>
      <c r="AO1013" s="49"/>
      <c r="AP1013" s="49"/>
      <c r="AQ1013" s="84" t="str">
        <f>UPPER(RIGHT(Journal_Live[[#This Row],[DURATION ]]))</f>
        <v/>
      </c>
      <c r="AR1013" s="49"/>
      <c r="AS1013" s="55"/>
      <c r="AT1013" s="55">
        <f t="shared" si="420"/>
        <v>0</v>
      </c>
      <c r="AU1013" s="54">
        <f t="shared" si="421"/>
        <v>0</v>
      </c>
      <c r="AV1013" s="56">
        <f t="shared" si="422"/>
        <v>0</v>
      </c>
      <c r="AW1013" s="57"/>
      <c r="AX1013" s="151" t="s">
        <v>3038</v>
      </c>
      <c r="AY1013" s="151"/>
      <c r="AZ1013" s="151"/>
      <c r="BA1013" s="151"/>
      <c r="BB1013" s="153"/>
      <c r="BC1013" s="153"/>
      <c r="BD1013" s="151"/>
      <c r="BE1013" s="152"/>
      <c r="BF1013" s="151"/>
      <c r="BG1013" s="94">
        <f>SUM($AV$4:AV1013)</f>
        <v>6673.0742007024683</v>
      </c>
      <c r="BH1013" s="95">
        <f>SUM($AU$4:AU1013)</f>
        <v>38390.903836163023</v>
      </c>
      <c r="BI1013" s="80">
        <f>SUMIFS($AU$3:AU1221,$Q$3:Q1221,"F")</f>
        <v>27366.758121878131</v>
      </c>
      <c r="BJ1013" s="80">
        <f>SUMIFS($AU$3:AU1014,$Q$3:Q1014,"S")</f>
        <v>15874.285714285717</v>
      </c>
      <c r="BK1013" s="87">
        <f>SUMIFS($AU$3:AU1221,$P$3:P1221,"W")</f>
        <v>13893.423836163411</v>
      </c>
      <c r="BL1013" s="87">
        <f>SUMIFS($AU$3:AU1221,$P$3:P1221,"R")</f>
        <v>21150.800000000316</v>
      </c>
      <c r="BM1013" s="87">
        <f>SUMIFS($AU$3:AU1221,$AQ$3:AQ1221,"M")</f>
        <v>8785.3799999984803</v>
      </c>
      <c r="BN1013" s="87">
        <f>SUMIFS($AU$3:AU1221,$AQ$3:AQ1221,"H")</f>
        <v>14347.200000000703</v>
      </c>
      <c r="BO1013" s="87">
        <f>SUMIFS($AU$3:AU1221,$AQ$3:AQ1221,"D")</f>
        <v>6043.5774725271904</v>
      </c>
      <c r="BP1013" s="87">
        <f>SUMIFS($AS$3:AS1309,$AO$3:AO1309,"W")</f>
        <v>0</v>
      </c>
      <c r="BQ1013" s="87">
        <f>SUMIFS($AU$3:AU1221,$Q$3:Q1221,"O")</f>
        <v>-10627.940000000801</v>
      </c>
      <c r="BR1013" s="87">
        <f>SUMIFS($AU$3:AU1221,$AA$3:AA1221,"*")</f>
        <v>34522.202077921254</v>
      </c>
      <c r="BS1013" s="87">
        <f>SUMIFS($AU$3:AU1221,$AB$3:AB1221,"*")</f>
        <v>6281.8599999997014</v>
      </c>
      <c r="BT1013" s="87">
        <f>SUMIFS($AU$3:AU1221,$AC$3:AC1221,"*")</f>
        <v>28352.358121878111</v>
      </c>
      <c r="BU1013" s="87">
        <f>SUMIFS($AU$3:AU1221,$AA$3:AA1221,"*",$AB$3:AB1221,"*")</f>
        <v>7349.9999999995116</v>
      </c>
      <c r="BV1013" s="87">
        <f>SUMIFS($AU$3:AU1221,$AA$3:AA1221,"*",$AC$3:AC1221,"*")</f>
        <v>26125.316363636532</v>
      </c>
      <c r="BW1013" s="87">
        <f>SUMIFS($AU$3:AU1221,$AB$3:AB1221,"*",$AC$3:AC1221,"*")</f>
        <v>3595.199999999998</v>
      </c>
      <c r="BX1013" s="87">
        <f>SUMIFS($AV$3:AV1221,$Q$3:Q1221,"F")</f>
        <v>359.49922313274095</v>
      </c>
      <c r="BY1013" s="87">
        <f>SUMIFS($AV$3:AV1221,$Q$3:Q1221,"S")</f>
        <v>647.34380943819531</v>
      </c>
      <c r="BZ1013" s="87">
        <f>SUMIFS($AV$3:AV1221,$Q$3:Q1221,"O")</f>
        <v>134.16596666632353</v>
      </c>
    </row>
    <row r="1014" spans="1:78" ht="15.75" customHeight="1">
      <c r="A1014" s="45" t="s">
        <v>3006</v>
      </c>
      <c r="B1014" s="59">
        <v>45509</v>
      </c>
      <c r="C1014" s="46" t="s">
        <v>2847</v>
      </c>
      <c r="D1014" s="46" t="s">
        <v>176</v>
      </c>
      <c r="E1014" s="66"/>
      <c r="F1014" s="47"/>
      <c r="G1014" s="155" t="s">
        <v>3039</v>
      </c>
      <c r="H1014" s="49"/>
      <c r="I1014" s="49"/>
      <c r="J1014" s="49"/>
      <c r="K1014" s="50"/>
      <c r="L1014" s="49">
        <v>1</v>
      </c>
      <c r="M1014" s="49"/>
      <c r="N1014" s="49"/>
      <c r="O1014" s="50" t="s">
        <v>100</v>
      </c>
      <c r="P1014" s="50" t="s">
        <v>101</v>
      </c>
      <c r="Q1014" s="50" t="s">
        <v>127</v>
      </c>
      <c r="R1014" s="50">
        <v>4</v>
      </c>
      <c r="S1014" s="50">
        <v>0</v>
      </c>
      <c r="T1014" s="50">
        <v>4</v>
      </c>
      <c r="U1014" s="50" t="s">
        <v>22</v>
      </c>
      <c r="V1014" s="50" t="s">
        <v>2898</v>
      </c>
      <c r="W1014" s="50" t="s">
        <v>22</v>
      </c>
      <c r="X1014" s="50" t="s">
        <v>3009</v>
      </c>
      <c r="Y1014" s="51">
        <f>IF(ISBLANK(O1014),"",(IF(O1014=UPPER("IB"),0.005,0.01)))</f>
        <v>0.01</v>
      </c>
      <c r="Z1014" s="52">
        <f>IF(ISBLANK(O1014),"",IF(O1014="IB",8.63*200,IF(O1014="IR",16*100,IF(O1014="YT",20*100,IF(O1014="YT-XT",24*200,IF(O1014="TED",80*100,IF(O1014="XT",29*200)))))))</f>
        <v>1600</v>
      </c>
      <c r="AA1014" s="52" t="s">
        <v>3010</v>
      </c>
      <c r="AB1014" s="52"/>
      <c r="AC1014" s="52"/>
      <c r="AD1014" s="231">
        <v>-0.05</v>
      </c>
      <c r="AE1014" s="49"/>
      <c r="AF1014" s="84"/>
      <c r="AG1014" s="49"/>
      <c r="AH1014" s="49"/>
      <c r="AI1014" s="49"/>
      <c r="AJ1014" s="226"/>
      <c r="AK1014" s="49"/>
      <c r="AL1014" s="113">
        <f t="shared" si="418"/>
        <v>-32</v>
      </c>
      <c r="AM1014" s="113">
        <f t="shared" si="419"/>
        <v>-128</v>
      </c>
      <c r="AN1014" s="218"/>
      <c r="AO1014" s="49"/>
      <c r="AP1014" s="49"/>
      <c r="AQ1014" s="84" t="s">
        <v>142</v>
      </c>
      <c r="AR1014" s="49" t="s">
        <v>2928</v>
      </c>
      <c r="AS1014" s="55">
        <v>-0.06</v>
      </c>
      <c r="AT1014" s="55">
        <f t="shared" si="420"/>
        <v>-9.999999999999995E-3</v>
      </c>
      <c r="AU1014" s="54">
        <f t="shared" si="421"/>
        <v>-63.999999999999972</v>
      </c>
      <c r="AV1014" s="56">
        <f t="shared" si="422"/>
        <v>-15.999999999999993</v>
      </c>
      <c r="AW1014" s="57" t="s">
        <v>121</v>
      </c>
      <c r="AX1014" s="151"/>
      <c r="AY1014" s="151"/>
      <c r="AZ1014" s="151"/>
      <c r="BA1014" s="151"/>
      <c r="BB1014" s="153"/>
      <c r="BC1014" s="153"/>
      <c r="BD1014" s="151"/>
      <c r="BE1014" s="152"/>
      <c r="BF1014" s="151"/>
      <c r="BG1014" s="94">
        <f>SUM($AV$4:AV1014)</f>
        <v>6657.0742007024683</v>
      </c>
      <c r="BH1014" s="95">
        <f>SUM($AU$4:AU1014)</f>
        <v>38326.903836163023</v>
      </c>
      <c r="BI1014" s="80">
        <f>SUMIFS($AU$3:AU1222,$Q$3:Q1222,"F")</f>
        <v>27366.758121878131</v>
      </c>
      <c r="BJ1014" s="80">
        <f>SUMIFS($AU$3:AU1015,$Q$3:Q1015,"S")</f>
        <v>15874.285714285717</v>
      </c>
      <c r="BK1014" s="87">
        <f>SUMIFS($AU$3:AU1222,$P$3:P1222,"W")</f>
        <v>13893.423836163411</v>
      </c>
      <c r="BL1014" s="87">
        <f>SUMIFS($AU$3:AU1222,$P$3:P1222,"R")</f>
        <v>21150.800000000316</v>
      </c>
      <c r="BM1014" s="87">
        <f>SUMIFS($AU$3:AU1222,$AQ$3:AQ1222,"M")</f>
        <v>8785.3799999984803</v>
      </c>
      <c r="BN1014" s="87">
        <f>SUMIFS($AU$3:AU1222,$AQ$3:AQ1222,"H")</f>
        <v>14347.200000000703</v>
      </c>
      <c r="BO1014" s="87">
        <f>SUMIFS($AU$3:AU1222,$AQ$3:AQ1222,"D")</f>
        <v>6043.5774725271904</v>
      </c>
      <c r="BP1014" s="87">
        <f>SUMIFS($AS$3:AS1310,$AO$3:AO1310,"W")</f>
        <v>0</v>
      </c>
      <c r="BQ1014" s="87">
        <f>SUMIFS($AU$3:AU1222,$Q$3:Q1222,"O")</f>
        <v>-10627.940000000801</v>
      </c>
      <c r="BR1014" s="87">
        <f>SUMIFS($AU$3:AU1222,$AA$3:AA1222,"*")</f>
        <v>34522.202077921254</v>
      </c>
      <c r="BS1014" s="87">
        <f>SUMIFS($AU$3:AU1222,$AB$3:AB1222,"*")</f>
        <v>6281.8599999997014</v>
      </c>
      <c r="BT1014" s="87">
        <f>SUMIFS($AU$3:AU1222,$AC$3:AC1222,"*")</f>
        <v>28352.358121878111</v>
      </c>
      <c r="BU1014" s="87">
        <f>SUMIFS($AU$3:AU1222,$AA$3:AA1222,"*",$AB$3:AB1222,"*")</f>
        <v>7349.9999999995116</v>
      </c>
      <c r="BV1014" s="87">
        <f>SUMIFS($AU$3:AU1222,$AA$3:AA1222,"*",$AC$3:AC1222,"*")</f>
        <v>26125.316363636532</v>
      </c>
      <c r="BW1014" s="87">
        <f>SUMIFS($AU$3:AU1222,$AB$3:AB1222,"*",$AC$3:AC1222,"*")</f>
        <v>3595.199999999998</v>
      </c>
      <c r="BX1014" s="87">
        <f>SUMIFS($AV$3:AV1222,$Q$3:Q1222,"F")</f>
        <v>359.49922313274095</v>
      </c>
      <c r="BY1014" s="87">
        <f>SUMIFS($AV$3:AV1222,$Q$3:Q1222,"S")</f>
        <v>647.34380943819531</v>
      </c>
      <c r="BZ1014" s="87">
        <f>SUMIFS($AV$3:AV1222,$Q$3:Q1222,"O")</f>
        <v>134.16596666632353</v>
      </c>
    </row>
    <row r="1015" spans="1:78" ht="15.75" customHeight="1">
      <c r="A1015" s="45" t="s">
        <v>3006</v>
      </c>
      <c r="B1015" s="59">
        <v>45509</v>
      </c>
      <c r="C1015" s="46" t="s">
        <v>3040</v>
      </c>
      <c r="D1015" s="46" t="s">
        <v>176</v>
      </c>
      <c r="E1015" s="66"/>
      <c r="F1015" s="47"/>
      <c r="G1015" s="48" t="s">
        <v>1918</v>
      </c>
      <c r="H1015" s="49"/>
      <c r="I1015" s="49"/>
      <c r="J1015" s="49"/>
      <c r="K1015" s="50"/>
      <c r="L1015" s="49">
        <v>1</v>
      </c>
      <c r="M1015" s="49"/>
      <c r="N1015" s="49"/>
      <c r="O1015" s="50" t="s">
        <v>100</v>
      </c>
      <c r="P1015" s="50" t="s">
        <v>126</v>
      </c>
      <c r="Q1015" s="50" t="s">
        <v>198</v>
      </c>
      <c r="R1015" s="50">
        <v>5</v>
      </c>
      <c r="S1015" s="50">
        <v>0</v>
      </c>
      <c r="T1015" s="50">
        <v>5</v>
      </c>
      <c r="U1015" s="50" t="s">
        <v>22</v>
      </c>
      <c r="V1015" s="50" t="s">
        <v>2898</v>
      </c>
      <c r="W1015" s="50" t="s">
        <v>22</v>
      </c>
      <c r="X1015" s="50"/>
      <c r="Y1015" s="51">
        <f>IF(ISBLANK(O1015),"",(IF(O1015=UPPER("IB"),0.005,0.01)))</f>
        <v>0.01</v>
      </c>
      <c r="Z1015" s="52">
        <f>IF(ISBLANK(O1015),"",IF(O1015="IB",8.63*200,IF(O1015="IR",16*100,IF(O1015="YT",20*100,IF(O1015="YT-XT",24*200,IF(O1015="TED",80*100,IF(O1015="XT",29*200)))))))</f>
        <v>1600</v>
      </c>
      <c r="AA1015" s="52"/>
      <c r="AB1015" s="52"/>
      <c r="AC1015" s="52" t="s">
        <v>2673</v>
      </c>
      <c r="AD1015" s="231">
        <v>96.7</v>
      </c>
      <c r="AE1015" s="49"/>
      <c r="AF1015" s="84"/>
      <c r="AG1015" s="49"/>
      <c r="AH1015" s="49"/>
      <c r="AI1015" s="49"/>
      <c r="AJ1015" s="226"/>
      <c r="AK1015" s="49"/>
      <c r="AL1015" s="113">
        <f t="shared" si="418"/>
        <v>-32</v>
      </c>
      <c r="AM1015" s="113">
        <f t="shared" si="419"/>
        <v>-160</v>
      </c>
      <c r="AN1015" s="218"/>
      <c r="AO1015" s="49"/>
      <c r="AP1015" s="49"/>
      <c r="AQ1015" s="84" t="s">
        <v>350</v>
      </c>
      <c r="AR1015" s="49"/>
      <c r="AS1015" s="55">
        <v>96.67</v>
      </c>
      <c r="AT1015" s="55">
        <f t="shared" si="420"/>
        <v>-3.0000000000001137E-2</v>
      </c>
      <c r="AU1015" s="54">
        <f t="shared" si="421"/>
        <v>-240.00000000000909</v>
      </c>
      <c r="AV1015" s="56">
        <f t="shared" si="422"/>
        <v>-48.000000000001819</v>
      </c>
      <c r="AW1015" s="57" t="s">
        <v>121</v>
      </c>
      <c r="AX1015" s="151" t="s">
        <v>3041</v>
      </c>
      <c r="AY1015" s="151"/>
      <c r="AZ1015" s="151"/>
      <c r="BA1015" s="151"/>
      <c r="BB1015" s="153"/>
      <c r="BC1015" s="153"/>
      <c r="BD1015" s="151"/>
      <c r="BE1015" s="152"/>
      <c r="BF1015" s="151"/>
      <c r="BG1015" s="94">
        <f>SUM($AV$4:AV1015)</f>
        <v>6609.0742007024664</v>
      </c>
      <c r="BH1015" s="95">
        <f>SUM($AU$4:AU1015)</f>
        <v>38086.903836163016</v>
      </c>
      <c r="BI1015" s="80">
        <f>SUMIFS($AU$3:AU1223,$Q$3:Q1223,"F")</f>
        <v>27366.758121878131</v>
      </c>
      <c r="BJ1015" s="80">
        <f>SUMIFS($AU$3:AU1016,$Q$3:Q1016,"S")</f>
        <v>15874.285714285717</v>
      </c>
      <c r="BK1015" s="87">
        <f>SUMIFS($AU$3:AU1223,$P$3:P1223,"W")</f>
        <v>13893.423836163411</v>
      </c>
      <c r="BL1015" s="87">
        <f>SUMIFS($AU$3:AU1223,$P$3:P1223,"R")</f>
        <v>21150.800000000316</v>
      </c>
      <c r="BM1015" s="87">
        <f>SUMIFS($AU$3:AU1223,$AQ$3:AQ1223,"M")</f>
        <v>8785.3799999984803</v>
      </c>
      <c r="BN1015" s="87">
        <f>SUMIFS($AU$3:AU1223,$AQ$3:AQ1223,"H")</f>
        <v>14347.200000000703</v>
      </c>
      <c r="BO1015" s="87">
        <f>SUMIFS($AU$3:AU1223,$AQ$3:AQ1223,"D")</f>
        <v>6043.5774725271904</v>
      </c>
      <c r="BP1015" s="87">
        <f>SUMIFS($AS$3:AS1311,$AO$3:AO1311,"W")</f>
        <v>0</v>
      </c>
      <c r="BQ1015" s="87">
        <f>SUMIFS($AU$3:AU1223,$Q$3:Q1223,"O")</f>
        <v>-10627.940000000801</v>
      </c>
      <c r="BR1015" s="87">
        <f>SUMIFS($AU$3:AU1223,$AA$3:AA1223,"*")</f>
        <v>34522.202077921254</v>
      </c>
      <c r="BS1015" s="87">
        <f>SUMIFS($AU$3:AU1223,$AB$3:AB1223,"*")</f>
        <v>6281.8599999997014</v>
      </c>
      <c r="BT1015" s="87">
        <f>SUMIFS($AU$3:AU1223,$AC$3:AC1223,"*")</f>
        <v>28352.358121878111</v>
      </c>
      <c r="BU1015" s="87">
        <f>SUMIFS($AU$3:AU1223,$AA$3:AA1223,"*",$AB$3:AB1223,"*")</f>
        <v>7349.9999999995116</v>
      </c>
      <c r="BV1015" s="87">
        <f>SUMIFS($AU$3:AU1223,$AA$3:AA1223,"*",$AC$3:AC1223,"*")</f>
        <v>26125.316363636532</v>
      </c>
      <c r="BW1015" s="87">
        <f>SUMIFS($AU$3:AU1223,$AB$3:AB1223,"*",$AC$3:AC1223,"*")</f>
        <v>3595.199999999998</v>
      </c>
      <c r="BX1015" s="87">
        <f>SUMIFS($AV$3:AV1223,$Q$3:Q1223,"F")</f>
        <v>359.49922313274095</v>
      </c>
      <c r="BY1015" s="87">
        <f>SUMIFS($AV$3:AV1223,$Q$3:Q1223,"S")</f>
        <v>647.34380943819531</v>
      </c>
      <c r="BZ1015" s="87">
        <f>SUMIFS($AV$3:AV1223,$Q$3:Q1223,"O")</f>
        <v>134.16596666632353</v>
      </c>
    </row>
    <row r="1016" spans="1:78" ht="15.75" customHeight="1">
      <c r="A1016" s="45" t="s">
        <v>3000</v>
      </c>
      <c r="B1016" s="59"/>
      <c r="C1016" s="46"/>
      <c r="D1016" s="46"/>
      <c r="E1016" s="66"/>
      <c r="F1016" s="47"/>
      <c r="G1016" s="48"/>
      <c r="H1016" s="49"/>
      <c r="I1016" s="49"/>
      <c r="J1016" s="49"/>
      <c r="K1016" s="50"/>
      <c r="L1016" s="49"/>
      <c r="M1016" s="49"/>
      <c r="N1016" s="49"/>
      <c r="O1016" s="50"/>
      <c r="P1016" s="50"/>
      <c r="Q1016" s="50"/>
      <c r="R1016" s="50"/>
      <c r="S1016" s="50"/>
      <c r="T1016" s="50"/>
      <c r="U1016" s="50"/>
      <c r="V1016" s="50"/>
      <c r="W1016" s="50"/>
      <c r="X1016" s="50"/>
      <c r="Y1016" s="50"/>
      <c r="Z1016" s="50"/>
      <c r="AA1016" s="52"/>
      <c r="AB1016" s="52"/>
      <c r="AC1016" s="52"/>
      <c r="AD1016" s="231"/>
      <c r="AE1016" s="49"/>
      <c r="AF1016" s="84"/>
      <c r="AG1016" s="49"/>
      <c r="AH1016" s="49"/>
      <c r="AI1016" s="49"/>
      <c r="AJ1016" s="226"/>
      <c r="AK1016" s="49"/>
      <c r="AL1016" s="113">
        <f t="shared" si="418"/>
        <v>0</v>
      </c>
      <c r="AM1016" s="113">
        <f t="shared" si="419"/>
        <v>0</v>
      </c>
      <c r="AN1016" s="218"/>
      <c r="AO1016" s="49"/>
      <c r="AP1016" s="49"/>
      <c r="AQ1016" s="84" t="str">
        <f>UPPER(RIGHT(Journal_Live[[#This Row],[DURATION ]]))</f>
        <v/>
      </c>
      <c r="AR1016" s="49"/>
      <c r="AS1016" s="55"/>
      <c r="AT1016" s="55">
        <f t="shared" si="420"/>
        <v>0</v>
      </c>
      <c r="AU1016" s="54">
        <f t="shared" si="421"/>
        <v>0</v>
      </c>
      <c r="AV1016" s="56">
        <f t="shared" si="422"/>
        <v>0</v>
      </c>
      <c r="AW1016" s="57"/>
      <c r="AX1016" s="211" t="s">
        <v>3042</v>
      </c>
      <c r="AY1016" s="211" t="s">
        <v>3043</v>
      </c>
      <c r="AZ1016" s="211" t="s">
        <v>3044</v>
      </c>
      <c r="BA1016" s="211" t="s">
        <v>3045</v>
      </c>
      <c r="BB1016" s="211" t="s">
        <v>3046</v>
      </c>
      <c r="BC1016" s="211" t="s">
        <v>3047</v>
      </c>
      <c r="BD1016" s="211" t="s">
        <v>3048</v>
      </c>
      <c r="BE1016" s="152"/>
      <c r="BF1016" s="151"/>
      <c r="BG1016" s="94">
        <f>SUM($AV$4:AV1016)</f>
        <v>6609.0742007024664</v>
      </c>
      <c r="BH1016" s="95">
        <f>SUM($AU$4:AU1016)</f>
        <v>38086.903836163016</v>
      </c>
      <c r="BI1016" s="80">
        <f>SUMIFS($AU$3:AU1224,$Q$3:Q1224,"F")</f>
        <v>27366.758121878131</v>
      </c>
      <c r="BJ1016" s="80">
        <f>SUMIFS($AU$3:AU1017,$Q$3:Q1017,"S")</f>
        <v>15874.285714285717</v>
      </c>
      <c r="BK1016" s="87">
        <f>SUMIFS($AU$3:AU1224,$P$3:P1224,"W")</f>
        <v>13893.423836163411</v>
      </c>
      <c r="BL1016" s="87">
        <f>SUMIFS($AU$3:AU1224,$P$3:P1224,"R")</f>
        <v>21150.800000000316</v>
      </c>
      <c r="BM1016" s="87">
        <f>SUMIFS($AU$3:AU1224,$AQ$3:AQ1224,"M")</f>
        <v>8785.3799999984803</v>
      </c>
      <c r="BN1016" s="87">
        <f>SUMIFS($AU$3:AU1224,$AQ$3:AQ1224,"H")</f>
        <v>14347.200000000703</v>
      </c>
      <c r="BO1016" s="87">
        <f>SUMIFS($AU$3:AU1224,$AQ$3:AQ1224,"D")</f>
        <v>6043.5774725271904</v>
      </c>
      <c r="BP1016" s="87">
        <f>SUMIFS($AS$3:AS1312,$AO$3:AO1312,"W")</f>
        <v>0</v>
      </c>
      <c r="BQ1016" s="87">
        <f>SUMIFS($AU$3:AU1224,$Q$3:Q1224,"O")</f>
        <v>-10627.940000000801</v>
      </c>
      <c r="BR1016" s="87">
        <f>SUMIFS($AU$3:AU1224,$AA$3:AA1224,"*")</f>
        <v>34522.202077921254</v>
      </c>
      <c r="BS1016" s="87">
        <f>SUMIFS($AU$3:AU1224,$AB$3:AB1224,"*")</f>
        <v>6281.8599999997014</v>
      </c>
      <c r="BT1016" s="87">
        <f>SUMIFS($AU$3:AU1224,$AC$3:AC1224,"*")</f>
        <v>28352.358121878111</v>
      </c>
      <c r="BU1016" s="87">
        <f>SUMIFS($AU$3:AU1224,$AA$3:AA1224,"*",$AB$3:AB1224,"*")</f>
        <v>7349.9999999995116</v>
      </c>
      <c r="BV1016" s="87">
        <f>SUMIFS($AU$3:AU1224,$AA$3:AA1224,"*",$AC$3:AC1224,"*")</f>
        <v>26125.316363636532</v>
      </c>
      <c r="BW1016" s="87">
        <f>SUMIFS($AU$3:AU1224,$AB$3:AB1224,"*",$AC$3:AC1224,"*")</f>
        <v>3595.199999999998</v>
      </c>
      <c r="BX1016" s="87">
        <f>SUMIFS($AV$3:AV1224,$Q$3:Q1224,"F")</f>
        <v>359.49922313274095</v>
      </c>
      <c r="BY1016" s="87">
        <f>SUMIFS($AV$3:AV1224,$Q$3:Q1224,"S")</f>
        <v>647.34380943819531</v>
      </c>
      <c r="BZ1016" s="87">
        <f>SUMIFS($AV$3:AV1224,$Q$3:Q1224,"O")</f>
        <v>134.16596666632353</v>
      </c>
    </row>
    <row r="1017" spans="1:78" ht="15.75" customHeight="1">
      <c r="A1017" s="45" t="s">
        <v>3000</v>
      </c>
      <c r="B1017" s="59">
        <v>45509</v>
      </c>
      <c r="C1017" s="46" t="s">
        <v>687</v>
      </c>
      <c r="D1017" s="46" t="s">
        <v>176</v>
      </c>
      <c r="E1017" s="66" t="s">
        <v>3049</v>
      </c>
      <c r="F1017" s="47"/>
      <c r="G1017" s="48"/>
      <c r="H1017" s="49"/>
      <c r="I1017" s="49"/>
      <c r="J1017" s="49"/>
      <c r="K1017" s="50"/>
      <c r="L1017" s="49"/>
      <c r="M1017" s="49"/>
      <c r="N1017" s="49"/>
      <c r="O1017" s="50"/>
      <c r="P1017" s="50"/>
      <c r="Q1017" s="50"/>
      <c r="R1017" s="50"/>
      <c r="S1017" s="50"/>
      <c r="T1017" s="50"/>
      <c r="U1017" s="50"/>
      <c r="V1017" s="50"/>
      <c r="W1017" s="50"/>
      <c r="X1017" s="50"/>
      <c r="Y1017" s="50"/>
      <c r="Z1017" s="50"/>
      <c r="AA1017" s="52"/>
      <c r="AB1017" s="52"/>
      <c r="AC1017" s="52"/>
      <c r="AD1017" s="231"/>
      <c r="AE1017" s="49"/>
      <c r="AF1017" s="84"/>
      <c r="AG1017" s="49"/>
      <c r="AH1017" s="49"/>
      <c r="AI1017" s="49"/>
      <c r="AJ1017" s="226"/>
      <c r="AK1017" s="49"/>
      <c r="AL1017" s="113">
        <f t="shared" si="418"/>
        <v>0</v>
      </c>
      <c r="AM1017" s="113">
        <f t="shared" si="419"/>
        <v>0</v>
      </c>
      <c r="AN1017" s="218"/>
      <c r="AO1017" s="49"/>
      <c r="AP1017" s="49"/>
      <c r="AQ1017" s="84" t="str">
        <f>UPPER(RIGHT(Journal_Live[[#This Row],[DURATION ]]))</f>
        <v/>
      </c>
      <c r="AR1017" s="49"/>
      <c r="AS1017" s="55"/>
      <c r="AT1017" s="55">
        <f t="shared" si="420"/>
        <v>0</v>
      </c>
      <c r="AU1017" s="54">
        <f t="shared" si="421"/>
        <v>0</v>
      </c>
      <c r="AV1017" s="56">
        <f t="shared" si="422"/>
        <v>0</v>
      </c>
      <c r="AW1017" s="57"/>
      <c r="AX1017" s="211" t="s">
        <v>3050</v>
      </c>
      <c r="AY1017" s="211" t="s">
        <v>3051</v>
      </c>
      <c r="AZ1017" s="211" t="s">
        <v>3052</v>
      </c>
      <c r="BA1017" s="211" t="s">
        <v>3053</v>
      </c>
      <c r="BB1017" s="211" t="s">
        <v>3054</v>
      </c>
      <c r="BC1017" s="153"/>
      <c r="BD1017" s="151"/>
      <c r="BE1017" s="152"/>
      <c r="BF1017" s="151"/>
      <c r="BG1017" s="94">
        <f>SUM($AV$4:AV1017)</f>
        <v>6609.0742007024664</v>
      </c>
      <c r="BH1017" s="95">
        <f>SUM($AU$4:AU1017)</f>
        <v>38086.903836163016</v>
      </c>
      <c r="BI1017" s="80">
        <f>SUMIFS($AU$3:AU1225,$Q$3:Q1225,"F")</f>
        <v>27366.758121878131</v>
      </c>
      <c r="BJ1017" s="80">
        <f>SUMIFS($AU$3:AU1018,$Q$3:Q1018,"S")</f>
        <v>15874.285714285717</v>
      </c>
      <c r="BK1017" s="87">
        <f>SUMIFS($AU$3:AU1225,$P$3:P1225,"W")</f>
        <v>13893.423836163411</v>
      </c>
      <c r="BL1017" s="87">
        <f>SUMIFS($AU$3:AU1225,$P$3:P1225,"R")</f>
        <v>21150.800000000316</v>
      </c>
      <c r="BM1017" s="87">
        <f>SUMIFS($AU$3:AU1225,$AQ$3:AQ1225,"M")</f>
        <v>8785.3799999984803</v>
      </c>
      <c r="BN1017" s="87">
        <f>SUMIFS($AU$3:AU1225,$AQ$3:AQ1225,"H")</f>
        <v>14347.200000000703</v>
      </c>
      <c r="BO1017" s="87">
        <f>SUMIFS($AU$3:AU1225,$AQ$3:AQ1225,"D")</f>
        <v>6043.5774725271904</v>
      </c>
      <c r="BP1017" s="87">
        <f>SUMIFS($AS$3:AS1313,$AO$3:AO1313,"W")</f>
        <v>0</v>
      </c>
      <c r="BQ1017" s="87">
        <f>SUMIFS($AU$3:AU1225,$Q$3:Q1225,"O")</f>
        <v>-10627.940000000801</v>
      </c>
      <c r="BR1017" s="87">
        <f>SUMIFS($AU$3:AU1225,$AA$3:AA1225,"*")</f>
        <v>34522.202077921254</v>
      </c>
      <c r="BS1017" s="87">
        <f>SUMIFS($AU$3:AU1225,$AB$3:AB1225,"*")</f>
        <v>6281.8599999997014</v>
      </c>
      <c r="BT1017" s="87">
        <f>SUMIFS($AU$3:AU1225,$AC$3:AC1225,"*")</f>
        <v>28352.358121878111</v>
      </c>
      <c r="BU1017" s="87">
        <f>SUMIFS($AU$3:AU1225,$AA$3:AA1225,"*",$AB$3:AB1225,"*")</f>
        <v>7349.9999999995116</v>
      </c>
      <c r="BV1017" s="87">
        <f>SUMIFS($AU$3:AU1225,$AA$3:AA1225,"*",$AC$3:AC1225,"*")</f>
        <v>26125.316363636532</v>
      </c>
      <c r="BW1017" s="87">
        <f>SUMIFS($AU$3:AU1225,$AB$3:AB1225,"*",$AC$3:AC1225,"*")</f>
        <v>3595.199999999998</v>
      </c>
      <c r="BX1017" s="87">
        <f>SUMIFS($AV$3:AV1225,$Q$3:Q1225,"F")</f>
        <v>359.49922313274095</v>
      </c>
      <c r="BY1017" s="87">
        <f>SUMIFS($AV$3:AV1225,$Q$3:Q1225,"S")</f>
        <v>647.34380943819531</v>
      </c>
      <c r="BZ1017" s="87">
        <f>SUMIFS($AV$3:AV1225,$Q$3:Q1225,"O")</f>
        <v>134.16596666632353</v>
      </c>
    </row>
    <row r="1018" spans="1:78" ht="15.75" customHeight="1">
      <c r="A1018" s="45" t="s">
        <v>3000</v>
      </c>
      <c r="B1018" s="59"/>
      <c r="C1018" s="46"/>
      <c r="D1018" s="46"/>
      <c r="E1018" s="66" t="s">
        <v>3055</v>
      </c>
      <c r="F1018" s="47"/>
      <c r="G1018" s="48"/>
      <c r="H1018" s="49"/>
      <c r="I1018" s="49"/>
      <c r="J1018" s="49"/>
      <c r="K1018" s="50"/>
      <c r="L1018" s="49"/>
      <c r="M1018" s="49"/>
      <c r="N1018" s="49"/>
      <c r="O1018" s="50"/>
      <c r="P1018" s="50"/>
      <c r="Q1018" s="50"/>
      <c r="R1018" s="50"/>
      <c r="S1018" s="50"/>
      <c r="T1018" s="50"/>
      <c r="U1018" s="50"/>
      <c r="V1018" s="50"/>
      <c r="W1018" s="50"/>
      <c r="X1018" s="50"/>
      <c r="Y1018" s="50"/>
      <c r="Z1018" s="50"/>
      <c r="AA1018" s="52"/>
      <c r="AB1018" s="52"/>
      <c r="AC1018" s="52"/>
      <c r="AD1018" s="231"/>
      <c r="AE1018" s="49"/>
      <c r="AF1018" s="84"/>
      <c r="AG1018" s="49"/>
      <c r="AH1018" s="49"/>
      <c r="AI1018" s="49"/>
      <c r="AJ1018" s="226"/>
      <c r="AK1018" s="49"/>
      <c r="AL1018" s="113">
        <f t="shared" si="418"/>
        <v>0</v>
      </c>
      <c r="AM1018" s="113">
        <f t="shared" si="419"/>
        <v>0</v>
      </c>
      <c r="AN1018" s="218"/>
      <c r="AO1018" s="49"/>
      <c r="AP1018" s="49"/>
      <c r="AQ1018" s="84" t="str">
        <f>UPPER(RIGHT(Journal_Live[[#This Row],[DURATION ]]))</f>
        <v/>
      </c>
      <c r="AR1018" s="49"/>
      <c r="AS1018" s="55"/>
      <c r="AT1018" s="55">
        <f t="shared" si="420"/>
        <v>0</v>
      </c>
      <c r="AU1018" s="54">
        <f t="shared" si="421"/>
        <v>0</v>
      </c>
      <c r="AV1018" s="56">
        <f t="shared" si="422"/>
        <v>0</v>
      </c>
      <c r="AW1018" s="57"/>
      <c r="AX1018" s="211" t="s">
        <v>3056</v>
      </c>
      <c r="AY1018" s="211" t="s">
        <v>3057</v>
      </c>
      <c r="AZ1018" s="211" t="s">
        <v>3058</v>
      </c>
      <c r="BA1018" s="211" t="s">
        <v>3059</v>
      </c>
      <c r="BB1018" s="153"/>
      <c r="BC1018" s="153"/>
      <c r="BD1018" s="151"/>
      <c r="BE1018" s="152"/>
      <c r="BF1018" s="151"/>
      <c r="BG1018" s="94">
        <f>SUM($AV$4:AV1018)</f>
        <v>6609.0742007024664</v>
      </c>
      <c r="BH1018" s="95">
        <f>SUM($AU$4:AU1018)</f>
        <v>38086.903836163016</v>
      </c>
      <c r="BI1018" s="80">
        <f>SUMIFS($AU$3:AU1226,$Q$3:Q1226,"F")</f>
        <v>27366.758121878131</v>
      </c>
      <c r="BJ1018" s="80">
        <f>SUMIFS($AU$3:AU1019,$Q$3:Q1019,"S")</f>
        <v>15874.285714285717</v>
      </c>
      <c r="BK1018" s="87">
        <f>SUMIFS($AU$3:AU1226,$P$3:P1226,"W")</f>
        <v>13893.423836163411</v>
      </c>
      <c r="BL1018" s="87">
        <f>SUMIFS($AU$3:AU1226,$P$3:P1226,"R")</f>
        <v>21150.800000000316</v>
      </c>
      <c r="BM1018" s="87">
        <f>SUMIFS($AU$3:AU1226,$AQ$3:AQ1226,"M")</f>
        <v>8785.3799999984803</v>
      </c>
      <c r="BN1018" s="87">
        <f>SUMIFS($AU$3:AU1226,$AQ$3:AQ1226,"H")</f>
        <v>14347.200000000703</v>
      </c>
      <c r="BO1018" s="87">
        <f>SUMIFS($AU$3:AU1226,$AQ$3:AQ1226,"D")</f>
        <v>6043.5774725271904</v>
      </c>
      <c r="BP1018" s="87">
        <f>SUMIFS($AS$3:AS1314,$AO$3:AO1314,"W")</f>
        <v>0</v>
      </c>
      <c r="BQ1018" s="87">
        <f>SUMIFS($AU$3:AU1226,$Q$3:Q1226,"O")</f>
        <v>-10627.940000000801</v>
      </c>
      <c r="BR1018" s="87">
        <f>SUMIFS($AU$3:AU1226,$AA$3:AA1226,"*")</f>
        <v>34522.202077921254</v>
      </c>
      <c r="BS1018" s="87">
        <f>SUMIFS($AU$3:AU1226,$AB$3:AB1226,"*")</f>
        <v>6281.8599999997014</v>
      </c>
      <c r="BT1018" s="87">
        <f>SUMIFS($AU$3:AU1226,$AC$3:AC1226,"*")</f>
        <v>28352.358121878111</v>
      </c>
      <c r="BU1018" s="87">
        <f>SUMIFS($AU$3:AU1226,$AA$3:AA1226,"*",$AB$3:AB1226,"*")</f>
        <v>7349.9999999995116</v>
      </c>
      <c r="BV1018" s="87">
        <f>SUMIFS($AU$3:AU1226,$AA$3:AA1226,"*",$AC$3:AC1226,"*")</f>
        <v>26125.316363636532</v>
      </c>
      <c r="BW1018" s="87">
        <f>SUMIFS($AU$3:AU1226,$AB$3:AB1226,"*",$AC$3:AC1226,"*")</f>
        <v>3595.199999999998</v>
      </c>
      <c r="BX1018" s="87">
        <f>SUMIFS($AV$3:AV1226,$Q$3:Q1226,"F")</f>
        <v>359.49922313274095</v>
      </c>
      <c r="BY1018" s="87">
        <f>SUMIFS($AV$3:AV1226,$Q$3:Q1226,"S")</f>
        <v>647.34380943819531</v>
      </c>
      <c r="BZ1018" s="87">
        <f>SUMIFS($AV$3:AV1226,$Q$3:Q1226,"O")</f>
        <v>134.16596666632353</v>
      </c>
    </row>
    <row r="1019" spans="1:78" ht="15.75" customHeight="1">
      <c r="A1019" s="45" t="s">
        <v>3000</v>
      </c>
      <c r="B1019" s="59"/>
      <c r="C1019" s="46"/>
      <c r="D1019" s="46"/>
      <c r="E1019" s="66" t="s">
        <v>3060</v>
      </c>
      <c r="F1019" s="47" t="s">
        <v>3061</v>
      </c>
      <c r="G1019" s="48"/>
      <c r="H1019" s="49">
        <v>1</v>
      </c>
      <c r="I1019" s="49"/>
      <c r="J1019" s="49"/>
      <c r="K1019" s="50" t="s">
        <v>142</v>
      </c>
      <c r="L1019" s="49"/>
      <c r="M1019" s="49"/>
      <c r="N1019" s="49"/>
      <c r="O1019" s="50"/>
      <c r="P1019" s="50"/>
      <c r="Q1019" s="50"/>
      <c r="R1019" s="50"/>
      <c r="S1019" s="50"/>
      <c r="T1019" s="50"/>
      <c r="U1019" s="50"/>
      <c r="V1019" s="50"/>
      <c r="W1019" s="50"/>
      <c r="X1019" s="50"/>
      <c r="Y1019" s="50"/>
      <c r="Z1019" s="50"/>
      <c r="AA1019" s="52"/>
      <c r="AB1019" s="52"/>
      <c r="AC1019" s="52"/>
      <c r="AD1019" s="231"/>
      <c r="AE1019" s="49"/>
      <c r="AF1019" s="84"/>
      <c r="AG1019" s="49"/>
      <c r="AH1019" s="49"/>
      <c r="AI1019" s="49"/>
      <c r="AJ1019" s="226"/>
      <c r="AK1019" s="49"/>
      <c r="AL1019" s="113">
        <f t="shared" si="418"/>
        <v>0</v>
      </c>
      <c r="AM1019" s="113">
        <f t="shared" si="419"/>
        <v>0</v>
      </c>
      <c r="AN1019" s="218"/>
      <c r="AO1019" s="49"/>
      <c r="AP1019" s="49"/>
      <c r="AQ1019" s="84" t="str">
        <f>UPPER(RIGHT(Journal_Live[[#This Row],[DURATION ]]))</f>
        <v/>
      </c>
      <c r="AR1019" s="49"/>
      <c r="AS1019" s="55"/>
      <c r="AT1019" s="55">
        <f t="shared" si="420"/>
        <v>0</v>
      </c>
      <c r="AU1019" s="54">
        <f t="shared" si="421"/>
        <v>0</v>
      </c>
      <c r="AV1019" s="56">
        <f t="shared" si="422"/>
        <v>0</v>
      </c>
      <c r="AW1019" s="57"/>
      <c r="AX1019" s="151"/>
      <c r="AY1019" s="151"/>
      <c r="AZ1019" s="151"/>
      <c r="BA1019" s="151"/>
      <c r="BB1019" s="153"/>
      <c r="BC1019" s="153"/>
      <c r="BD1019" s="151"/>
      <c r="BE1019" s="152"/>
      <c r="BF1019" s="151"/>
      <c r="BG1019" s="94">
        <f>SUM($AV$4:AV1019)</f>
        <v>6609.0742007024664</v>
      </c>
      <c r="BH1019" s="95">
        <f>SUM($AU$4:AU1019)</f>
        <v>38086.903836163016</v>
      </c>
      <c r="BI1019" s="80">
        <f>SUMIFS($AU$3:AU1227,$Q$3:Q1227,"F")</f>
        <v>27366.758121878131</v>
      </c>
      <c r="BJ1019" s="80">
        <f>SUMIFS($AU$3:AU1020,$Q$3:Q1020,"S")</f>
        <v>15874.285714285717</v>
      </c>
      <c r="BK1019" s="87">
        <f>SUMIFS($AU$3:AU1227,$P$3:P1227,"W")</f>
        <v>13893.423836163411</v>
      </c>
      <c r="BL1019" s="87">
        <f>SUMIFS($AU$3:AU1227,$P$3:P1227,"R")</f>
        <v>21150.800000000316</v>
      </c>
      <c r="BM1019" s="87">
        <f>SUMIFS($AU$3:AU1227,$AQ$3:AQ1227,"M")</f>
        <v>8785.3799999984803</v>
      </c>
      <c r="BN1019" s="87">
        <f>SUMIFS($AU$3:AU1227,$AQ$3:AQ1227,"H")</f>
        <v>14347.200000000703</v>
      </c>
      <c r="BO1019" s="87">
        <f>SUMIFS($AU$3:AU1227,$AQ$3:AQ1227,"D")</f>
        <v>6043.5774725271904</v>
      </c>
      <c r="BP1019" s="87">
        <f>SUMIFS($AS$3:AS1315,$AO$3:AO1315,"W")</f>
        <v>0</v>
      </c>
      <c r="BQ1019" s="87">
        <f>SUMIFS($AU$3:AU1227,$Q$3:Q1227,"O")</f>
        <v>-10627.940000000801</v>
      </c>
      <c r="BR1019" s="87">
        <f>SUMIFS($AU$3:AU1227,$AA$3:AA1227,"*")</f>
        <v>34522.202077921254</v>
      </c>
      <c r="BS1019" s="87">
        <f>SUMIFS($AU$3:AU1227,$AB$3:AB1227,"*")</f>
        <v>6281.8599999997014</v>
      </c>
      <c r="BT1019" s="87">
        <f>SUMIFS($AU$3:AU1227,$AC$3:AC1227,"*")</f>
        <v>28352.358121878111</v>
      </c>
      <c r="BU1019" s="87">
        <f>SUMIFS($AU$3:AU1227,$AA$3:AA1227,"*",$AB$3:AB1227,"*")</f>
        <v>7349.9999999995116</v>
      </c>
      <c r="BV1019" s="87">
        <f>SUMIFS($AU$3:AU1227,$AA$3:AA1227,"*",$AC$3:AC1227,"*")</f>
        <v>26125.316363636532</v>
      </c>
      <c r="BW1019" s="87">
        <f>SUMIFS($AU$3:AU1227,$AB$3:AB1227,"*",$AC$3:AC1227,"*")</f>
        <v>3595.199999999998</v>
      </c>
      <c r="BX1019" s="87">
        <f>SUMIFS($AV$3:AV1227,$Q$3:Q1227,"F")</f>
        <v>359.49922313274095</v>
      </c>
      <c r="BY1019" s="87">
        <f>SUMIFS($AV$3:AV1227,$Q$3:Q1227,"S")</f>
        <v>647.34380943819531</v>
      </c>
      <c r="BZ1019" s="87">
        <f>SUMIFS($AV$3:AV1227,$Q$3:Q1227,"O")</f>
        <v>134.16596666632353</v>
      </c>
    </row>
    <row r="1020" spans="1:78" ht="15.75" customHeight="1">
      <c r="A1020" s="45" t="s">
        <v>3000</v>
      </c>
      <c r="B1020" s="59"/>
      <c r="C1020" s="46"/>
      <c r="D1020" s="46"/>
      <c r="E1020" s="66"/>
      <c r="F1020" s="47"/>
      <c r="G1020" s="114" t="s">
        <v>2541</v>
      </c>
      <c r="H1020" s="49"/>
      <c r="I1020" s="49"/>
      <c r="J1020" s="49"/>
      <c r="K1020" s="50"/>
      <c r="L1020" s="49">
        <v>2</v>
      </c>
      <c r="M1020" s="49"/>
      <c r="N1020" s="49"/>
      <c r="O1020" s="50" t="s">
        <v>196</v>
      </c>
      <c r="P1020" s="50" t="s">
        <v>197</v>
      </c>
      <c r="Q1020" s="50" t="s">
        <v>198</v>
      </c>
      <c r="R1020" s="50">
        <v>1</v>
      </c>
      <c r="S1020" s="50">
        <v>0</v>
      </c>
      <c r="T1020" s="50">
        <v>1</v>
      </c>
      <c r="U1020" s="50" t="s">
        <v>102</v>
      </c>
      <c r="V1020" s="50" t="s">
        <v>2898</v>
      </c>
      <c r="W1020" s="50" t="s">
        <v>22</v>
      </c>
      <c r="X1020" s="50"/>
      <c r="Y1020" s="51">
        <f>IF(ISBLANK(O1020),"",(IF(O1020=UPPER("IB"),0.005,0.01)))</f>
        <v>0.01</v>
      </c>
      <c r="Z1020" s="52">
        <f>IF(ISBLANK(O1020),"",IF(O1020="IB",8.63*200,IF(O1020="IR",16*100,IF(O1020="YT",20*100,IF(O1020="YT-XT",24*200,IF(O1020="TED",80*100,IF(O1020="XT",29*200)))))))</f>
        <v>5800</v>
      </c>
      <c r="AA1020" s="52" t="s">
        <v>908</v>
      </c>
      <c r="AB1020" s="52"/>
      <c r="AC1020" s="52"/>
      <c r="AD1020" s="231">
        <v>96.13</v>
      </c>
      <c r="AE1020" s="49"/>
      <c r="AF1020" s="84"/>
      <c r="AG1020" s="49"/>
      <c r="AH1020" s="49"/>
      <c r="AI1020" s="49"/>
      <c r="AJ1020" s="226"/>
      <c r="AK1020" s="49"/>
      <c r="AL1020" s="113">
        <f t="shared" si="416"/>
        <v>-116</v>
      </c>
      <c r="AM1020" s="113">
        <f t="shared" ref="AM1020:AM1089" si="423">AL1020*(R1020-S1020)</f>
        <v>-116</v>
      </c>
      <c r="AN1020" s="218"/>
      <c r="AO1020" s="49"/>
      <c r="AP1020" s="49" t="s">
        <v>3062</v>
      </c>
      <c r="AQ1020" s="84" t="s">
        <v>350</v>
      </c>
      <c r="AR1020" s="49" t="s">
        <v>3063</v>
      </c>
      <c r="AS1020" s="55">
        <v>96.12</v>
      </c>
      <c r="AT1020" s="55">
        <f t="shared" ref="AT1020:AT1089" si="424">IF(ISBLANK(AS1020),,IF(U1020="S",AD1020-AS1020,AS1020-AD1020))</f>
        <v>9.9999999999909051E-3</v>
      </c>
      <c r="AU1020" s="54">
        <f t="shared" ref="AU1020:AU1089" si="425">AV1020*R1020</f>
        <v>57.999999999947249</v>
      </c>
      <c r="AV1020" s="56">
        <f t="shared" si="417"/>
        <v>57.999999999947249</v>
      </c>
      <c r="AW1020" s="57" t="s">
        <v>101</v>
      </c>
      <c r="AX1020" s="151" t="s">
        <v>3064</v>
      </c>
      <c r="AY1020" s="151" t="s">
        <v>3065</v>
      </c>
      <c r="AZ1020" s="151"/>
      <c r="BA1020" s="151"/>
      <c r="BB1020" s="153" t="s">
        <v>3066</v>
      </c>
      <c r="BC1020" s="153" t="s">
        <v>3067</v>
      </c>
      <c r="BD1020" s="151" t="s">
        <v>3068</v>
      </c>
      <c r="BE1020" s="152"/>
      <c r="BF1020" s="151"/>
      <c r="BG1020" s="94">
        <f>SUM($AV$4:AV1020)</f>
        <v>6667.0742007024137</v>
      </c>
      <c r="BH1020" s="95">
        <f>SUM($AU$4:AU1020)</f>
        <v>38144.903836162965</v>
      </c>
      <c r="BI1020" s="80">
        <f>SUMIFS($AU$3:AU1228,$Q$3:Q1228,"F")</f>
        <v>27366.758121878131</v>
      </c>
      <c r="BJ1020" s="80">
        <f>SUMIFS($AU$3:AU1021,$Q$3:Q1021,"S")</f>
        <v>15874.285714285717</v>
      </c>
      <c r="BK1020" s="87">
        <f>SUMIFS($AU$3:AU1228,$P$3:P1228,"W")</f>
        <v>13893.423836163411</v>
      </c>
      <c r="BL1020" s="87">
        <f>SUMIFS($AU$3:AU1228,$P$3:P1228,"R")</f>
        <v>21150.800000000316</v>
      </c>
      <c r="BM1020" s="87">
        <f>SUMIFS($AU$3:AU1228,$AQ$3:AQ1228,"M")</f>
        <v>8785.3799999984803</v>
      </c>
      <c r="BN1020" s="87">
        <f>SUMIFS($AU$3:AU1228,$AQ$3:AQ1228,"H")</f>
        <v>14347.200000000703</v>
      </c>
      <c r="BO1020" s="87">
        <f>SUMIFS($AU$3:AU1228,$AQ$3:AQ1228,"D")</f>
        <v>6043.5774725271904</v>
      </c>
      <c r="BP1020" s="87">
        <f>SUMIFS($AS$3:AS1316,$AO$3:AO1316,"W")</f>
        <v>0</v>
      </c>
      <c r="BQ1020" s="87">
        <f>SUMIFS($AU$3:AU1228,$Q$3:Q1228,"O")</f>
        <v>-10627.940000000801</v>
      </c>
      <c r="BR1020" s="87">
        <f>SUMIFS($AU$3:AU1228,$AA$3:AA1228,"*")</f>
        <v>34522.202077921254</v>
      </c>
      <c r="BS1020" s="87">
        <f>SUMIFS($AU$3:AU1228,$AB$3:AB1228,"*")</f>
        <v>6281.8599999997014</v>
      </c>
      <c r="BT1020" s="87">
        <f>SUMIFS($AU$3:AU1228,$AC$3:AC1228,"*")</f>
        <v>28352.358121878111</v>
      </c>
      <c r="BU1020" s="87">
        <f>SUMIFS($AU$3:AU1228,$AA$3:AA1228,"*",$AB$3:AB1228,"*")</f>
        <v>7349.9999999995116</v>
      </c>
      <c r="BV1020" s="87">
        <f>SUMIFS($AU$3:AU1228,$AA$3:AA1228,"*",$AC$3:AC1228,"*")</f>
        <v>26125.316363636532</v>
      </c>
      <c r="BW1020" s="87">
        <f>SUMIFS($AU$3:AU1228,$AB$3:AB1228,"*",$AC$3:AC1228,"*")</f>
        <v>3595.199999999998</v>
      </c>
      <c r="BX1020" s="87">
        <f>SUMIFS($AV$3:AV1228,$Q$3:Q1228,"F")</f>
        <v>359.49922313274095</v>
      </c>
      <c r="BY1020" s="87">
        <f>SUMIFS($AV$3:AV1228,$Q$3:Q1228,"S")</f>
        <v>647.34380943819531</v>
      </c>
      <c r="BZ1020" s="87">
        <f>SUMIFS($AV$3:AV1228,$Q$3:Q1228,"O")</f>
        <v>134.16596666632353</v>
      </c>
    </row>
    <row r="1021" spans="1:78" ht="15.75" customHeight="1">
      <c r="A1021" s="45" t="s">
        <v>3000</v>
      </c>
      <c r="B1021" s="59"/>
      <c r="C1021" s="46"/>
      <c r="D1021" s="46"/>
      <c r="E1021" s="66"/>
      <c r="F1021" s="47"/>
      <c r="G1021" s="48"/>
      <c r="H1021" s="49"/>
      <c r="I1021" s="49"/>
      <c r="J1021" s="49"/>
      <c r="K1021" s="50"/>
      <c r="L1021" s="49"/>
      <c r="M1021" s="49"/>
      <c r="N1021" s="49"/>
      <c r="O1021" s="50"/>
      <c r="P1021" s="50"/>
      <c r="Q1021" s="50"/>
      <c r="R1021" s="50"/>
      <c r="S1021" s="50"/>
      <c r="T1021" s="50"/>
      <c r="U1021" s="50"/>
      <c r="V1021" s="50"/>
      <c r="W1021" s="50"/>
      <c r="X1021" s="50"/>
      <c r="Y1021" s="51"/>
      <c r="Z1021" s="52"/>
      <c r="AA1021" s="52"/>
      <c r="AB1021" s="52"/>
      <c r="AC1021" s="52"/>
      <c r="AD1021" s="231"/>
      <c r="AE1021" s="49"/>
      <c r="AF1021" s="84"/>
      <c r="AG1021" s="49"/>
      <c r="AH1021" s="49"/>
      <c r="AI1021" s="49"/>
      <c r="AJ1021" s="226"/>
      <c r="AK1021" s="49"/>
      <c r="AL1021" s="113">
        <f t="shared" si="416"/>
        <v>0</v>
      </c>
      <c r="AM1021" s="113">
        <f t="shared" si="423"/>
        <v>0</v>
      </c>
      <c r="AN1021" s="218"/>
      <c r="AO1021" s="49"/>
      <c r="AP1021" s="49"/>
      <c r="AQ1021" s="84" t="str">
        <f>UPPER(RIGHT(Journal_Live[[#This Row],[DURATION ]]))</f>
        <v/>
      </c>
      <c r="AR1021" s="49"/>
      <c r="AS1021" s="55"/>
      <c r="AT1021" s="55">
        <f t="shared" si="424"/>
        <v>0</v>
      </c>
      <c r="AU1021" s="54">
        <f t="shared" si="425"/>
        <v>0</v>
      </c>
      <c r="AV1021" s="56">
        <f t="shared" si="417"/>
        <v>0</v>
      </c>
      <c r="AW1021" s="57"/>
      <c r="AX1021" s="151"/>
      <c r="AY1021" s="151"/>
      <c r="AZ1021" s="151"/>
      <c r="BA1021" s="151"/>
      <c r="BB1021" s="153" t="s">
        <v>3069</v>
      </c>
      <c r="BC1021" s="153"/>
      <c r="BD1021" s="151" t="s">
        <v>3070</v>
      </c>
      <c r="BE1021" s="152"/>
      <c r="BF1021" s="151"/>
      <c r="BG1021" s="94">
        <f>SUM($AV$4:AV1021)</f>
        <v>6667.0742007024137</v>
      </c>
      <c r="BH1021" s="95">
        <f>SUM($AU$4:AU1021)</f>
        <v>38144.903836162965</v>
      </c>
      <c r="BI1021" s="80">
        <f>SUMIFS($AU$3:AU1229,$Q$3:Q1229,"F")</f>
        <v>27366.758121878131</v>
      </c>
      <c r="BJ1021" s="80">
        <f>SUMIFS($AU$3:AU1022,$Q$3:Q1022,"S")</f>
        <v>15874.285714285717</v>
      </c>
      <c r="BK1021" s="87">
        <f>SUMIFS($AU$3:AU1229,$P$3:P1229,"W")</f>
        <v>13893.423836163411</v>
      </c>
      <c r="BL1021" s="87">
        <f>SUMIFS($AU$3:AU1229,$P$3:P1229,"R")</f>
        <v>21150.800000000316</v>
      </c>
      <c r="BM1021" s="87">
        <f>SUMIFS($AU$3:AU1229,$AQ$3:AQ1229,"M")</f>
        <v>8785.3799999984803</v>
      </c>
      <c r="BN1021" s="87">
        <f>SUMIFS($AU$3:AU1229,$AQ$3:AQ1229,"H")</f>
        <v>14347.200000000703</v>
      </c>
      <c r="BO1021" s="87">
        <f>SUMIFS($AU$3:AU1229,$AQ$3:AQ1229,"D")</f>
        <v>6043.5774725271904</v>
      </c>
      <c r="BP1021" s="87">
        <f>SUMIFS($AS$3:AS1317,$AO$3:AO1317,"W")</f>
        <v>0</v>
      </c>
      <c r="BQ1021" s="87">
        <f>SUMIFS($AU$3:AU1229,$Q$3:Q1229,"O")</f>
        <v>-10627.940000000801</v>
      </c>
      <c r="BR1021" s="87">
        <f>SUMIFS($AU$3:AU1229,$AA$3:AA1229,"*")</f>
        <v>34522.202077921254</v>
      </c>
      <c r="BS1021" s="87">
        <f>SUMIFS($AU$3:AU1229,$AB$3:AB1229,"*")</f>
        <v>6281.8599999997014</v>
      </c>
      <c r="BT1021" s="87">
        <f>SUMIFS($AU$3:AU1229,$AC$3:AC1229,"*")</f>
        <v>28352.358121878111</v>
      </c>
      <c r="BU1021" s="87">
        <f>SUMIFS($AU$3:AU1229,$AA$3:AA1229,"*",$AB$3:AB1229,"*")</f>
        <v>7349.9999999995116</v>
      </c>
      <c r="BV1021" s="87">
        <f>SUMIFS($AU$3:AU1229,$AA$3:AA1229,"*",$AC$3:AC1229,"*")</f>
        <v>26125.316363636532</v>
      </c>
      <c r="BW1021" s="87">
        <f>SUMIFS($AU$3:AU1229,$AB$3:AB1229,"*",$AC$3:AC1229,"*")</f>
        <v>3595.199999999998</v>
      </c>
      <c r="BX1021" s="87">
        <f>SUMIFS($AV$3:AV1229,$Q$3:Q1229,"F")</f>
        <v>359.49922313274095</v>
      </c>
      <c r="BY1021" s="87">
        <f>SUMIFS($AV$3:AV1229,$Q$3:Q1229,"S")</f>
        <v>647.34380943819531</v>
      </c>
      <c r="BZ1021" s="87">
        <f>SUMIFS($AV$3:AV1229,$Q$3:Q1229,"O")</f>
        <v>134.16596666632353</v>
      </c>
    </row>
    <row r="1022" spans="1:78" ht="15.75" customHeight="1">
      <c r="A1022" s="45" t="s">
        <v>3000</v>
      </c>
      <c r="B1022" s="59"/>
      <c r="C1022" s="46"/>
      <c r="D1022" s="46"/>
      <c r="E1022" s="66"/>
      <c r="F1022" s="47"/>
      <c r="G1022" s="48"/>
      <c r="H1022" s="49"/>
      <c r="I1022" s="49"/>
      <c r="J1022" s="49"/>
      <c r="K1022" s="50"/>
      <c r="L1022" s="49"/>
      <c r="M1022" s="49"/>
      <c r="N1022" s="49"/>
      <c r="O1022" s="50"/>
      <c r="P1022" s="50"/>
      <c r="Q1022" s="50"/>
      <c r="R1022" s="50"/>
      <c r="S1022" s="50"/>
      <c r="T1022" s="50"/>
      <c r="U1022" s="50"/>
      <c r="V1022" s="50"/>
      <c r="W1022" s="50"/>
      <c r="X1022" s="50"/>
      <c r="Y1022" s="51"/>
      <c r="Z1022" s="52"/>
      <c r="AA1022" s="52"/>
      <c r="AB1022" s="52"/>
      <c r="AC1022" s="52"/>
      <c r="AD1022" s="231"/>
      <c r="AE1022" s="49"/>
      <c r="AF1022" s="84"/>
      <c r="AG1022" s="49"/>
      <c r="AH1022" s="49"/>
      <c r="AI1022" s="49"/>
      <c r="AJ1022" s="226"/>
      <c r="AK1022" s="49"/>
      <c r="AL1022" s="113">
        <f t="shared" si="416"/>
        <v>0</v>
      </c>
      <c r="AM1022" s="113">
        <f t="shared" si="423"/>
        <v>0</v>
      </c>
      <c r="AN1022" s="218"/>
      <c r="AO1022" s="49"/>
      <c r="AP1022" s="49"/>
      <c r="AQ1022" s="84" t="str">
        <f>UPPER(RIGHT(Journal_Live[[#This Row],[DURATION ]]))</f>
        <v/>
      </c>
      <c r="AR1022" s="49"/>
      <c r="AS1022" s="55"/>
      <c r="AT1022" s="55">
        <f t="shared" si="424"/>
        <v>0</v>
      </c>
      <c r="AU1022" s="54">
        <f t="shared" si="425"/>
        <v>0</v>
      </c>
      <c r="AV1022" s="56">
        <f t="shared" si="417"/>
        <v>0</v>
      </c>
      <c r="AW1022" s="57"/>
      <c r="AX1022" s="151"/>
      <c r="AY1022" s="151"/>
      <c r="AZ1022" s="151"/>
      <c r="BA1022" s="151"/>
      <c r="BB1022" s="153" t="s">
        <v>3071</v>
      </c>
      <c r="BC1022" s="153"/>
      <c r="BD1022" s="151" t="s">
        <v>3072</v>
      </c>
      <c r="BE1022" s="152"/>
      <c r="BF1022" s="151"/>
      <c r="BG1022" s="94">
        <f>SUM($AV$4:AV1022)</f>
        <v>6667.0742007024137</v>
      </c>
      <c r="BH1022" s="95">
        <f>SUM($AU$4:AU1022)</f>
        <v>38144.903836162965</v>
      </c>
      <c r="BI1022" s="80">
        <f>SUMIFS($AU$3:AU1230,$Q$3:Q1230,"F")</f>
        <v>27366.758121878131</v>
      </c>
      <c r="BJ1022" s="80">
        <f>SUMIFS($AU$3:AU1023,$Q$3:Q1023,"S")</f>
        <v>15874.285714285717</v>
      </c>
      <c r="BK1022" s="87">
        <f>SUMIFS($AU$3:AU1230,$P$3:P1230,"W")</f>
        <v>13893.423836163411</v>
      </c>
      <c r="BL1022" s="87">
        <f>SUMIFS($AU$3:AU1230,$P$3:P1230,"R")</f>
        <v>21150.800000000316</v>
      </c>
      <c r="BM1022" s="87">
        <f>SUMIFS($AU$3:AU1230,$AQ$3:AQ1230,"M")</f>
        <v>8785.3799999984803</v>
      </c>
      <c r="BN1022" s="87">
        <f>SUMIFS($AU$3:AU1230,$AQ$3:AQ1230,"H")</f>
        <v>14347.200000000703</v>
      </c>
      <c r="BO1022" s="87">
        <f>SUMIFS($AU$3:AU1230,$AQ$3:AQ1230,"D")</f>
        <v>6043.5774725271904</v>
      </c>
      <c r="BP1022" s="87">
        <f>SUMIFS($AS$3:AS1318,$AO$3:AO1318,"W")</f>
        <v>0</v>
      </c>
      <c r="BQ1022" s="87">
        <f>SUMIFS($AU$3:AU1230,$Q$3:Q1230,"O")</f>
        <v>-10627.940000000801</v>
      </c>
      <c r="BR1022" s="87">
        <f>SUMIFS($AU$3:AU1230,$AA$3:AA1230,"*")</f>
        <v>34522.202077921254</v>
      </c>
      <c r="BS1022" s="87">
        <f>SUMIFS($AU$3:AU1230,$AB$3:AB1230,"*")</f>
        <v>6281.8599999997014</v>
      </c>
      <c r="BT1022" s="87">
        <f>SUMIFS($AU$3:AU1230,$AC$3:AC1230,"*")</f>
        <v>28352.358121878111</v>
      </c>
      <c r="BU1022" s="87">
        <f>SUMIFS($AU$3:AU1230,$AA$3:AA1230,"*",$AB$3:AB1230,"*")</f>
        <v>7349.9999999995116</v>
      </c>
      <c r="BV1022" s="87">
        <f>SUMIFS($AU$3:AU1230,$AA$3:AA1230,"*",$AC$3:AC1230,"*")</f>
        <v>26125.316363636532</v>
      </c>
      <c r="BW1022" s="87">
        <f>SUMIFS($AU$3:AU1230,$AB$3:AB1230,"*",$AC$3:AC1230,"*")</f>
        <v>3595.199999999998</v>
      </c>
      <c r="BX1022" s="87">
        <f>SUMIFS($AV$3:AV1230,$Q$3:Q1230,"F")</f>
        <v>359.49922313274095</v>
      </c>
      <c r="BY1022" s="87">
        <f>SUMIFS($AV$3:AV1230,$Q$3:Q1230,"S")</f>
        <v>647.34380943819531</v>
      </c>
      <c r="BZ1022" s="87">
        <f>SUMIFS($AV$3:AV1230,$Q$3:Q1230,"O")</f>
        <v>134.16596666632353</v>
      </c>
    </row>
    <row r="1023" spans="1:78" ht="15.75" customHeight="1">
      <c r="A1023" s="45" t="s">
        <v>3000</v>
      </c>
      <c r="B1023" s="59">
        <v>45510</v>
      </c>
      <c r="C1023" s="46" t="s">
        <v>450</v>
      </c>
      <c r="D1023" s="46" t="s">
        <v>98</v>
      </c>
      <c r="E1023" s="66" t="s">
        <v>3073</v>
      </c>
      <c r="F1023" s="47"/>
      <c r="G1023" s="48"/>
      <c r="H1023" s="49"/>
      <c r="I1023" s="49"/>
      <c r="J1023" s="49"/>
      <c r="K1023" s="50"/>
      <c r="L1023" s="49"/>
      <c r="M1023" s="49"/>
      <c r="N1023" s="49"/>
      <c r="O1023" s="50"/>
      <c r="P1023" s="50"/>
      <c r="Q1023" s="50"/>
      <c r="R1023" s="50"/>
      <c r="S1023" s="50"/>
      <c r="T1023" s="50"/>
      <c r="U1023" s="50"/>
      <c r="V1023" s="50"/>
      <c r="W1023" s="50"/>
      <c r="X1023" s="50"/>
      <c r="Y1023" s="51"/>
      <c r="Z1023" s="52"/>
      <c r="AA1023" s="52"/>
      <c r="AB1023" s="52"/>
      <c r="AC1023" s="52"/>
      <c r="AD1023" s="231"/>
      <c r="AE1023" s="49"/>
      <c r="AF1023" s="84"/>
      <c r="AG1023" s="49"/>
      <c r="AH1023" s="49"/>
      <c r="AI1023" s="49"/>
      <c r="AJ1023" s="226"/>
      <c r="AK1023" s="49"/>
      <c r="AL1023" s="113">
        <f t="shared" si="416"/>
        <v>0</v>
      </c>
      <c r="AM1023" s="113">
        <f t="shared" si="423"/>
        <v>0</v>
      </c>
      <c r="AN1023" s="218"/>
      <c r="AO1023" s="49"/>
      <c r="AP1023" s="49"/>
      <c r="AQ1023" s="84" t="str">
        <f>UPPER(RIGHT(Journal_Live[[#This Row],[DURATION ]]))</f>
        <v/>
      </c>
      <c r="AR1023" s="49"/>
      <c r="AS1023" s="55"/>
      <c r="AT1023" s="55">
        <f t="shared" si="424"/>
        <v>0</v>
      </c>
      <c r="AU1023" s="54">
        <f t="shared" si="425"/>
        <v>0</v>
      </c>
      <c r="AV1023" s="56">
        <f t="shared" si="417"/>
        <v>0</v>
      </c>
      <c r="AW1023" s="57"/>
      <c r="AX1023" s="151"/>
      <c r="AY1023" s="151"/>
      <c r="AZ1023" s="151"/>
      <c r="BA1023" s="151"/>
      <c r="BB1023" s="153"/>
      <c r="BC1023" s="153"/>
      <c r="BD1023" s="151"/>
      <c r="BE1023" s="152"/>
      <c r="BF1023" s="151"/>
      <c r="BG1023" s="94">
        <f>SUM($AV$4:AV1023)</f>
        <v>6667.0742007024137</v>
      </c>
      <c r="BH1023" s="95">
        <f>SUM($AU$4:AU1023)</f>
        <v>38144.903836162965</v>
      </c>
      <c r="BI1023" s="80">
        <f>SUMIFS($AU$3:AU1231,$Q$3:Q1231,"F")</f>
        <v>27366.758121878131</v>
      </c>
      <c r="BJ1023" s="80">
        <f>SUMIFS($AU$3:AU1090,$Q$3:Q1090,"S")</f>
        <v>16018.285714285717</v>
      </c>
      <c r="BK1023" s="87">
        <f>SUMIFS($AU$3:AU1231,$P$3:P1231,"W")</f>
        <v>13893.423836163411</v>
      </c>
      <c r="BL1023" s="87">
        <f>SUMIFS($AU$3:AU1231,$P$3:P1231,"R")</f>
        <v>21150.800000000316</v>
      </c>
      <c r="BM1023" s="87">
        <f>SUMIFS($AU$3:AU1231,$AQ$3:AQ1231,"M")</f>
        <v>8785.3799999984803</v>
      </c>
      <c r="BN1023" s="87">
        <f>SUMIFS($AU$3:AU1231,$AQ$3:AQ1231,"H")</f>
        <v>14347.200000000703</v>
      </c>
      <c r="BO1023" s="87">
        <f>SUMIFS($AU$3:AU1231,$AQ$3:AQ1231,"D")</f>
        <v>6043.5774725271904</v>
      </c>
      <c r="BP1023" s="87">
        <f>SUMIFS($AS$3:AS1319,$AO$3:AO1319,"W")</f>
        <v>0</v>
      </c>
      <c r="BQ1023" s="87">
        <f>SUMIFS($AU$3:AU1231,$Q$3:Q1231,"O")</f>
        <v>-10627.940000000801</v>
      </c>
      <c r="BR1023" s="87">
        <f>SUMIFS($AU$3:AU1231,$AA$3:AA1231,"*")</f>
        <v>34522.202077921254</v>
      </c>
      <c r="BS1023" s="87">
        <f>SUMIFS($AU$3:AU1231,$AB$3:AB1231,"*")</f>
        <v>6281.8599999997014</v>
      </c>
      <c r="BT1023" s="87">
        <f>SUMIFS($AU$3:AU1231,$AC$3:AC1231,"*")</f>
        <v>28352.358121878111</v>
      </c>
      <c r="BU1023" s="87">
        <f>SUMIFS($AU$3:AU1231,$AA$3:AA1231,"*",$AB$3:AB1231,"*")</f>
        <v>7349.9999999995116</v>
      </c>
      <c r="BV1023" s="87">
        <f>SUMIFS($AU$3:AU1231,$AA$3:AA1231,"*",$AC$3:AC1231,"*")</f>
        <v>26125.316363636532</v>
      </c>
      <c r="BW1023" s="87">
        <f>SUMIFS($AU$3:AU1231,$AB$3:AB1231,"*",$AC$3:AC1231,"*")</f>
        <v>3595.199999999998</v>
      </c>
      <c r="BX1023" s="87">
        <f>SUMIFS($AV$3:AV1231,$Q$3:Q1231,"F")</f>
        <v>359.49922313274095</v>
      </c>
      <c r="BY1023" s="87">
        <f>SUMIFS($AV$3:AV1231,$Q$3:Q1231,"S")</f>
        <v>647.34380943819531</v>
      </c>
      <c r="BZ1023" s="87">
        <f>SUMIFS($AV$3:AV1231,$Q$3:Q1231,"O")</f>
        <v>134.16596666632353</v>
      </c>
    </row>
    <row r="1024" spans="1:78" ht="15.75" customHeight="1">
      <c r="A1024" s="45" t="s">
        <v>3000</v>
      </c>
      <c r="B1024" s="59"/>
      <c r="C1024" s="46"/>
      <c r="D1024" s="46"/>
      <c r="E1024" s="66"/>
      <c r="F1024" s="47"/>
      <c r="G1024" s="48"/>
      <c r="H1024" s="49"/>
      <c r="I1024" s="49"/>
      <c r="J1024" s="49"/>
      <c r="K1024" s="50"/>
      <c r="L1024" s="49"/>
      <c r="M1024" s="49"/>
      <c r="N1024" s="49"/>
      <c r="O1024" s="50"/>
      <c r="P1024" s="50"/>
      <c r="Q1024" s="50"/>
      <c r="R1024" s="50"/>
      <c r="S1024" s="50"/>
      <c r="T1024" s="50"/>
      <c r="U1024" s="50"/>
      <c r="V1024" s="50"/>
      <c r="W1024" s="50"/>
      <c r="X1024" s="50"/>
      <c r="Y1024" s="51"/>
      <c r="Z1024" s="52"/>
      <c r="AA1024" s="52"/>
      <c r="AB1024" s="52"/>
      <c r="AC1024" s="52"/>
      <c r="AD1024" s="231"/>
      <c r="AE1024" s="49"/>
      <c r="AF1024" s="84"/>
      <c r="AG1024" s="49"/>
      <c r="AH1024" s="49"/>
      <c r="AI1024" s="49"/>
      <c r="AJ1024" s="226"/>
      <c r="AK1024" s="49"/>
      <c r="AL1024" s="113">
        <f t="shared" si="416"/>
        <v>0</v>
      </c>
      <c r="AM1024" s="113">
        <f t="shared" si="423"/>
        <v>0</v>
      </c>
      <c r="AN1024" s="218"/>
      <c r="AO1024" s="49"/>
      <c r="AP1024" s="49"/>
      <c r="AQ1024" s="84" t="str">
        <f>UPPER(RIGHT(Journal_Live[[#This Row],[DURATION ]]))</f>
        <v/>
      </c>
      <c r="AR1024" s="49"/>
      <c r="AS1024" s="55"/>
      <c r="AT1024" s="55">
        <f t="shared" si="424"/>
        <v>0</v>
      </c>
      <c r="AU1024" s="54">
        <f t="shared" si="425"/>
        <v>0</v>
      </c>
      <c r="AV1024" s="56">
        <f t="shared" si="417"/>
        <v>0</v>
      </c>
      <c r="AW1024" s="57"/>
      <c r="AX1024" s="151" t="s">
        <v>3074</v>
      </c>
      <c r="AY1024" s="151" t="s">
        <v>3075</v>
      </c>
      <c r="AZ1024" s="175" t="s">
        <v>3076</v>
      </c>
      <c r="BA1024" s="151"/>
      <c r="BB1024" s="153"/>
      <c r="BC1024" s="153"/>
      <c r="BD1024" s="151"/>
      <c r="BE1024" s="152"/>
      <c r="BF1024" s="151"/>
      <c r="BG1024" s="94">
        <f>SUM($AV$4:AV1024)</f>
        <v>6667.0742007024137</v>
      </c>
      <c r="BH1024" s="95">
        <f>SUM($AU$4:AU1024)</f>
        <v>38144.903836162965</v>
      </c>
      <c r="BI1024" s="80">
        <f>SUMIFS($AU$3:AU1221,$Q$3:Q1221,"F")</f>
        <v>27366.758121878131</v>
      </c>
      <c r="BJ1024" s="80">
        <f>SUMIFS($AU$3:AU1025,$Q$3:Q1025,"S")</f>
        <v>15874.285714285717</v>
      </c>
      <c r="BK1024" s="87">
        <f>SUMIFS($AU$3:AU1221,$P$3:P1221,"W")</f>
        <v>13893.423836163411</v>
      </c>
      <c r="BL1024" s="87">
        <f>SUMIFS($AU$3:AU1221,$P$3:P1221,"R")</f>
        <v>21150.800000000316</v>
      </c>
      <c r="BM1024" s="87">
        <f>SUMIFS($AU$3:AU1221,$AQ$3:AQ1221,"M")</f>
        <v>8785.3799999984803</v>
      </c>
      <c r="BN1024" s="87">
        <f>SUMIFS($AU$3:AU1221,$AQ$3:AQ1221,"H")</f>
        <v>14347.200000000703</v>
      </c>
      <c r="BO1024" s="87">
        <f>SUMIFS($AU$3:AU1221,$AQ$3:AQ1221,"D")</f>
        <v>6043.5774725271904</v>
      </c>
      <c r="BP1024" s="87">
        <f>SUMIFS($AS$3:AS1309,$AO$3:AO1309,"W")</f>
        <v>0</v>
      </c>
      <c r="BQ1024" s="87">
        <f>SUMIFS($AU$3:AU1221,$Q$3:Q1221,"O")</f>
        <v>-10627.940000000801</v>
      </c>
      <c r="BR1024" s="87">
        <f>SUMIFS($AU$3:AU1221,$AA$3:AA1221,"*")</f>
        <v>34522.202077921254</v>
      </c>
      <c r="BS1024" s="87">
        <f>SUMIFS($AU$3:AU1221,$AB$3:AB1221,"*")</f>
        <v>6281.8599999997014</v>
      </c>
      <c r="BT1024" s="87">
        <f>SUMIFS($AU$3:AU1221,$AC$3:AC1221,"*")</f>
        <v>28352.358121878111</v>
      </c>
      <c r="BU1024" s="87">
        <f>SUMIFS($AU$3:AU1221,$AA$3:AA1221,"*",$AB$3:AB1221,"*")</f>
        <v>7349.9999999995116</v>
      </c>
      <c r="BV1024" s="87">
        <f>SUMIFS($AU$3:AU1221,$AA$3:AA1221,"*",$AC$3:AC1221,"*")</f>
        <v>26125.316363636532</v>
      </c>
      <c r="BW1024" s="87">
        <f>SUMIFS($AU$3:AU1221,$AB$3:AB1221,"*",$AC$3:AC1221,"*")</f>
        <v>3595.199999999998</v>
      </c>
      <c r="BX1024" s="87">
        <f>SUMIFS($AV$3:AV1221,$Q$3:Q1221,"F")</f>
        <v>359.49922313274095</v>
      </c>
      <c r="BY1024" s="87">
        <f>SUMIFS($AV$3:AV1221,$Q$3:Q1221,"S")</f>
        <v>647.34380943819531</v>
      </c>
      <c r="BZ1024" s="87">
        <f>SUMIFS($AV$3:AV1221,$Q$3:Q1221,"O")</f>
        <v>134.16596666632353</v>
      </c>
    </row>
    <row r="1025" spans="1:78" ht="15.75" customHeight="1">
      <c r="A1025" s="45" t="s">
        <v>3000</v>
      </c>
      <c r="B1025" s="59"/>
      <c r="C1025" s="46"/>
      <c r="D1025" s="46"/>
      <c r="E1025" s="66"/>
      <c r="F1025" s="47"/>
      <c r="G1025" s="48"/>
      <c r="H1025" s="49"/>
      <c r="I1025" s="49"/>
      <c r="J1025" s="49"/>
      <c r="K1025" s="50"/>
      <c r="L1025" s="49"/>
      <c r="M1025" s="49"/>
      <c r="N1025" s="49"/>
      <c r="O1025" s="50"/>
      <c r="P1025" s="50"/>
      <c r="Q1025" s="50"/>
      <c r="R1025" s="50"/>
      <c r="S1025" s="50"/>
      <c r="T1025" s="50"/>
      <c r="U1025" s="50"/>
      <c r="V1025" s="50"/>
      <c r="W1025" s="50"/>
      <c r="X1025" s="50"/>
      <c r="Y1025" s="51"/>
      <c r="Z1025" s="52"/>
      <c r="AA1025" s="52"/>
      <c r="AB1025" s="52"/>
      <c r="AC1025" s="52"/>
      <c r="AD1025" s="231"/>
      <c r="AE1025" s="49"/>
      <c r="AF1025" s="84"/>
      <c r="AG1025" s="49"/>
      <c r="AH1025" s="49"/>
      <c r="AI1025" s="49"/>
      <c r="AJ1025" s="226"/>
      <c r="AK1025" s="49"/>
      <c r="AL1025" s="113">
        <f t="shared" si="416"/>
        <v>0</v>
      </c>
      <c r="AM1025" s="113">
        <f t="shared" si="423"/>
        <v>0</v>
      </c>
      <c r="AN1025" s="218"/>
      <c r="AO1025" s="49"/>
      <c r="AP1025" s="49"/>
      <c r="AQ1025" s="84" t="str">
        <f>UPPER(RIGHT(Journal_Live[[#This Row],[DURATION ]]))</f>
        <v/>
      </c>
      <c r="AR1025" s="49"/>
      <c r="AS1025" s="55"/>
      <c r="AT1025" s="55">
        <f t="shared" si="424"/>
        <v>0</v>
      </c>
      <c r="AU1025" s="54">
        <f t="shared" si="425"/>
        <v>0</v>
      </c>
      <c r="AV1025" s="56">
        <f t="shared" si="417"/>
        <v>0</v>
      </c>
      <c r="AW1025" s="57"/>
      <c r="AX1025" s="151" t="s">
        <v>3026</v>
      </c>
      <c r="AY1025" s="151" t="s">
        <v>3077</v>
      </c>
      <c r="AZ1025" s="151" t="s">
        <v>3078</v>
      </c>
      <c r="BA1025" s="151" t="s">
        <v>3079</v>
      </c>
      <c r="BB1025" s="151" t="s">
        <v>3080</v>
      </c>
      <c r="BC1025" s="151" t="s">
        <v>3081</v>
      </c>
      <c r="BD1025" s="151"/>
      <c r="BE1025" s="152"/>
      <c r="BF1025" s="151"/>
      <c r="BG1025" s="94">
        <f>SUM($AV$4:AV1025)</f>
        <v>6667.0742007024137</v>
      </c>
      <c r="BH1025" s="95">
        <f>SUM($AU$4:AU1025)</f>
        <v>38144.903836162965</v>
      </c>
      <c r="BI1025" s="80">
        <f>SUMIFS($AU$3:AU1222,$Q$3:Q1222,"F")</f>
        <v>27366.758121878131</v>
      </c>
      <c r="BJ1025" s="80">
        <f>SUMIFS($AU$3:AU1026,$Q$3:Q1026,"S")</f>
        <v>15874.285714285717</v>
      </c>
      <c r="BK1025" s="87">
        <f>SUMIFS($AU$3:AU1222,$P$3:P1222,"W")</f>
        <v>13893.423836163411</v>
      </c>
      <c r="BL1025" s="87">
        <f>SUMIFS($AU$3:AU1222,$P$3:P1222,"R")</f>
        <v>21150.800000000316</v>
      </c>
      <c r="BM1025" s="87">
        <f>SUMIFS($AU$3:AU1222,$AQ$3:AQ1222,"M")</f>
        <v>8785.3799999984803</v>
      </c>
      <c r="BN1025" s="87">
        <f>SUMIFS($AU$3:AU1222,$AQ$3:AQ1222,"H")</f>
        <v>14347.200000000703</v>
      </c>
      <c r="BO1025" s="87">
        <f>SUMIFS($AU$3:AU1222,$AQ$3:AQ1222,"D")</f>
        <v>6043.5774725271904</v>
      </c>
      <c r="BP1025" s="87">
        <f>SUMIFS($AS$3:AS1310,$AO$3:AO1310,"W")</f>
        <v>0</v>
      </c>
      <c r="BQ1025" s="87">
        <f>SUMIFS($AU$3:AU1222,$Q$3:Q1222,"O")</f>
        <v>-10627.940000000801</v>
      </c>
      <c r="BR1025" s="87">
        <f>SUMIFS($AU$3:AU1222,$AA$3:AA1222,"*")</f>
        <v>34522.202077921254</v>
      </c>
      <c r="BS1025" s="87">
        <f>SUMIFS($AU$3:AU1222,$AB$3:AB1222,"*")</f>
        <v>6281.8599999997014</v>
      </c>
      <c r="BT1025" s="87">
        <f>SUMIFS($AU$3:AU1222,$AC$3:AC1222,"*")</f>
        <v>28352.358121878111</v>
      </c>
      <c r="BU1025" s="87">
        <f>SUMIFS($AU$3:AU1222,$AA$3:AA1222,"*",$AB$3:AB1222,"*")</f>
        <v>7349.9999999995116</v>
      </c>
      <c r="BV1025" s="87">
        <f>SUMIFS($AU$3:AU1222,$AA$3:AA1222,"*",$AC$3:AC1222,"*")</f>
        <v>26125.316363636532</v>
      </c>
      <c r="BW1025" s="87">
        <f>SUMIFS($AU$3:AU1222,$AB$3:AB1222,"*",$AC$3:AC1222,"*")</f>
        <v>3595.199999999998</v>
      </c>
      <c r="BX1025" s="87">
        <f>SUMIFS($AV$3:AV1222,$Q$3:Q1222,"F")</f>
        <v>359.49922313274095</v>
      </c>
      <c r="BY1025" s="87">
        <f>SUMIFS($AV$3:AV1222,$Q$3:Q1222,"S")</f>
        <v>647.34380943819531</v>
      </c>
      <c r="BZ1025" s="87">
        <f>SUMIFS($AV$3:AV1222,$Q$3:Q1222,"O")</f>
        <v>134.16596666632353</v>
      </c>
    </row>
    <row r="1026" spans="1:78" ht="15.75" customHeight="1">
      <c r="A1026" s="45" t="s">
        <v>3000</v>
      </c>
      <c r="B1026" s="59"/>
      <c r="C1026" s="46"/>
      <c r="D1026" s="46"/>
      <c r="E1026" s="66"/>
      <c r="F1026" s="47"/>
      <c r="G1026" s="48"/>
      <c r="H1026" s="49"/>
      <c r="I1026" s="49"/>
      <c r="J1026" s="49"/>
      <c r="K1026" s="50"/>
      <c r="L1026" s="49"/>
      <c r="M1026" s="49"/>
      <c r="N1026" s="49"/>
      <c r="O1026" s="50"/>
      <c r="P1026" s="50"/>
      <c r="Q1026" s="50"/>
      <c r="R1026" s="50"/>
      <c r="S1026" s="50"/>
      <c r="T1026" s="50"/>
      <c r="U1026" s="50"/>
      <c r="V1026" s="50"/>
      <c r="W1026" s="50"/>
      <c r="X1026" s="50"/>
      <c r="Y1026" s="51"/>
      <c r="Z1026" s="52"/>
      <c r="AA1026" s="52"/>
      <c r="AB1026" s="52"/>
      <c r="AC1026" s="52"/>
      <c r="AD1026" s="231"/>
      <c r="AE1026" s="49"/>
      <c r="AF1026" s="84"/>
      <c r="AG1026" s="49"/>
      <c r="AH1026" s="49"/>
      <c r="AI1026" s="49"/>
      <c r="AJ1026" s="226"/>
      <c r="AK1026" s="49"/>
      <c r="AL1026" s="113">
        <f t="shared" si="416"/>
        <v>0</v>
      </c>
      <c r="AM1026" s="113">
        <f t="shared" si="423"/>
        <v>0</v>
      </c>
      <c r="AN1026" s="218"/>
      <c r="AO1026" s="49"/>
      <c r="AP1026" s="49"/>
      <c r="AQ1026" s="84" t="str">
        <f>UPPER(RIGHT(Journal_Live[[#This Row],[DURATION ]]))</f>
        <v/>
      </c>
      <c r="AR1026" s="49"/>
      <c r="AS1026" s="55"/>
      <c r="AT1026" s="55">
        <f t="shared" si="424"/>
        <v>0</v>
      </c>
      <c r="AU1026" s="54">
        <f t="shared" si="425"/>
        <v>0</v>
      </c>
      <c r="AV1026" s="56">
        <f t="shared" si="417"/>
        <v>0</v>
      </c>
      <c r="AW1026" s="57"/>
      <c r="AX1026" s="151" t="s">
        <v>3002</v>
      </c>
      <c r="AY1026" s="151" t="s">
        <v>3082</v>
      </c>
      <c r="AZ1026" s="151" t="s">
        <v>3077</v>
      </c>
      <c r="BA1026" s="151" t="s">
        <v>3083</v>
      </c>
      <c r="BB1026" s="151" t="s">
        <v>3079</v>
      </c>
      <c r="BC1026" s="151" t="s">
        <v>3080</v>
      </c>
      <c r="BD1026" s="151"/>
      <c r="BE1026" s="152"/>
      <c r="BF1026" s="151"/>
      <c r="BG1026" s="94">
        <f>SUM($AV$4:AV1026)</f>
        <v>6667.0742007024137</v>
      </c>
      <c r="BH1026" s="95">
        <f>SUM($AU$4:AU1026)</f>
        <v>38144.903836162965</v>
      </c>
      <c r="BI1026" s="80">
        <f>SUMIFS($AU$3:AU1223,$Q$3:Q1223,"F")</f>
        <v>27366.758121878131</v>
      </c>
      <c r="BJ1026" s="80">
        <f>SUMIFS($AU$3:AU1027,$Q$3:Q1027,"S")</f>
        <v>15874.285714285717</v>
      </c>
      <c r="BK1026" s="87">
        <f>SUMIFS($AU$3:AU1223,$P$3:P1223,"W")</f>
        <v>13893.423836163411</v>
      </c>
      <c r="BL1026" s="87">
        <f>SUMIFS($AU$3:AU1223,$P$3:P1223,"R")</f>
        <v>21150.800000000316</v>
      </c>
      <c r="BM1026" s="87">
        <f>SUMIFS($AU$3:AU1223,$AQ$3:AQ1223,"M")</f>
        <v>8785.3799999984803</v>
      </c>
      <c r="BN1026" s="87">
        <f>SUMIFS($AU$3:AU1223,$AQ$3:AQ1223,"H")</f>
        <v>14347.200000000703</v>
      </c>
      <c r="BO1026" s="87">
        <f>SUMIFS($AU$3:AU1223,$AQ$3:AQ1223,"D")</f>
        <v>6043.5774725271904</v>
      </c>
      <c r="BP1026" s="87">
        <f>SUMIFS($AS$3:AS1311,$AO$3:AO1311,"W")</f>
        <v>0</v>
      </c>
      <c r="BQ1026" s="87">
        <f>SUMIFS($AU$3:AU1223,$Q$3:Q1223,"O")</f>
        <v>-10627.940000000801</v>
      </c>
      <c r="BR1026" s="87">
        <f>SUMIFS($AU$3:AU1223,$AA$3:AA1223,"*")</f>
        <v>34522.202077921254</v>
      </c>
      <c r="BS1026" s="87">
        <f>SUMIFS($AU$3:AU1223,$AB$3:AB1223,"*")</f>
        <v>6281.8599999997014</v>
      </c>
      <c r="BT1026" s="87">
        <f>SUMIFS($AU$3:AU1223,$AC$3:AC1223,"*")</f>
        <v>28352.358121878111</v>
      </c>
      <c r="BU1026" s="87">
        <f>SUMIFS($AU$3:AU1223,$AA$3:AA1223,"*",$AB$3:AB1223,"*")</f>
        <v>7349.9999999995116</v>
      </c>
      <c r="BV1026" s="87">
        <f>SUMIFS($AU$3:AU1223,$AA$3:AA1223,"*",$AC$3:AC1223,"*")</f>
        <v>26125.316363636532</v>
      </c>
      <c r="BW1026" s="87">
        <f>SUMIFS($AU$3:AU1223,$AB$3:AB1223,"*",$AC$3:AC1223,"*")</f>
        <v>3595.199999999998</v>
      </c>
      <c r="BX1026" s="87">
        <f>SUMIFS($AV$3:AV1223,$Q$3:Q1223,"F")</f>
        <v>359.49922313274095</v>
      </c>
      <c r="BY1026" s="87">
        <f>SUMIFS($AV$3:AV1223,$Q$3:Q1223,"S")</f>
        <v>647.34380943819531</v>
      </c>
      <c r="BZ1026" s="87">
        <f>SUMIFS($AV$3:AV1223,$Q$3:Q1223,"O")</f>
        <v>134.16596666632353</v>
      </c>
    </row>
    <row r="1027" spans="1:78" ht="15.75" customHeight="1">
      <c r="A1027" s="45" t="s">
        <v>3000</v>
      </c>
      <c r="B1027" s="59">
        <v>45511</v>
      </c>
      <c r="C1027" s="46" t="s">
        <v>3084</v>
      </c>
      <c r="D1027" s="46" t="s">
        <v>186</v>
      </c>
      <c r="E1027" s="66"/>
      <c r="F1027" s="47"/>
      <c r="G1027" s="155" t="s">
        <v>3085</v>
      </c>
      <c r="H1027" s="49"/>
      <c r="I1027" s="49"/>
      <c r="J1027" s="49"/>
      <c r="K1027" s="50"/>
      <c r="L1027" s="49">
        <v>1</v>
      </c>
      <c r="M1027" s="49"/>
      <c r="N1027" s="49"/>
      <c r="O1027" s="50" t="s">
        <v>100</v>
      </c>
      <c r="P1027" s="50" t="s">
        <v>126</v>
      </c>
      <c r="Q1027" s="50" t="s">
        <v>102</v>
      </c>
      <c r="R1027" s="50">
        <v>2</v>
      </c>
      <c r="S1027" s="50">
        <v>0</v>
      </c>
      <c r="T1027" s="50">
        <v>2</v>
      </c>
      <c r="U1027" s="50" t="s">
        <v>22</v>
      </c>
      <c r="V1027" s="50" t="s">
        <v>2898</v>
      </c>
      <c r="W1027" s="50" t="s">
        <v>3086</v>
      </c>
      <c r="X1027" s="50"/>
      <c r="Y1027" s="51">
        <f>IF(ISBLANK(O1027),"",(IF(O1027=UPPER("IB"),0.005,0.01)))</f>
        <v>0.01</v>
      </c>
      <c r="Z1027" s="52">
        <f>IF(ISBLANK(O1027),"",IF(O1027="IB",8.63*200,IF(O1027="IR",16*100,IF(O1027="YT",20*100,IF(O1027="YT-XT",24*200,IF(O1027="TED",80*100,IF(O1027="XT",29*200)))))))</f>
        <v>1600</v>
      </c>
      <c r="AA1027" s="52" t="s">
        <v>3087</v>
      </c>
      <c r="AB1027" s="52"/>
      <c r="AC1027" s="52"/>
      <c r="AD1027" s="231">
        <v>-0.09</v>
      </c>
      <c r="AE1027" s="49"/>
      <c r="AF1027" s="84"/>
      <c r="AG1027" s="49"/>
      <c r="AH1027" s="49"/>
      <c r="AI1027" s="49"/>
      <c r="AJ1027" s="226" t="s">
        <v>3088</v>
      </c>
      <c r="AK1027" s="49"/>
      <c r="AL1027" s="113">
        <f t="shared" si="416"/>
        <v>-32</v>
      </c>
      <c r="AM1027" s="113">
        <f t="shared" si="423"/>
        <v>-64</v>
      </c>
      <c r="AN1027" s="218"/>
      <c r="AO1027" s="49"/>
      <c r="AP1027" s="49"/>
      <c r="AQ1027" s="84" t="s">
        <v>142</v>
      </c>
      <c r="AR1027" s="49"/>
      <c r="AS1027" s="55">
        <v>-0.09</v>
      </c>
      <c r="AT1027" s="55">
        <f t="shared" si="424"/>
        <v>0</v>
      </c>
      <c r="AU1027" s="54">
        <f t="shared" si="425"/>
        <v>0</v>
      </c>
      <c r="AV1027" s="56">
        <f t="shared" si="417"/>
        <v>0</v>
      </c>
      <c r="AW1027" s="57" t="s">
        <v>155</v>
      </c>
      <c r="AX1027" s="151"/>
      <c r="AY1027" s="151"/>
      <c r="AZ1027" s="151"/>
      <c r="BA1027" s="151"/>
      <c r="BB1027" s="153"/>
      <c r="BC1027" s="153"/>
      <c r="BD1027" s="151"/>
      <c r="BE1027" s="152"/>
      <c r="BF1027" s="151"/>
      <c r="BG1027" s="94">
        <f>SUM($AV$4:AV1027)</f>
        <v>6667.0742007024137</v>
      </c>
      <c r="BH1027" s="95">
        <f>SUM($AU$4:AU1027)</f>
        <v>38144.903836162965</v>
      </c>
      <c r="BI1027" s="80">
        <f>SUMIFS($AU$3:AU1224,$Q$3:Q1224,"F")</f>
        <v>27366.758121878131</v>
      </c>
      <c r="BJ1027" s="80">
        <f>SUMIFS($AU$3:AU1028,$Q$3:Q1028,"S")</f>
        <v>15778.285714285717</v>
      </c>
      <c r="BK1027" s="87">
        <f>SUMIFS($AU$3:AU1224,$P$3:P1224,"W")</f>
        <v>13893.423836163411</v>
      </c>
      <c r="BL1027" s="87">
        <f>SUMIFS($AU$3:AU1224,$P$3:P1224,"R")</f>
        <v>21150.800000000316</v>
      </c>
      <c r="BM1027" s="87">
        <f>SUMIFS($AU$3:AU1224,$AQ$3:AQ1224,"M")</f>
        <v>8785.3799999984803</v>
      </c>
      <c r="BN1027" s="87">
        <f>SUMIFS($AU$3:AU1224,$AQ$3:AQ1224,"H")</f>
        <v>14347.200000000703</v>
      </c>
      <c r="BO1027" s="87">
        <f>SUMIFS($AU$3:AU1224,$AQ$3:AQ1224,"D")</f>
        <v>6043.5774725271904</v>
      </c>
      <c r="BP1027" s="87">
        <f>SUMIFS($AS$3:AS1312,$AO$3:AO1312,"W")</f>
        <v>0</v>
      </c>
      <c r="BQ1027" s="87">
        <f>SUMIFS($AU$3:AU1224,$Q$3:Q1224,"O")</f>
        <v>-10627.940000000801</v>
      </c>
      <c r="BR1027" s="87">
        <f>SUMIFS($AU$3:AU1224,$AA$3:AA1224,"*")</f>
        <v>34522.202077921254</v>
      </c>
      <c r="BS1027" s="87">
        <f>SUMIFS($AU$3:AU1224,$AB$3:AB1224,"*")</f>
        <v>6281.8599999997014</v>
      </c>
      <c r="BT1027" s="87">
        <f>SUMIFS($AU$3:AU1224,$AC$3:AC1224,"*")</f>
        <v>28352.358121878111</v>
      </c>
      <c r="BU1027" s="87">
        <f>SUMIFS($AU$3:AU1224,$AA$3:AA1224,"*",$AB$3:AB1224,"*")</f>
        <v>7349.9999999995116</v>
      </c>
      <c r="BV1027" s="87">
        <f>SUMIFS($AU$3:AU1224,$AA$3:AA1224,"*",$AC$3:AC1224,"*")</f>
        <v>26125.316363636532</v>
      </c>
      <c r="BW1027" s="87">
        <f>SUMIFS($AU$3:AU1224,$AB$3:AB1224,"*",$AC$3:AC1224,"*")</f>
        <v>3595.199999999998</v>
      </c>
      <c r="BX1027" s="87">
        <f>SUMIFS($AV$3:AV1224,$Q$3:Q1224,"F")</f>
        <v>359.49922313274095</v>
      </c>
      <c r="BY1027" s="87">
        <f>SUMIFS($AV$3:AV1224,$Q$3:Q1224,"S")</f>
        <v>647.34380943819531</v>
      </c>
      <c r="BZ1027" s="87">
        <f>SUMIFS($AV$3:AV1224,$Q$3:Q1224,"O")</f>
        <v>134.16596666632353</v>
      </c>
    </row>
    <row r="1028" spans="1:78" ht="15.75" customHeight="1">
      <c r="A1028" s="45" t="s">
        <v>3000</v>
      </c>
      <c r="B1028" s="59">
        <v>45511</v>
      </c>
      <c r="C1028" s="46" t="s">
        <v>2657</v>
      </c>
      <c r="D1028" s="46" t="s">
        <v>186</v>
      </c>
      <c r="E1028" s="66"/>
      <c r="F1028" s="47"/>
      <c r="G1028" s="155" t="s">
        <v>181</v>
      </c>
      <c r="H1028" s="49"/>
      <c r="I1028" s="49"/>
      <c r="J1028" s="49"/>
      <c r="K1028" s="50"/>
      <c r="L1028" s="49">
        <v>1</v>
      </c>
      <c r="M1028" s="49"/>
      <c r="N1028" s="49"/>
      <c r="O1028" s="50" t="s">
        <v>100</v>
      </c>
      <c r="P1028" s="50" t="s">
        <v>101</v>
      </c>
      <c r="Q1028" s="50" t="s">
        <v>102</v>
      </c>
      <c r="R1028" s="50">
        <v>6</v>
      </c>
      <c r="S1028" s="50">
        <v>0</v>
      </c>
      <c r="T1028" s="50">
        <v>3</v>
      </c>
      <c r="U1028" s="50" t="s">
        <v>102</v>
      </c>
      <c r="V1028" s="50" t="s">
        <v>2898</v>
      </c>
      <c r="W1028" s="50" t="s">
        <v>3086</v>
      </c>
      <c r="X1028" s="50" t="s">
        <v>3026</v>
      </c>
      <c r="Y1028" s="51">
        <f>IF(ISBLANK(O1028),"",(IF(O1028=UPPER("IB"),0.005,0.01)))</f>
        <v>0.01</v>
      </c>
      <c r="Z1028" s="52">
        <f>IF(ISBLANK(O1028),"",IF(O1028="IB",8.63*200,IF(O1028="IR",16*100,IF(O1028="YT",20*100,IF(O1028="YT-XT",24*200,IF(O1028="TED",80*100,IF(O1028="XT",29*200)))))))</f>
        <v>1600</v>
      </c>
      <c r="AA1028" s="52" t="s">
        <v>3089</v>
      </c>
      <c r="AB1028" s="52"/>
      <c r="AC1028" s="52"/>
      <c r="AD1028" s="231">
        <v>-0.23</v>
      </c>
      <c r="AE1028" s="49"/>
      <c r="AF1028" s="84"/>
      <c r="AG1028" s="49"/>
      <c r="AH1028" s="49"/>
      <c r="AI1028" s="49"/>
      <c r="AJ1028" s="226"/>
      <c r="AK1028" s="49"/>
      <c r="AL1028" s="113">
        <f t="shared" si="416"/>
        <v>-32</v>
      </c>
      <c r="AM1028" s="113">
        <f t="shared" si="423"/>
        <v>-192</v>
      </c>
      <c r="AN1028" s="218"/>
      <c r="AO1028" s="49"/>
      <c r="AP1028" s="49"/>
      <c r="AQ1028" s="84" t="s">
        <v>142</v>
      </c>
      <c r="AR1028" s="49"/>
      <c r="AS1028" s="55">
        <v>-0.22</v>
      </c>
      <c r="AT1028" s="55">
        <f t="shared" si="424"/>
        <v>-1.0000000000000009E-2</v>
      </c>
      <c r="AU1028" s="54">
        <f t="shared" si="425"/>
        <v>-96.000000000000085</v>
      </c>
      <c r="AV1028" s="56">
        <f t="shared" si="417"/>
        <v>-16.000000000000014</v>
      </c>
      <c r="AW1028" s="57" t="s">
        <v>121</v>
      </c>
      <c r="AX1028" s="151" t="s">
        <v>582</v>
      </c>
      <c r="AY1028" s="151"/>
      <c r="AZ1028" s="151"/>
      <c r="BA1028" s="151"/>
      <c r="BB1028" s="153"/>
      <c r="BC1028" s="153"/>
      <c r="BD1028" s="151"/>
      <c r="BE1028" s="152"/>
      <c r="BF1028" s="151"/>
      <c r="BG1028" s="94">
        <f>SUM($AV$4:AV1028)</f>
        <v>6651.0742007024137</v>
      </c>
      <c r="BH1028" s="95">
        <f>SUM($AU$4:AU1028)</f>
        <v>38048.903836162965</v>
      </c>
      <c r="BI1028" s="80">
        <f>SUMIFS($AU$3:AU1225,$Q$3:Q1225,"F")</f>
        <v>27366.758121878131</v>
      </c>
      <c r="BJ1028" s="80">
        <f>SUMIFS($AU$3:AU1029,$Q$3:Q1029,"S")</f>
        <v>15650.285714285717</v>
      </c>
      <c r="BK1028" s="87">
        <f>SUMIFS($AU$3:AU1225,$P$3:P1225,"W")</f>
        <v>13893.423836163411</v>
      </c>
      <c r="BL1028" s="87">
        <f>SUMIFS($AU$3:AU1225,$P$3:P1225,"R")</f>
        <v>21150.800000000316</v>
      </c>
      <c r="BM1028" s="87">
        <f>SUMIFS($AU$3:AU1225,$AQ$3:AQ1225,"M")</f>
        <v>8785.3799999984803</v>
      </c>
      <c r="BN1028" s="87">
        <f>SUMIFS($AU$3:AU1225,$AQ$3:AQ1225,"H")</f>
        <v>14347.200000000703</v>
      </c>
      <c r="BO1028" s="87">
        <f>SUMIFS($AU$3:AU1225,$AQ$3:AQ1225,"D")</f>
        <v>6043.5774725271904</v>
      </c>
      <c r="BP1028" s="87">
        <f>SUMIFS($AS$3:AS1313,$AO$3:AO1313,"W")</f>
        <v>0</v>
      </c>
      <c r="BQ1028" s="87">
        <f>SUMIFS($AU$3:AU1225,$Q$3:Q1225,"O")</f>
        <v>-10627.940000000801</v>
      </c>
      <c r="BR1028" s="87">
        <f>SUMIFS($AU$3:AU1225,$AA$3:AA1225,"*")</f>
        <v>34522.202077921254</v>
      </c>
      <c r="BS1028" s="87">
        <f>SUMIFS($AU$3:AU1225,$AB$3:AB1225,"*")</f>
        <v>6281.8599999997014</v>
      </c>
      <c r="BT1028" s="87">
        <f>SUMIFS($AU$3:AU1225,$AC$3:AC1225,"*")</f>
        <v>28352.358121878111</v>
      </c>
      <c r="BU1028" s="87">
        <f>SUMIFS($AU$3:AU1225,$AA$3:AA1225,"*",$AB$3:AB1225,"*")</f>
        <v>7349.9999999995116</v>
      </c>
      <c r="BV1028" s="87">
        <f>SUMIFS($AU$3:AU1225,$AA$3:AA1225,"*",$AC$3:AC1225,"*")</f>
        <v>26125.316363636532</v>
      </c>
      <c r="BW1028" s="87">
        <f>SUMIFS($AU$3:AU1225,$AB$3:AB1225,"*",$AC$3:AC1225,"*")</f>
        <v>3595.199999999998</v>
      </c>
      <c r="BX1028" s="87">
        <f>SUMIFS($AV$3:AV1225,$Q$3:Q1225,"F")</f>
        <v>359.49922313274095</v>
      </c>
      <c r="BY1028" s="87">
        <f>SUMIFS($AV$3:AV1225,$Q$3:Q1225,"S")</f>
        <v>647.34380943819531</v>
      </c>
      <c r="BZ1028" s="87">
        <f>SUMIFS($AV$3:AV1225,$Q$3:Q1225,"O")</f>
        <v>134.16596666632353</v>
      </c>
    </row>
    <row r="1029" spans="1:78" ht="15.75" customHeight="1">
      <c r="A1029" s="45" t="s">
        <v>3000</v>
      </c>
      <c r="B1029" s="59">
        <v>45511</v>
      </c>
      <c r="C1029" s="46" t="s">
        <v>2657</v>
      </c>
      <c r="D1029" s="46" t="s">
        <v>186</v>
      </c>
      <c r="E1029" s="66"/>
      <c r="F1029" s="47"/>
      <c r="G1029" s="155" t="s">
        <v>276</v>
      </c>
      <c r="H1029" s="49"/>
      <c r="I1029" s="49"/>
      <c r="J1029" s="49"/>
      <c r="K1029" s="50"/>
      <c r="L1029" s="49">
        <v>1</v>
      </c>
      <c r="M1029" s="49"/>
      <c r="N1029" s="49"/>
      <c r="O1029" s="50" t="s">
        <v>100</v>
      </c>
      <c r="P1029" s="50" t="s">
        <v>101</v>
      </c>
      <c r="Q1029" s="50" t="s">
        <v>102</v>
      </c>
      <c r="R1029" s="50">
        <v>4</v>
      </c>
      <c r="S1029" s="50">
        <v>0</v>
      </c>
      <c r="T1029" s="50">
        <v>4</v>
      </c>
      <c r="U1029" s="50" t="s">
        <v>102</v>
      </c>
      <c r="V1029" s="50" t="s">
        <v>2898</v>
      </c>
      <c r="W1029" s="50" t="s">
        <v>3086</v>
      </c>
      <c r="X1029" s="50" t="s">
        <v>3026</v>
      </c>
      <c r="Y1029" s="51">
        <f>IF(ISBLANK(O1029),"",(IF(O1029=UPPER("IB"),0.005,0.01)))</f>
        <v>0.01</v>
      </c>
      <c r="Z1029" s="52">
        <f>IF(ISBLANK(O1029),"",IF(O1029="IB",8.63*200,IF(O1029="IR",16*100,IF(O1029="YT",20*100,IF(O1029="YT-XT",24*200,IF(O1029="TED",80*100,IF(O1029="XT",29*200)))))))</f>
        <v>1600</v>
      </c>
      <c r="AA1029" s="52" t="s">
        <v>3090</v>
      </c>
      <c r="AB1029" s="52"/>
      <c r="AC1029" s="52"/>
      <c r="AD1029" s="231">
        <v>-0.18</v>
      </c>
      <c r="AE1029" s="49"/>
      <c r="AF1029" s="84"/>
      <c r="AG1029" s="49"/>
      <c r="AH1029" s="49"/>
      <c r="AI1029" s="49"/>
      <c r="AJ1029" s="226" t="s">
        <v>3091</v>
      </c>
      <c r="AK1029" s="49"/>
      <c r="AL1029" s="113">
        <f t="shared" si="416"/>
        <v>-32</v>
      </c>
      <c r="AM1029" s="113">
        <f t="shared" si="423"/>
        <v>-128</v>
      </c>
      <c r="AN1029" s="218"/>
      <c r="AO1029" s="49"/>
      <c r="AP1029" s="49"/>
      <c r="AQ1029" s="84" t="s">
        <v>142</v>
      </c>
      <c r="AR1029" s="49"/>
      <c r="AS1029" s="55">
        <v>-0.16</v>
      </c>
      <c r="AT1029" s="55">
        <f t="shared" si="424"/>
        <v>-1.999999999999999E-2</v>
      </c>
      <c r="AU1029" s="54">
        <f t="shared" si="425"/>
        <v>-127.99999999999994</v>
      </c>
      <c r="AV1029" s="56">
        <f t="shared" si="417"/>
        <v>-31.999999999999986</v>
      </c>
      <c r="AW1029" s="57" t="s">
        <v>121</v>
      </c>
      <c r="AX1029" s="151"/>
      <c r="AY1029" s="151"/>
      <c r="AZ1029" s="151"/>
      <c r="BA1029" s="151"/>
      <c r="BB1029" s="153"/>
      <c r="BC1029" s="153"/>
      <c r="BD1029" s="151"/>
      <c r="BE1029" s="152"/>
      <c r="BF1029" s="151"/>
      <c r="BG1029" s="94">
        <f>SUM($AV$4:AV1029)</f>
        <v>6619.0742007024137</v>
      </c>
      <c r="BH1029" s="95">
        <f>SUM($AU$4:AU1029)</f>
        <v>37920.903836162965</v>
      </c>
      <c r="BI1029" s="80">
        <f>SUMIFS($AU$3:AU1226,$Q$3:Q1226,"F")</f>
        <v>27366.758121878131</v>
      </c>
      <c r="BJ1029" s="80">
        <f>SUMIFS($AU$3:AU1030,$Q$3:Q1030,"S")</f>
        <v>15650.285714285717</v>
      </c>
      <c r="BK1029" s="87">
        <f>SUMIFS($AU$3:AU1226,$P$3:P1226,"W")</f>
        <v>13893.423836163411</v>
      </c>
      <c r="BL1029" s="87">
        <f>SUMIFS($AU$3:AU1226,$P$3:P1226,"R")</f>
        <v>21150.800000000316</v>
      </c>
      <c r="BM1029" s="87">
        <f>SUMIFS($AU$3:AU1226,$AQ$3:AQ1226,"M")</f>
        <v>8785.3799999984803</v>
      </c>
      <c r="BN1029" s="87">
        <f>SUMIFS($AU$3:AU1226,$AQ$3:AQ1226,"H")</f>
        <v>14347.200000000703</v>
      </c>
      <c r="BO1029" s="87">
        <f>SUMIFS($AU$3:AU1226,$AQ$3:AQ1226,"D")</f>
        <v>6043.5774725271904</v>
      </c>
      <c r="BP1029" s="87">
        <f>SUMIFS($AS$3:AS1314,$AO$3:AO1314,"W")</f>
        <v>0</v>
      </c>
      <c r="BQ1029" s="87">
        <f>SUMIFS($AU$3:AU1226,$Q$3:Q1226,"O")</f>
        <v>-10627.940000000801</v>
      </c>
      <c r="BR1029" s="87">
        <f>SUMIFS($AU$3:AU1226,$AA$3:AA1226,"*")</f>
        <v>34522.202077921254</v>
      </c>
      <c r="BS1029" s="87">
        <f>SUMIFS($AU$3:AU1226,$AB$3:AB1226,"*")</f>
        <v>6281.8599999997014</v>
      </c>
      <c r="BT1029" s="87">
        <f>SUMIFS($AU$3:AU1226,$AC$3:AC1226,"*")</f>
        <v>28352.358121878111</v>
      </c>
      <c r="BU1029" s="87">
        <f>SUMIFS($AU$3:AU1226,$AA$3:AA1226,"*",$AB$3:AB1226,"*")</f>
        <v>7349.9999999995116</v>
      </c>
      <c r="BV1029" s="87">
        <f>SUMIFS($AU$3:AU1226,$AA$3:AA1226,"*",$AC$3:AC1226,"*")</f>
        <v>26125.316363636532</v>
      </c>
      <c r="BW1029" s="87">
        <f>SUMIFS($AU$3:AU1226,$AB$3:AB1226,"*",$AC$3:AC1226,"*")</f>
        <v>3595.199999999998</v>
      </c>
      <c r="BX1029" s="87">
        <f>SUMIFS($AV$3:AV1226,$Q$3:Q1226,"F")</f>
        <v>359.49922313274095</v>
      </c>
      <c r="BY1029" s="87">
        <f>SUMIFS($AV$3:AV1226,$Q$3:Q1226,"S")</f>
        <v>647.34380943819531</v>
      </c>
      <c r="BZ1029" s="87">
        <f>SUMIFS($AV$3:AV1226,$Q$3:Q1226,"O")</f>
        <v>134.16596666632353</v>
      </c>
    </row>
    <row r="1030" spans="1:78" ht="15.75" customHeight="1">
      <c r="A1030" s="45" t="s">
        <v>3000</v>
      </c>
      <c r="B1030" s="59"/>
      <c r="C1030" s="46"/>
      <c r="D1030" s="46"/>
      <c r="E1030" s="66"/>
      <c r="F1030" s="47"/>
      <c r="G1030" s="48"/>
      <c r="H1030" s="49"/>
      <c r="I1030" s="49"/>
      <c r="J1030" s="49"/>
      <c r="K1030" s="50"/>
      <c r="L1030" s="49"/>
      <c r="M1030" s="49"/>
      <c r="N1030" s="49"/>
      <c r="O1030" s="50"/>
      <c r="P1030" s="50"/>
      <c r="Q1030" s="50"/>
      <c r="R1030" s="50"/>
      <c r="S1030" s="50"/>
      <c r="T1030" s="50"/>
      <c r="U1030" s="50"/>
      <c r="V1030" s="50"/>
      <c r="W1030" s="50"/>
      <c r="X1030" s="50"/>
      <c r="Y1030" s="50"/>
      <c r="Z1030" s="50"/>
      <c r="AA1030" s="52"/>
      <c r="AB1030" s="52"/>
      <c r="AC1030" s="52"/>
      <c r="AD1030" s="231"/>
      <c r="AE1030" s="49"/>
      <c r="AF1030" s="84"/>
      <c r="AG1030" s="49"/>
      <c r="AH1030" s="49"/>
      <c r="AI1030" s="49"/>
      <c r="AJ1030" s="226"/>
      <c r="AK1030" s="49"/>
      <c r="AL1030" s="113">
        <f t="shared" si="416"/>
        <v>0</v>
      </c>
      <c r="AM1030" s="113">
        <f t="shared" si="423"/>
        <v>0</v>
      </c>
      <c r="AN1030" s="218"/>
      <c r="AO1030" s="49"/>
      <c r="AP1030" s="49"/>
      <c r="AQ1030" s="84" t="str">
        <f>UPPER(RIGHT(Journal_Live[[#This Row],[DURATION ]]))</f>
        <v/>
      </c>
      <c r="AR1030" s="49"/>
      <c r="AS1030" s="55"/>
      <c r="AT1030" s="55">
        <f t="shared" si="424"/>
        <v>0</v>
      </c>
      <c r="AU1030" s="54">
        <f t="shared" si="425"/>
        <v>0</v>
      </c>
      <c r="AV1030" s="56">
        <f t="shared" si="417"/>
        <v>0</v>
      </c>
      <c r="AW1030" s="57"/>
      <c r="AX1030" s="151" t="s">
        <v>1398</v>
      </c>
      <c r="AY1030" s="225" t="s">
        <v>3092</v>
      </c>
      <c r="AZ1030" s="225" t="s">
        <v>3093</v>
      </c>
      <c r="BA1030" s="225" t="s">
        <v>3094</v>
      </c>
      <c r="BB1030" s="225" t="s">
        <v>3095</v>
      </c>
      <c r="BC1030" s="225" t="s">
        <v>3096</v>
      </c>
      <c r="BD1030" s="225" t="s">
        <v>3097</v>
      </c>
      <c r="BE1030" s="152" t="s">
        <v>3098</v>
      </c>
      <c r="BF1030" s="151"/>
      <c r="BG1030" s="94">
        <f>SUM($AV$4:AV1030)</f>
        <v>6619.0742007024137</v>
      </c>
      <c r="BH1030" s="95">
        <f>SUM($AU$4:AU1030)</f>
        <v>37920.903836162965</v>
      </c>
      <c r="BI1030" s="80">
        <f>SUMIFS($AU$3:AU1227,$Q$3:Q1227,"F")</f>
        <v>27366.758121878131</v>
      </c>
      <c r="BJ1030" s="80">
        <f>SUMIFS($AU$3:AU1038,$Q$3:Q1038,"S")</f>
        <v>15650.285714285717</v>
      </c>
      <c r="BK1030" s="87">
        <f>SUMIFS($AU$3:AU1227,$P$3:P1227,"W")</f>
        <v>13893.423836163411</v>
      </c>
      <c r="BL1030" s="87">
        <f>SUMIFS($AU$3:AU1227,$P$3:P1227,"R")</f>
        <v>21150.800000000316</v>
      </c>
      <c r="BM1030" s="87">
        <f>SUMIFS($AU$3:AU1227,$AQ$3:AQ1227,"M")</f>
        <v>8785.3799999984803</v>
      </c>
      <c r="BN1030" s="87">
        <f>SUMIFS($AU$3:AU1227,$AQ$3:AQ1227,"H")</f>
        <v>14347.200000000703</v>
      </c>
      <c r="BO1030" s="87">
        <f>SUMIFS($AU$3:AU1227,$AQ$3:AQ1227,"D")</f>
        <v>6043.5774725271904</v>
      </c>
      <c r="BP1030" s="87">
        <f>SUMIFS($AS$3:AS1315,$AO$3:AO1315,"W")</f>
        <v>0</v>
      </c>
      <c r="BQ1030" s="87">
        <f>SUMIFS($AU$3:AU1227,$Q$3:Q1227,"O")</f>
        <v>-10627.940000000801</v>
      </c>
      <c r="BR1030" s="87">
        <f>SUMIFS($AU$3:AU1227,$AA$3:AA1227,"*")</f>
        <v>34522.202077921254</v>
      </c>
      <c r="BS1030" s="87">
        <f>SUMIFS($AU$3:AU1227,$AB$3:AB1227,"*")</f>
        <v>6281.8599999997014</v>
      </c>
      <c r="BT1030" s="87">
        <f>SUMIFS($AU$3:AU1227,$AC$3:AC1227,"*")</f>
        <v>28352.358121878111</v>
      </c>
      <c r="BU1030" s="87">
        <f>SUMIFS($AU$3:AU1227,$AA$3:AA1227,"*",$AB$3:AB1227,"*")</f>
        <v>7349.9999999995116</v>
      </c>
      <c r="BV1030" s="87">
        <f>SUMIFS($AU$3:AU1227,$AA$3:AA1227,"*",$AC$3:AC1227,"*")</f>
        <v>26125.316363636532</v>
      </c>
      <c r="BW1030" s="87">
        <f>SUMIFS($AU$3:AU1227,$AB$3:AB1227,"*",$AC$3:AC1227,"*")</f>
        <v>3595.199999999998</v>
      </c>
      <c r="BX1030" s="87">
        <f>SUMIFS($AV$3:AV1227,$Q$3:Q1227,"F")</f>
        <v>359.49922313274095</v>
      </c>
      <c r="BY1030" s="87">
        <f>SUMIFS($AV$3:AV1227,$Q$3:Q1227,"S")</f>
        <v>647.34380943819531</v>
      </c>
      <c r="BZ1030" s="87">
        <f>SUMIFS($AV$3:AV1227,$Q$3:Q1227,"O")</f>
        <v>134.16596666632353</v>
      </c>
    </row>
    <row r="1031" spans="1:78" ht="15.75" customHeight="1">
      <c r="A1031" s="45" t="s">
        <v>3000</v>
      </c>
      <c r="B1031" s="59"/>
      <c r="C1031" s="46"/>
      <c r="D1031" s="46"/>
      <c r="E1031" s="66"/>
      <c r="F1031" s="47"/>
      <c r="G1031" s="48"/>
      <c r="H1031" s="49"/>
      <c r="I1031" s="49"/>
      <c r="J1031" s="49"/>
      <c r="K1031" s="50"/>
      <c r="L1031" s="49"/>
      <c r="M1031" s="49"/>
      <c r="N1031" s="49"/>
      <c r="O1031" s="50"/>
      <c r="P1031" s="50"/>
      <c r="Q1031" s="50"/>
      <c r="R1031" s="50"/>
      <c r="S1031" s="50"/>
      <c r="T1031" s="50"/>
      <c r="U1031" s="50"/>
      <c r="V1031" s="50"/>
      <c r="W1031" s="50"/>
      <c r="X1031" s="50"/>
      <c r="Y1031" s="50"/>
      <c r="Z1031" s="50"/>
      <c r="AA1031" s="52"/>
      <c r="AB1031" s="52"/>
      <c r="AC1031" s="52"/>
      <c r="AD1031" s="231"/>
      <c r="AE1031" s="49"/>
      <c r="AF1031" s="84"/>
      <c r="AG1031" s="49"/>
      <c r="AH1031" s="49"/>
      <c r="AI1031" s="49"/>
      <c r="AJ1031" s="226"/>
      <c r="AK1031" s="49"/>
      <c r="AL1031" s="113">
        <f t="shared" ref="AL1031:AL1037" si="426">-0.02*Z1031</f>
        <v>0</v>
      </c>
      <c r="AM1031" s="113">
        <f t="shared" ref="AM1031:AM1037" si="427">AL1031*(R1031-S1031)</f>
        <v>0</v>
      </c>
      <c r="AN1031" s="218"/>
      <c r="AO1031" s="49"/>
      <c r="AP1031" s="49"/>
      <c r="AQ1031" s="84" t="str">
        <f>UPPER(RIGHT(Journal_Live[[#This Row],[DURATION ]]))</f>
        <v/>
      </c>
      <c r="AR1031" s="49"/>
      <c r="AS1031" s="55"/>
      <c r="AT1031" s="55">
        <f t="shared" ref="AT1031:AT1037" si="428">IF(ISBLANK(AS1031),,IF(U1031="S",AD1031-AS1031,AS1031-AD1031))</f>
        <v>0</v>
      </c>
      <c r="AU1031" s="54">
        <f t="shared" ref="AU1031:AU1037" si="429">AV1031*R1031</f>
        <v>0</v>
      </c>
      <c r="AV1031" s="56">
        <f t="shared" ref="AV1031:AV1037" si="430">IF(ISBLANK(AS1031),,(AT1031*Z1031))</f>
        <v>0</v>
      </c>
      <c r="AW1031" s="57"/>
      <c r="AX1031" s="151" t="s">
        <v>3074</v>
      </c>
      <c r="AY1031" s="151" t="s">
        <v>3099</v>
      </c>
      <c r="AZ1031" s="151"/>
      <c r="BA1031" s="151"/>
      <c r="BB1031" s="153"/>
      <c r="BC1031" s="153"/>
      <c r="BD1031" s="151"/>
      <c r="BE1031" s="152"/>
      <c r="BF1031" s="151"/>
      <c r="BG1031" s="94">
        <f>SUM($AV$4:AV1031)</f>
        <v>6619.0742007024137</v>
      </c>
      <c r="BH1031" s="95">
        <f>SUM($AU$4:AU1031)</f>
        <v>37920.903836162965</v>
      </c>
      <c r="BI1031" s="80">
        <f>SUMIFS($AU$3:AU1221,$Q$3:Q1221,"F")</f>
        <v>27366.758121878131</v>
      </c>
      <c r="BJ1031" s="80">
        <f>SUMIFS($AU$3:AU1032,$Q$3:Q1032,"S")</f>
        <v>15650.285714285717</v>
      </c>
      <c r="BK1031" s="87">
        <f>SUMIFS($AU$3:AU1221,$P$3:P1221,"W")</f>
        <v>13893.423836163411</v>
      </c>
      <c r="BL1031" s="87">
        <f>SUMIFS($AU$3:AU1221,$P$3:P1221,"R")</f>
        <v>21150.800000000316</v>
      </c>
      <c r="BM1031" s="87">
        <f>SUMIFS($AU$3:AU1221,$AQ$3:AQ1221,"M")</f>
        <v>8785.3799999984803</v>
      </c>
      <c r="BN1031" s="87">
        <f>SUMIFS($AU$3:AU1221,$AQ$3:AQ1221,"H")</f>
        <v>14347.200000000703</v>
      </c>
      <c r="BO1031" s="87">
        <f>SUMIFS($AU$3:AU1221,$AQ$3:AQ1221,"D")</f>
        <v>6043.5774725271904</v>
      </c>
      <c r="BP1031" s="87">
        <f>SUMIFS($AS$3:AS1309,$AO$3:AO1309,"W")</f>
        <v>0</v>
      </c>
      <c r="BQ1031" s="87">
        <f>SUMIFS($AU$3:AU1221,$Q$3:Q1221,"O")</f>
        <v>-10627.940000000801</v>
      </c>
      <c r="BR1031" s="87">
        <f>SUMIFS($AU$3:AU1221,$AA$3:AA1221,"*")</f>
        <v>34522.202077921254</v>
      </c>
      <c r="BS1031" s="87">
        <f>SUMIFS($AU$3:AU1221,$AB$3:AB1221,"*")</f>
        <v>6281.8599999997014</v>
      </c>
      <c r="BT1031" s="87">
        <f>SUMIFS($AU$3:AU1221,$AC$3:AC1221,"*")</f>
        <v>28352.358121878111</v>
      </c>
      <c r="BU1031" s="87">
        <f>SUMIFS($AU$3:AU1221,$AA$3:AA1221,"*",$AB$3:AB1221,"*")</f>
        <v>7349.9999999995116</v>
      </c>
      <c r="BV1031" s="87">
        <f>SUMIFS($AU$3:AU1221,$AA$3:AA1221,"*",$AC$3:AC1221,"*")</f>
        <v>26125.316363636532</v>
      </c>
      <c r="BW1031" s="87">
        <f>SUMIFS($AU$3:AU1221,$AB$3:AB1221,"*",$AC$3:AC1221,"*")</f>
        <v>3595.199999999998</v>
      </c>
      <c r="BX1031" s="87">
        <f>SUMIFS($AV$3:AV1221,$Q$3:Q1221,"F")</f>
        <v>359.49922313274095</v>
      </c>
      <c r="BY1031" s="87">
        <f>SUMIFS($AV$3:AV1221,$Q$3:Q1221,"S")</f>
        <v>647.34380943819531</v>
      </c>
      <c r="BZ1031" s="87">
        <f>SUMIFS($AV$3:AV1221,$Q$3:Q1221,"O")</f>
        <v>134.16596666632353</v>
      </c>
    </row>
    <row r="1032" spans="1:78" ht="15.75" customHeight="1">
      <c r="A1032" s="45" t="s">
        <v>3000</v>
      </c>
      <c r="B1032" s="59"/>
      <c r="C1032" s="46"/>
      <c r="D1032" s="46"/>
      <c r="E1032" s="66"/>
      <c r="F1032" s="47"/>
      <c r="G1032" s="48"/>
      <c r="H1032" s="49"/>
      <c r="I1032" s="49"/>
      <c r="J1032" s="49"/>
      <c r="K1032" s="50"/>
      <c r="L1032" s="49"/>
      <c r="M1032" s="49"/>
      <c r="N1032" s="49"/>
      <c r="O1032" s="50"/>
      <c r="P1032" s="50"/>
      <c r="Q1032" s="50"/>
      <c r="R1032" s="50"/>
      <c r="S1032" s="50"/>
      <c r="T1032" s="50"/>
      <c r="U1032" s="50"/>
      <c r="V1032" s="50"/>
      <c r="W1032" s="50"/>
      <c r="X1032" s="50"/>
      <c r="Y1032" s="50"/>
      <c r="Z1032" s="50"/>
      <c r="AA1032" s="52"/>
      <c r="AB1032" s="52"/>
      <c r="AC1032" s="52"/>
      <c r="AD1032" s="231"/>
      <c r="AE1032" s="49"/>
      <c r="AF1032" s="84"/>
      <c r="AG1032" s="49"/>
      <c r="AH1032" s="49"/>
      <c r="AI1032" s="49"/>
      <c r="AJ1032" s="226"/>
      <c r="AK1032" s="49"/>
      <c r="AL1032" s="113">
        <f t="shared" si="426"/>
        <v>0</v>
      </c>
      <c r="AM1032" s="113">
        <f t="shared" si="427"/>
        <v>0</v>
      </c>
      <c r="AN1032" s="218"/>
      <c r="AO1032" s="49"/>
      <c r="AP1032" s="49"/>
      <c r="AQ1032" s="84" t="str">
        <f>UPPER(RIGHT(Journal_Live[[#This Row],[DURATION ]]))</f>
        <v/>
      </c>
      <c r="AR1032" s="49"/>
      <c r="AS1032" s="55"/>
      <c r="AT1032" s="55">
        <f t="shared" si="428"/>
        <v>0</v>
      </c>
      <c r="AU1032" s="54">
        <f t="shared" si="429"/>
        <v>0</v>
      </c>
      <c r="AV1032" s="56">
        <f t="shared" si="430"/>
        <v>0</v>
      </c>
      <c r="AW1032" s="57"/>
      <c r="AX1032" s="151" t="s">
        <v>3100</v>
      </c>
      <c r="AY1032" s="151" t="s">
        <v>3101</v>
      </c>
      <c r="AZ1032" s="151" t="s">
        <v>3102</v>
      </c>
      <c r="BA1032" s="151" t="s">
        <v>3103</v>
      </c>
      <c r="BB1032" s="151" t="s">
        <v>3104</v>
      </c>
      <c r="BC1032" s="151" t="s">
        <v>3105</v>
      </c>
      <c r="BD1032" s="151" t="s">
        <v>3106</v>
      </c>
      <c r="BE1032" s="152" t="s">
        <v>3107</v>
      </c>
      <c r="BF1032" s="151"/>
      <c r="BG1032" s="94">
        <f>SUM($AV$4:AV1032)</f>
        <v>6619.0742007024137</v>
      </c>
      <c r="BH1032" s="95">
        <f>SUM($AU$4:AU1032)</f>
        <v>37920.903836162965</v>
      </c>
      <c r="BI1032" s="80">
        <f>SUMIFS($AU$3:AU1222,$Q$3:Q1222,"F")</f>
        <v>27366.758121878131</v>
      </c>
      <c r="BJ1032" s="80">
        <f>SUMIFS($AU$3:AU1033,$Q$3:Q1033,"S")</f>
        <v>15650.285714285717</v>
      </c>
      <c r="BK1032" s="87">
        <f>SUMIFS($AU$3:AU1222,$P$3:P1222,"W")</f>
        <v>13893.423836163411</v>
      </c>
      <c r="BL1032" s="87">
        <f>SUMIFS($AU$3:AU1222,$P$3:P1222,"R")</f>
        <v>21150.800000000316</v>
      </c>
      <c r="BM1032" s="87">
        <f>SUMIFS($AU$3:AU1222,$AQ$3:AQ1222,"M")</f>
        <v>8785.3799999984803</v>
      </c>
      <c r="BN1032" s="87">
        <f>SUMIFS($AU$3:AU1222,$AQ$3:AQ1222,"H")</f>
        <v>14347.200000000703</v>
      </c>
      <c r="BO1032" s="87">
        <f>SUMIFS($AU$3:AU1222,$AQ$3:AQ1222,"D")</f>
        <v>6043.5774725271904</v>
      </c>
      <c r="BP1032" s="87">
        <f>SUMIFS($AS$3:AS1310,$AO$3:AO1310,"W")</f>
        <v>0</v>
      </c>
      <c r="BQ1032" s="87">
        <f>SUMIFS($AU$3:AU1222,$Q$3:Q1222,"O")</f>
        <v>-10627.940000000801</v>
      </c>
      <c r="BR1032" s="87">
        <f>SUMIFS($AU$3:AU1222,$AA$3:AA1222,"*")</f>
        <v>34522.202077921254</v>
      </c>
      <c r="BS1032" s="87">
        <f>SUMIFS($AU$3:AU1222,$AB$3:AB1222,"*")</f>
        <v>6281.8599999997014</v>
      </c>
      <c r="BT1032" s="87">
        <f>SUMIFS($AU$3:AU1222,$AC$3:AC1222,"*")</f>
        <v>28352.358121878111</v>
      </c>
      <c r="BU1032" s="87">
        <f>SUMIFS($AU$3:AU1222,$AA$3:AA1222,"*",$AB$3:AB1222,"*")</f>
        <v>7349.9999999995116</v>
      </c>
      <c r="BV1032" s="87">
        <f>SUMIFS($AU$3:AU1222,$AA$3:AA1222,"*",$AC$3:AC1222,"*")</f>
        <v>26125.316363636532</v>
      </c>
      <c r="BW1032" s="87">
        <f>SUMIFS($AU$3:AU1222,$AB$3:AB1222,"*",$AC$3:AC1222,"*")</f>
        <v>3595.199999999998</v>
      </c>
      <c r="BX1032" s="87">
        <f>SUMIFS($AV$3:AV1222,$Q$3:Q1222,"F")</f>
        <v>359.49922313274095</v>
      </c>
      <c r="BY1032" s="87">
        <f>SUMIFS($AV$3:AV1222,$Q$3:Q1222,"S")</f>
        <v>647.34380943819531</v>
      </c>
      <c r="BZ1032" s="87">
        <f>SUMIFS($AV$3:AV1222,$Q$3:Q1222,"O")</f>
        <v>134.16596666632353</v>
      </c>
    </row>
    <row r="1033" spans="1:78" ht="15.75" customHeight="1">
      <c r="A1033" s="45" t="s">
        <v>3000</v>
      </c>
      <c r="B1033" s="59"/>
      <c r="C1033" s="46"/>
      <c r="D1033" s="46"/>
      <c r="E1033" s="66"/>
      <c r="F1033" s="47"/>
      <c r="G1033" s="48"/>
      <c r="H1033" s="49"/>
      <c r="I1033" s="49"/>
      <c r="J1033" s="49"/>
      <c r="K1033" s="50"/>
      <c r="L1033" s="49"/>
      <c r="M1033" s="49"/>
      <c r="N1033" s="49"/>
      <c r="O1033" s="50"/>
      <c r="P1033" s="50"/>
      <c r="Q1033" s="50"/>
      <c r="R1033" s="50"/>
      <c r="S1033" s="50"/>
      <c r="T1033" s="50"/>
      <c r="U1033" s="50"/>
      <c r="V1033" s="50"/>
      <c r="W1033" s="50"/>
      <c r="X1033" s="50"/>
      <c r="Y1033" s="50"/>
      <c r="Z1033" s="50"/>
      <c r="AA1033" s="52"/>
      <c r="AB1033" s="52"/>
      <c r="AC1033" s="52"/>
      <c r="AD1033" s="231"/>
      <c r="AE1033" s="49"/>
      <c r="AF1033" s="84"/>
      <c r="AG1033" s="49"/>
      <c r="AH1033" s="49"/>
      <c r="AI1033" s="49"/>
      <c r="AJ1033" s="226"/>
      <c r="AK1033" s="49"/>
      <c r="AL1033" s="113">
        <f t="shared" si="426"/>
        <v>0</v>
      </c>
      <c r="AM1033" s="113">
        <f t="shared" si="427"/>
        <v>0</v>
      </c>
      <c r="AN1033" s="218"/>
      <c r="AO1033" s="49"/>
      <c r="AP1033" s="49"/>
      <c r="AQ1033" s="84" t="str">
        <f>UPPER(RIGHT(Journal_Live[[#This Row],[DURATION ]]))</f>
        <v/>
      </c>
      <c r="AR1033" s="49"/>
      <c r="AS1033" s="55"/>
      <c r="AT1033" s="55">
        <f t="shared" si="428"/>
        <v>0</v>
      </c>
      <c r="AU1033" s="54">
        <f t="shared" si="429"/>
        <v>0</v>
      </c>
      <c r="AV1033" s="56">
        <f t="shared" si="430"/>
        <v>0</v>
      </c>
      <c r="AW1033" s="57"/>
      <c r="AX1033" s="151" t="s">
        <v>3108</v>
      </c>
      <c r="AY1033" s="151" t="s">
        <v>3109</v>
      </c>
      <c r="AZ1033" s="151" t="s">
        <v>3110</v>
      </c>
      <c r="BA1033" s="151"/>
      <c r="BB1033" s="153"/>
      <c r="BC1033" s="153"/>
      <c r="BD1033" s="151"/>
      <c r="BE1033" s="152"/>
      <c r="BF1033" s="151"/>
      <c r="BG1033" s="94">
        <f>SUM($AV$4:AV1033)</f>
        <v>6619.0742007024137</v>
      </c>
      <c r="BH1033" s="95">
        <f>SUM($AU$4:AU1033)</f>
        <v>37920.903836162965</v>
      </c>
      <c r="BI1033" s="80">
        <f>SUMIFS($AU$3:AU1223,$Q$3:Q1223,"F")</f>
        <v>27366.758121878131</v>
      </c>
      <c r="BJ1033" s="80">
        <f>SUMIFS($AU$3:AU1034,$Q$3:Q1034,"S")</f>
        <v>15650.285714285717</v>
      </c>
      <c r="BK1033" s="87">
        <f>SUMIFS($AU$3:AU1223,$P$3:P1223,"W")</f>
        <v>13893.423836163411</v>
      </c>
      <c r="BL1033" s="87">
        <f>SUMIFS($AU$3:AU1223,$P$3:P1223,"R")</f>
        <v>21150.800000000316</v>
      </c>
      <c r="BM1033" s="87">
        <f>SUMIFS($AU$3:AU1223,$AQ$3:AQ1223,"M")</f>
        <v>8785.3799999984803</v>
      </c>
      <c r="BN1033" s="87">
        <f>SUMIFS($AU$3:AU1223,$AQ$3:AQ1223,"H")</f>
        <v>14347.200000000703</v>
      </c>
      <c r="BO1033" s="87">
        <f>SUMIFS($AU$3:AU1223,$AQ$3:AQ1223,"D")</f>
        <v>6043.5774725271904</v>
      </c>
      <c r="BP1033" s="87">
        <f>SUMIFS($AS$3:AS1311,$AO$3:AO1311,"W")</f>
        <v>0</v>
      </c>
      <c r="BQ1033" s="87">
        <f>SUMIFS($AU$3:AU1223,$Q$3:Q1223,"O")</f>
        <v>-10627.940000000801</v>
      </c>
      <c r="BR1033" s="87">
        <f>SUMIFS($AU$3:AU1223,$AA$3:AA1223,"*")</f>
        <v>34522.202077921254</v>
      </c>
      <c r="BS1033" s="87">
        <f>SUMIFS($AU$3:AU1223,$AB$3:AB1223,"*")</f>
        <v>6281.8599999997014</v>
      </c>
      <c r="BT1033" s="87">
        <f>SUMIFS($AU$3:AU1223,$AC$3:AC1223,"*")</f>
        <v>28352.358121878111</v>
      </c>
      <c r="BU1033" s="87">
        <f>SUMIFS($AU$3:AU1223,$AA$3:AA1223,"*",$AB$3:AB1223,"*")</f>
        <v>7349.9999999995116</v>
      </c>
      <c r="BV1033" s="87">
        <f>SUMIFS($AU$3:AU1223,$AA$3:AA1223,"*",$AC$3:AC1223,"*")</f>
        <v>26125.316363636532</v>
      </c>
      <c r="BW1033" s="87">
        <f>SUMIFS($AU$3:AU1223,$AB$3:AB1223,"*",$AC$3:AC1223,"*")</f>
        <v>3595.199999999998</v>
      </c>
      <c r="BX1033" s="87">
        <f>SUMIFS($AV$3:AV1223,$Q$3:Q1223,"F")</f>
        <v>359.49922313274095</v>
      </c>
      <c r="BY1033" s="87">
        <f>SUMIFS($AV$3:AV1223,$Q$3:Q1223,"S")</f>
        <v>647.34380943819531</v>
      </c>
      <c r="BZ1033" s="87">
        <f>SUMIFS($AV$3:AV1223,$Q$3:Q1223,"O")</f>
        <v>134.16596666632353</v>
      </c>
    </row>
    <row r="1034" spans="1:78" ht="15.75" customHeight="1">
      <c r="A1034" s="45" t="s">
        <v>3000</v>
      </c>
      <c r="B1034" s="59">
        <v>45513</v>
      </c>
      <c r="C1034" s="46" t="s">
        <v>1538</v>
      </c>
      <c r="D1034" s="46" t="s">
        <v>115</v>
      </c>
      <c r="E1034" s="66"/>
      <c r="F1034" s="47"/>
      <c r="G1034" s="155" t="s">
        <v>181</v>
      </c>
      <c r="H1034" s="49"/>
      <c r="I1034" s="49"/>
      <c r="J1034" s="49"/>
      <c r="K1034" s="50"/>
      <c r="L1034" s="49">
        <v>1</v>
      </c>
      <c r="M1034" s="49"/>
      <c r="N1034" s="49"/>
      <c r="O1034" s="50" t="s">
        <v>100</v>
      </c>
      <c r="P1034" s="50" t="s">
        <v>101</v>
      </c>
      <c r="Q1034" s="50" t="s">
        <v>102</v>
      </c>
      <c r="R1034" s="50">
        <v>3</v>
      </c>
      <c r="S1034" s="50">
        <v>0</v>
      </c>
      <c r="T1034" s="50">
        <v>3</v>
      </c>
      <c r="U1034" s="50" t="s">
        <v>22</v>
      </c>
      <c r="V1034" s="50" t="s">
        <v>2898</v>
      </c>
      <c r="W1034" s="50" t="s">
        <v>3086</v>
      </c>
      <c r="X1034" s="50"/>
      <c r="Y1034" s="51">
        <f>IF(ISBLANK(O1034),"",(IF(O1034=UPPER("IB"),0.005,0.01)))</f>
        <v>0.01</v>
      </c>
      <c r="Z1034" s="52">
        <f>IF(ISBLANK(O1034),"",IF(O1034="IB",8.63*200,IF(O1034="IR",16*100,IF(O1034="YT",20*100,IF(O1034="YT-XT",24*200,IF(O1034="TED",80*100,IF(O1034="XT",29*200)))))))</f>
        <v>1600</v>
      </c>
      <c r="AA1034" s="52" t="s">
        <v>908</v>
      </c>
      <c r="AB1034" s="52"/>
      <c r="AC1034" s="52"/>
      <c r="AD1034" s="231">
        <v>-0.23</v>
      </c>
      <c r="AE1034" s="49"/>
      <c r="AF1034" s="84"/>
      <c r="AG1034" s="49"/>
      <c r="AH1034" s="49"/>
      <c r="AI1034" s="49"/>
      <c r="AJ1034" s="226"/>
      <c r="AK1034" s="49"/>
      <c r="AL1034" s="113">
        <f t="shared" si="426"/>
        <v>-32</v>
      </c>
      <c r="AM1034" s="113">
        <f t="shared" si="427"/>
        <v>-96</v>
      </c>
      <c r="AN1034" s="218"/>
      <c r="AO1034" s="49"/>
      <c r="AP1034" s="49"/>
      <c r="AQ1034" s="84" t="s">
        <v>142</v>
      </c>
      <c r="AR1034" s="49"/>
      <c r="AS1034" s="55">
        <v>-0.23</v>
      </c>
      <c r="AT1034" s="55">
        <f t="shared" si="428"/>
        <v>0</v>
      </c>
      <c r="AU1034" s="54">
        <f t="shared" si="429"/>
        <v>0</v>
      </c>
      <c r="AV1034" s="56">
        <f t="shared" si="430"/>
        <v>0</v>
      </c>
      <c r="AW1034" s="57" t="s">
        <v>155</v>
      </c>
      <c r="AX1034" s="151"/>
      <c r="AY1034" s="151"/>
      <c r="AZ1034" s="151"/>
      <c r="BA1034" s="151"/>
      <c r="BB1034" s="153"/>
      <c r="BC1034" s="153"/>
      <c r="BD1034" s="151"/>
      <c r="BE1034" s="152"/>
      <c r="BF1034" s="151"/>
      <c r="BG1034" s="94"/>
      <c r="BH1034" s="95"/>
      <c r="BI1034" s="80"/>
      <c r="BJ1034" s="80"/>
      <c r="BK1034" s="87"/>
      <c r="BL1034" s="87"/>
      <c r="BM1034" s="87"/>
      <c r="BN1034" s="87"/>
      <c r="BO1034" s="87"/>
      <c r="BP1034" s="87"/>
      <c r="BQ1034" s="87"/>
      <c r="BR1034" s="87"/>
      <c r="BS1034" s="87"/>
      <c r="BT1034" s="87"/>
      <c r="BU1034" s="87"/>
      <c r="BV1034" s="87"/>
      <c r="BW1034" s="87"/>
      <c r="BX1034" s="87"/>
      <c r="BY1034" s="87"/>
      <c r="BZ1034" s="87"/>
    </row>
    <row r="1035" spans="1:78" ht="15.75" customHeight="1">
      <c r="A1035" s="45" t="s">
        <v>3006</v>
      </c>
      <c r="B1035" s="59"/>
      <c r="C1035" s="46"/>
      <c r="D1035" s="46"/>
      <c r="E1035" s="66"/>
      <c r="F1035" s="47"/>
      <c r="G1035" s="48"/>
      <c r="H1035" s="49"/>
      <c r="I1035" s="49"/>
      <c r="J1035" s="49"/>
      <c r="K1035" s="50"/>
      <c r="L1035" s="49"/>
      <c r="M1035" s="49"/>
      <c r="N1035" s="49"/>
      <c r="O1035" s="50"/>
      <c r="P1035" s="50"/>
      <c r="Q1035" s="50"/>
      <c r="R1035" s="50"/>
      <c r="S1035" s="50"/>
      <c r="T1035" s="50"/>
      <c r="U1035" s="50"/>
      <c r="V1035" s="50"/>
      <c r="W1035" s="50"/>
      <c r="X1035" s="50"/>
      <c r="Y1035" s="51"/>
      <c r="Z1035" s="52"/>
      <c r="AA1035" s="52"/>
      <c r="AB1035" s="52"/>
      <c r="AC1035" s="52"/>
      <c r="AD1035" s="231"/>
      <c r="AE1035" s="49"/>
      <c r="AF1035" s="84"/>
      <c r="AG1035" s="49"/>
      <c r="AH1035" s="49"/>
      <c r="AI1035" s="49"/>
      <c r="AJ1035" s="226"/>
      <c r="AK1035" s="49"/>
      <c r="AL1035" s="113">
        <f t="shared" si="426"/>
        <v>0</v>
      </c>
      <c r="AM1035" s="113">
        <f t="shared" si="427"/>
        <v>0</v>
      </c>
      <c r="AN1035" s="218"/>
      <c r="AO1035" s="49"/>
      <c r="AP1035" s="49"/>
      <c r="AQ1035" s="84" t="str">
        <f>UPPER(RIGHT(Journal_Live[[#This Row],[DURATION ]]))</f>
        <v/>
      </c>
      <c r="AR1035" s="49"/>
      <c r="AS1035" s="55"/>
      <c r="AT1035" s="55">
        <f t="shared" si="428"/>
        <v>0</v>
      </c>
      <c r="AU1035" s="54">
        <f t="shared" si="429"/>
        <v>0</v>
      </c>
      <c r="AV1035" s="56">
        <f t="shared" si="430"/>
        <v>0</v>
      </c>
      <c r="AW1035" s="57"/>
      <c r="AX1035" s="151" t="s">
        <v>3111</v>
      </c>
      <c r="AY1035" s="151" t="s">
        <v>3112</v>
      </c>
      <c r="AZ1035" s="151" t="s">
        <v>3113</v>
      </c>
      <c r="BA1035" s="151"/>
      <c r="BB1035" s="153"/>
      <c r="BC1035" s="153"/>
      <c r="BD1035" s="151"/>
      <c r="BE1035" s="152"/>
      <c r="BF1035" s="151"/>
      <c r="BG1035" s="94">
        <f>SUM($AV$1035:AV1035)</f>
        <v>0</v>
      </c>
      <c r="BH1035" s="95">
        <f>SUM($AU$1035:AU1035)</f>
        <v>0</v>
      </c>
      <c r="BI1035" s="80">
        <f>SUMIFS($AU$1035:AU1225,$Q$1035:Q1225,"F")</f>
        <v>112.00000000000057</v>
      </c>
      <c r="BJ1035" s="80">
        <f>SUMIFS($AU$1035:AU1225,$Q$1035:Q1225,"S")</f>
        <v>-15.999999999994088</v>
      </c>
      <c r="BK1035" s="87">
        <f>SUMIFS($AU$1035:AU1225,$P$1035:P1225,"W")</f>
        <v>-960.00000000003297</v>
      </c>
      <c r="BL1035" s="87">
        <f>SUMIFS($AU$1035:AU1225,$P$1035:P1225,"R")</f>
        <v>1024.0000000000007</v>
      </c>
      <c r="BM1035" s="87">
        <f>SUMIFS($AU$1035:AU1225,$AQ$1035:AQ1225,"M")</f>
        <v>-899.79999999984489</v>
      </c>
      <c r="BN1035" s="87">
        <f>SUMIFS($AU$1035:AU1225,$AQ$1035:AQ1225,"H")</f>
        <v>1583.9999999998265</v>
      </c>
      <c r="BO1035" s="87">
        <f>SUMIFS($AU$1035:AU1225,$AQ$1035:AQ1225,"D")</f>
        <v>-479.9999999999896</v>
      </c>
      <c r="BP1035" s="87">
        <f>SUMIFS($AS$1035:AS1313,$AO$1035:AO1313,"W")</f>
        <v>0</v>
      </c>
      <c r="BQ1035" s="87">
        <f>SUMIFS($AU$1035:AU1225,$Q$1035:Q1225,"O")</f>
        <v>-1079.7999999999552</v>
      </c>
      <c r="BR1035" s="87">
        <f>SUMIFS($AU$1035:AU1225,$AA$1035:AA1225,"*")</f>
        <v>-499.79999999992333</v>
      </c>
      <c r="BS1035" s="87">
        <f>SUMIFS($AU$1035:AU1225,$AB$1035:AB1225,"*")</f>
        <v>-724.00000000009095</v>
      </c>
      <c r="BT1035" s="87">
        <f>SUMIFS($AU$1035:AU1225,$AC$1035:AC1225,"*")</f>
        <v>112.00000000000097</v>
      </c>
      <c r="BU1035" s="87">
        <f>SUMIFS($AU$1035:AU1225,$AA$1035:AA1225,"*",$AB$1035:AB1225,"*")</f>
        <v>47.999999999934744</v>
      </c>
      <c r="BV1035" s="87">
        <f>SUMIFS($AU$1035:AU1225,$AA$1035:AA1225,"*",$AC$1035:AC1225,"*")</f>
        <v>-335.99999999999977</v>
      </c>
      <c r="BW1035" s="87">
        <f>SUMIFS($AU$1035:AU1225,$AB$1035:AB1225,"*",$AC$1035:AC1225,"*")</f>
        <v>-143.99999999999966</v>
      </c>
      <c r="BX1035" s="87">
        <f>SUMIFS($AV$1035:AV1225,$Q$1035:Q1225,"F")</f>
        <v>34.153846153846246</v>
      </c>
      <c r="BY1035" s="87">
        <f>SUMIFS($AV$1035:AV1225,$Q$1035:Q1225,"S")</f>
        <v>20.914285714286223</v>
      </c>
      <c r="BZ1035" s="87">
        <f>SUMIFS($AV$1035:AV1225,$Q$1035:Q1225,"O")</f>
        <v>-445.13333333327751</v>
      </c>
    </row>
    <row r="1036" spans="1:78" ht="15.75" customHeight="1">
      <c r="A1036" s="45" t="s">
        <v>3000</v>
      </c>
      <c r="B1036" s="59"/>
      <c r="C1036" s="46"/>
      <c r="D1036" s="46"/>
      <c r="E1036" s="66"/>
      <c r="F1036" s="47"/>
      <c r="G1036" s="48"/>
      <c r="H1036" s="49"/>
      <c r="I1036" s="49"/>
      <c r="J1036" s="49"/>
      <c r="K1036" s="50"/>
      <c r="L1036" s="49"/>
      <c r="M1036" s="49"/>
      <c r="N1036" s="49"/>
      <c r="O1036" s="50"/>
      <c r="P1036" s="50"/>
      <c r="Q1036" s="50"/>
      <c r="R1036" s="50"/>
      <c r="S1036" s="50"/>
      <c r="T1036" s="50"/>
      <c r="U1036" s="50"/>
      <c r="V1036" s="50"/>
      <c r="W1036" s="50"/>
      <c r="X1036" s="50"/>
      <c r="Y1036" s="51"/>
      <c r="Z1036" s="52"/>
      <c r="AA1036" s="52"/>
      <c r="AB1036" s="52"/>
      <c r="AC1036" s="52"/>
      <c r="AD1036" s="231"/>
      <c r="AE1036" s="49"/>
      <c r="AF1036" s="84"/>
      <c r="AG1036" s="49"/>
      <c r="AH1036" s="49"/>
      <c r="AI1036" s="49"/>
      <c r="AJ1036" s="226"/>
      <c r="AK1036" s="49"/>
      <c r="AL1036" s="113">
        <f t="shared" si="426"/>
        <v>0</v>
      </c>
      <c r="AM1036" s="113">
        <f t="shared" si="427"/>
        <v>0</v>
      </c>
      <c r="AN1036" s="218"/>
      <c r="AO1036" s="49"/>
      <c r="AP1036" s="49"/>
      <c r="AQ1036" s="84" t="str">
        <f>UPPER(RIGHT(Journal_Live[[#This Row],[DURATION ]]))</f>
        <v/>
      </c>
      <c r="AR1036" s="49"/>
      <c r="AS1036" s="55"/>
      <c r="AT1036" s="55">
        <f t="shared" si="428"/>
        <v>0</v>
      </c>
      <c r="AU1036" s="54">
        <f t="shared" si="429"/>
        <v>0</v>
      </c>
      <c r="AV1036" s="56">
        <f t="shared" si="430"/>
        <v>0</v>
      </c>
      <c r="AW1036" s="57"/>
      <c r="AX1036" s="151" t="s">
        <v>3114</v>
      </c>
      <c r="AY1036" s="151" t="s">
        <v>3115</v>
      </c>
      <c r="AZ1036" s="151" t="s">
        <v>3116</v>
      </c>
      <c r="BA1036" s="151" t="s">
        <v>3117</v>
      </c>
      <c r="BB1036" s="153"/>
      <c r="BC1036" s="153"/>
      <c r="BD1036" s="151"/>
      <c r="BE1036" s="152"/>
      <c r="BF1036" s="151"/>
      <c r="BG1036" s="94">
        <f>SUM($AV$1035:AV1036)</f>
        <v>0</v>
      </c>
      <c r="BH1036" s="95">
        <f>SUM($AU$1035:AU1036)</f>
        <v>0</v>
      </c>
      <c r="BI1036" s="80">
        <f>SUMIFS($AU$1035:AU1226,$Q$1035:Q1226,"F")</f>
        <v>112.00000000000057</v>
      </c>
      <c r="BJ1036" s="80">
        <f>SUMIFS($AU$1035:AU1226,$Q$1035:Q1226,"S")</f>
        <v>-15.999999999994088</v>
      </c>
      <c r="BK1036" s="87">
        <f>SUMIFS($AU$1035:AU1226,$P$1035:P1226,"W")</f>
        <v>-960.00000000003297</v>
      </c>
      <c r="BL1036" s="87">
        <f>SUMIFS($AU$1035:AU1226,$P$1035:P1226,"R")</f>
        <v>1024.0000000000007</v>
      </c>
      <c r="BM1036" s="87">
        <f>SUMIFS($AU$1035:AU1226,$AQ$1035:AQ1226,"M")</f>
        <v>-899.79999999984489</v>
      </c>
      <c r="BN1036" s="87">
        <f>SUMIFS($AU$1035:AU1226,$AQ$1035:AQ1226,"H")</f>
        <v>1583.9999999998265</v>
      </c>
      <c r="BO1036" s="87">
        <f>SUMIFS($AU$1035:AU1226,$AQ$1035:AQ1226,"D")</f>
        <v>-479.9999999999896</v>
      </c>
      <c r="BP1036" s="87">
        <f>SUMIFS($AS$1035:AS1314,$AO$1035:AO1314,"W")</f>
        <v>0</v>
      </c>
      <c r="BQ1036" s="87">
        <f>SUMIFS($AU$1035:AU1226,$Q$1035:Q1226,"O")</f>
        <v>-1079.7999999999552</v>
      </c>
      <c r="BR1036" s="87">
        <f>SUMIFS($AU$1035:AU1226,$AA$1035:AA1226,"*")</f>
        <v>-499.79999999992333</v>
      </c>
      <c r="BS1036" s="87">
        <f>SUMIFS($AU$1035:AU1226,$AB$1035:AB1226,"*")</f>
        <v>-724.00000000009095</v>
      </c>
      <c r="BT1036" s="87">
        <f>SUMIFS($AU$1035:AU1226,$AC$1035:AC1226,"*")</f>
        <v>112.00000000000097</v>
      </c>
      <c r="BU1036" s="87">
        <f>SUMIFS($AU$1035:AU1226,$AA$1035:AA1226,"*",$AB$1035:AB1226,"*")</f>
        <v>47.999999999934744</v>
      </c>
      <c r="BV1036" s="87">
        <f>SUMIFS($AU$1035:AU1226,$AA$1035:AA1226,"*",$AC$1035:AC1226,"*")</f>
        <v>-335.99999999999977</v>
      </c>
      <c r="BW1036" s="87">
        <f>SUMIFS($AU$1035:AU1226,$AB$1035:AB1226,"*",$AC$1035:AC1226,"*")</f>
        <v>-143.99999999999966</v>
      </c>
      <c r="BX1036" s="87">
        <f>SUMIFS($AV$1035:AV1226,$Q$1035:Q1226,"F")</f>
        <v>34.153846153846246</v>
      </c>
      <c r="BY1036" s="87">
        <f>SUMIFS($AV$1035:AV1226,$Q$1035:Q1226,"S")</f>
        <v>20.914285714286223</v>
      </c>
      <c r="BZ1036" s="87">
        <f>SUMIFS($AV$1035:AV1226,$Q$1035:Q1226,"O")</f>
        <v>-445.13333333327751</v>
      </c>
    </row>
    <row r="1037" spans="1:78" ht="15.75" customHeight="1">
      <c r="A1037" s="45" t="s">
        <v>3000</v>
      </c>
      <c r="B1037" s="59">
        <v>45516</v>
      </c>
      <c r="C1037" s="46" t="s">
        <v>2847</v>
      </c>
      <c r="D1037" s="46" t="s">
        <v>176</v>
      </c>
      <c r="E1037" s="66"/>
      <c r="F1037" s="47"/>
      <c r="G1037" s="104" t="s">
        <v>3118</v>
      </c>
      <c r="H1037" s="49"/>
      <c r="I1037" s="49"/>
      <c r="J1037" s="49"/>
      <c r="K1037" s="50"/>
      <c r="L1037" s="49"/>
      <c r="M1037" s="49">
        <v>1</v>
      </c>
      <c r="N1037" s="49"/>
      <c r="O1037" s="50" t="s">
        <v>100</v>
      </c>
      <c r="P1037" s="50" t="s">
        <v>101</v>
      </c>
      <c r="Q1037" s="50" t="s">
        <v>127</v>
      </c>
      <c r="R1037" s="50">
        <v>3</v>
      </c>
      <c r="S1037" s="50">
        <v>0</v>
      </c>
      <c r="T1037" s="50">
        <v>3</v>
      </c>
      <c r="U1037" s="50" t="s">
        <v>102</v>
      </c>
      <c r="V1037" s="50" t="s">
        <v>2906</v>
      </c>
      <c r="W1037" s="50" t="s">
        <v>3086</v>
      </c>
      <c r="X1037" s="50" t="s">
        <v>3009</v>
      </c>
      <c r="Y1037" s="51">
        <f>IF(ISBLANK(O1037),"",(IF(O1037=UPPER("IB"),0.005,0.01)))</f>
        <v>0.01</v>
      </c>
      <c r="Z1037" s="52">
        <f>IF(ISBLANK(O1037),"",IF(O1037="IB",8.63*200,IF(O1037="IR",16*100,IF(O1037="YT",20*100,IF(O1037="YT-XT",24*200,IF(O1037="TED",80*100,IF(O1037="XT",29*200)))))))</f>
        <v>1600</v>
      </c>
      <c r="AA1037" s="52"/>
      <c r="AB1037" s="52" t="s">
        <v>3119</v>
      </c>
      <c r="AC1037" s="52" t="s">
        <v>3120</v>
      </c>
      <c r="AD1037" s="231">
        <v>-0.12</v>
      </c>
      <c r="AE1037" s="49"/>
      <c r="AF1037" s="84"/>
      <c r="AG1037" s="49"/>
      <c r="AH1037" s="49"/>
      <c r="AI1037" s="49"/>
      <c r="AJ1037" s="226" t="s">
        <v>3121</v>
      </c>
      <c r="AK1037" s="49"/>
      <c r="AL1037" s="113">
        <f t="shared" si="426"/>
        <v>-32</v>
      </c>
      <c r="AM1037" s="113">
        <f t="shared" si="427"/>
        <v>-96</v>
      </c>
      <c r="AN1037" s="218"/>
      <c r="AO1037" s="49"/>
      <c r="AP1037" s="49" t="s">
        <v>183</v>
      </c>
      <c r="AQ1037" s="84" t="s">
        <v>155</v>
      </c>
      <c r="AR1037" s="74">
        <v>45518</v>
      </c>
      <c r="AS1037" s="55">
        <v>-0.13</v>
      </c>
      <c r="AT1037" s="55">
        <f t="shared" si="428"/>
        <v>1.0000000000000009E-2</v>
      </c>
      <c r="AU1037" s="54">
        <f t="shared" si="429"/>
        <v>48.000000000000043</v>
      </c>
      <c r="AV1037" s="56">
        <f t="shared" si="430"/>
        <v>16.000000000000014</v>
      </c>
      <c r="AW1037" s="57" t="s">
        <v>101</v>
      </c>
      <c r="AX1037" s="151" t="s">
        <v>3122</v>
      </c>
      <c r="AY1037" s="151" t="s">
        <v>3123</v>
      </c>
      <c r="AZ1037" s="151"/>
      <c r="BA1037" s="151"/>
      <c r="BB1037" s="153"/>
      <c r="BC1037" s="153"/>
      <c r="BD1037" s="151"/>
      <c r="BE1037" s="152"/>
      <c r="BF1037" s="151"/>
      <c r="BG1037" s="94">
        <f>SUM($AV$1035:AV1037)</f>
        <v>16.000000000000014</v>
      </c>
      <c r="BH1037" s="95">
        <f>SUM($AU$1035:AU1037)</f>
        <v>48.000000000000043</v>
      </c>
      <c r="BI1037" s="80">
        <f>SUMIFS($AU$1035:AU1227,$Q$1035:Q1227,"F")</f>
        <v>112.00000000000057</v>
      </c>
      <c r="BJ1037" s="80">
        <f>SUMIFS($AU$1035:AU1227,$Q$1035:Q1227,"S")</f>
        <v>-15.999999999994088</v>
      </c>
      <c r="BK1037" s="87">
        <f>SUMIFS($AU$1035:AU1227,$P$1035:P1227,"W")</f>
        <v>-960.00000000003297</v>
      </c>
      <c r="BL1037" s="87">
        <f>SUMIFS($AU$1035:AU1227,$P$1035:P1227,"R")</f>
        <v>1024.0000000000007</v>
      </c>
      <c r="BM1037" s="87">
        <f>SUMIFS($AU$1035:AU1227,$AQ$1035:AQ1227,"M")</f>
        <v>-899.79999999984489</v>
      </c>
      <c r="BN1037" s="87">
        <f>SUMIFS($AU$1035:AU1227,$AQ$1035:AQ1227,"H")</f>
        <v>1583.9999999998265</v>
      </c>
      <c r="BO1037" s="87">
        <f>SUMIFS($AU$1035:AU1227,$AQ$1035:AQ1227,"D")</f>
        <v>-479.9999999999896</v>
      </c>
      <c r="BP1037" s="87">
        <f>SUMIFS($AS$1035:AS1315,$AO$1035:AO1315,"W")</f>
        <v>0</v>
      </c>
      <c r="BQ1037" s="87">
        <f>SUMIFS($AU$1035:AU1227,$Q$1035:Q1227,"O")</f>
        <v>-1079.7999999999552</v>
      </c>
      <c r="BR1037" s="87">
        <f>SUMIFS($AU$1035:AU1227,$AA$1035:AA1227,"*")</f>
        <v>-499.79999999992333</v>
      </c>
      <c r="BS1037" s="87">
        <f>SUMIFS($AU$1035:AU1227,$AB$1035:AB1227,"*")</f>
        <v>-724.00000000009095</v>
      </c>
      <c r="BT1037" s="87">
        <f>SUMIFS($AU$1035:AU1227,$AC$1035:AC1227,"*")</f>
        <v>112.00000000000097</v>
      </c>
      <c r="BU1037" s="87">
        <f>SUMIFS($AU$1035:AU1227,$AA$1035:AA1227,"*",$AB$1035:AB1227,"*")</f>
        <v>47.999999999934744</v>
      </c>
      <c r="BV1037" s="87">
        <f>SUMIFS($AU$1035:AU1227,$AA$1035:AA1227,"*",$AC$1035:AC1227,"*")</f>
        <v>-335.99999999999977</v>
      </c>
      <c r="BW1037" s="87">
        <f>SUMIFS($AU$1035:AU1227,$AB$1035:AB1227,"*",$AC$1035:AC1227,"*")</f>
        <v>-143.99999999999966</v>
      </c>
      <c r="BX1037" s="87">
        <f>SUMIFS($AV$1035:AV1227,$Q$1035:Q1227,"F")</f>
        <v>34.153846153846246</v>
      </c>
      <c r="BY1037" s="87">
        <f>SUMIFS($AV$1035:AV1227,$Q$1035:Q1227,"S")</f>
        <v>20.914285714286223</v>
      </c>
      <c r="BZ1037" s="87">
        <f>SUMIFS($AV$1035:AV1227,$Q$1035:Q1227,"O")</f>
        <v>-445.13333333327751</v>
      </c>
    </row>
    <row r="1038" spans="1:78" ht="15.75" customHeight="1">
      <c r="A1038" s="45" t="s">
        <v>3000</v>
      </c>
      <c r="B1038" s="59">
        <v>45516</v>
      </c>
      <c r="C1038" s="46" t="s">
        <v>2847</v>
      </c>
      <c r="D1038" s="46" t="s">
        <v>176</v>
      </c>
      <c r="E1038" s="66"/>
      <c r="F1038" s="47"/>
      <c r="G1038" s="104" t="s">
        <v>3124</v>
      </c>
      <c r="H1038" s="49"/>
      <c r="I1038" s="49"/>
      <c r="J1038" s="49"/>
      <c r="K1038" s="50"/>
      <c r="L1038" s="49"/>
      <c r="M1038" s="49">
        <v>1</v>
      </c>
      <c r="N1038" s="49"/>
      <c r="O1038" s="50" t="s">
        <v>100</v>
      </c>
      <c r="P1038" s="50" t="s">
        <v>126</v>
      </c>
      <c r="Q1038" s="50" t="s">
        <v>127</v>
      </c>
      <c r="R1038" s="50">
        <v>7</v>
      </c>
      <c r="S1038" s="50">
        <v>0</v>
      </c>
      <c r="T1038" s="50">
        <v>5</v>
      </c>
      <c r="U1038" s="50" t="s">
        <v>22</v>
      </c>
      <c r="V1038" s="50" t="s">
        <v>2906</v>
      </c>
      <c r="W1038" s="50" t="s">
        <v>3086</v>
      </c>
      <c r="X1038" s="50" t="s">
        <v>3125</v>
      </c>
      <c r="Y1038" s="51">
        <f>IF(ISBLANK(O1038),"",(IF(O1038=UPPER("IB"),0.005,0.01)))</f>
        <v>0.01</v>
      </c>
      <c r="Z1038" s="52">
        <f>IF(ISBLANK(O1038),"",IF(O1038="IB",8.63*200,IF(O1038="IR",16*100,IF(O1038="YT",20*100,IF(O1038="YT-XT",24*200,IF(O1038="TED",80*100,IF(O1038="XT",29*200)))))))</f>
        <v>1600</v>
      </c>
      <c r="AA1038" s="52" t="s">
        <v>3126</v>
      </c>
      <c r="AB1038" s="52"/>
      <c r="AC1038" s="52"/>
      <c r="AD1038" s="231">
        <v>-0.03</v>
      </c>
      <c r="AE1038" s="49"/>
      <c r="AF1038" s="84"/>
      <c r="AG1038" s="49"/>
      <c r="AH1038" s="49"/>
      <c r="AI1038" s="49" t="s">
        <v>3127</v>
      </c>
      <c r="AJ1038" s="226"/>
      <c r="AK1038" s="49"/>
      <c r="AL1038" s="113">
        <f t="shared" si="416"/>
        <v>-32</v>
      </c>
      <c r="AM1038" s="113">
        <f t="shared" si="423"/>
        <v>-224</v>
      </c>
      <c r="AN1038" s="218"/>
      <c r="AO1038" s="49"/>
      <c r="AP1038" s="49" t="s">
        <v>1162</v>
      </c>
      <c r="AQ1038" s="84" t="s">
        <v>155</v>
      </c>
      <c r="AR1038" s="74">
        <v>45519</v>
      </c>
      <c r="AS1038" s="55">
        <v>-0.02</v>
      </c>
      <c r="AT1038" s="55">
        <f t="shared" si="424"/>
        <v>9.9999999999999985E-3</v>
      </c>
      <c r="AU1038" s="54">
        <f t="shared" si="425"/>
        <v>111.99999999999999</v>
      </c>
      <c r="AV1038" s="56">
        <f t="shared" si="417"/>
        <v>15.999999999999998</v>
      </c>
      <c r="AW1038" s="57" t="s">
        <v>101</v>
      </c>
      <c r="AX1038" s="151"/>
      <c r="AY1038" s="151"/>
      <c r="AZ1038" s="151"/>
      <c r="BA1038" s="151"/>
      <c r="BB1038" s="153"/>
      <c r="BC1038" s="153"/>
      <c r="BD1038" s="151"/>
      <c r="BE1038" s="152"/>
      <c r="BF1038" s="151"/>
      <c r="BG1038" s="94">
        <f>SUM($AV$1035:AV1038)</f>
        <v>32.000000000000014</v>
      </c>
      <c r="BH1038" s="95">
        <f>SUM($AU$1035:AU1038)</f>
        <v>160.00000000000003</v>
      </c>
      <c r="BI1038" s="80">
        <f>SUMIFS($AU$1035:AU1228,$Q$1035:Q1228,"F")</f>
        <v>112.00000000000057</v>
      </c>
      <c r="BJ1038" s="80">
        <f>SUMIFS($AU$1035:AU1228,$Q$1035:Q1228,"S")</f>
        <v>-15.999999999994088</v>
      </c>
      <c r="BK1038" s="87">
        <f>SUMIFS($AU$1035:AU1228,$P$1035:P1228,"W")</f>
        <v>-960.00000000003297</v>
      </c>
      <c r="BL1038" s="87">
        <f>SUMIFS($AU$1035:AU1228,$P$1035:P1228,"R")</f>
        <v>1024.0000000000007</v>
      </c>
      <c r="BM1038" s="87">
        <f>SUMIFS($AU$1035:AU1228,$AQ$1035:AQ1228,"M")</f>
        <v>-899.79999999984489</v>
      </c>
      <c r="BN1038" s="87">
        <f>SUMIFS($AU$1035:AU1228,$AQ$1035:AQ1228,"H")</f>
        <v>1583.9999999998265</v>
      </c>
      <c r="BO1038" s="87">
        <f>SUMIFS($AU$1035:AU1228,$AQ$1035:AQ1228,"D")</f>
        <v>-479.9999999999896</v>
      </c>
      <c r="BP1038" s="87">
        <f>SUMIFS($AS$1035:AS1316,$AO$1035:AO1316,"W")</f>
        <v>0</v>
      </c>
      <c r="BQ1038" s="87">
        <f>SUMIFS($AU$1035:AU1228,$Q$1035:Q1228,"O")</f>
        <v>-1079.7999999999552</v>
      </c>
      <c r="BR1038" s="87">
        <f>SUMIFS($AU$1035:AU1228,$AA$1035:AA1228,"*")</f>
        <v>-499.79999999992333</v>
      </c>
      <c r="BS1038" s="87">
        <f>SUMIFS($AU$1035:AU1228,$AB$1035:AB1228,"*")</f>
        <v>-724.00000000009095</v>
      </c>
      <c r="BT1038" s="87">
        <f>SUMIFS($AU$1035:AU1228,$AC$1035:AC1228,"*")</f>
        <v>112.00000000000097</v>
      </c>
      <c r="BU1038" s="87">
        <f>SUMIFS($AU$1035:AU1228,$AA$1035:AA1228,"*",$AB$1035:AB1228,"*")</f>
        <v>47.999999999934744</v>
      </c>
      <c r="BV1038" s="87">
        <f>SUMIFS($AU$1035:AU1228,$AA$1035:AA1228,"*",$AC$1035:AC1228,"*")</f>
        <v>-335.99999999999977</v>
      </c>
      <c r="BW1038" s="87">
        <f>SUMIFS($AU$1035:AU1228,$AB$1035:AB1228,"*",$AC$1035:AC1228,"*")</f>
        <v>-143.99999999999966</v>
      </c>
      <c r="BX1038" s="87">
        <f>SUMIFS($AV$1035:AV1228,$Q$1035:Q1228,"F")</f>
        <v>34.153846153846246</v>
      </c>
      <c r="BY1038" s="87">
        <f>SUMIFS($AV$1035:AV1228,$Q$1035:Q1228,"S")</f>
        <v>20.914285714286223</v>
      </c>
      <c r="BZ1038" s="87">
        <f>SUMIFS($AV$1035:AV1228,$Q$1035:Q1228,"O")</f>
        <v>-445.13333333327751</v>
      </c>
    </row>
    <row r="1039" spans="1:78" ht="15.75" customHeight="1">
      <c r="A1039" s="45" t="s">
        <v>3000</v>
      </c>
      <c r="B1039" s="59">
        <v>45517</v>
      </c>
      <c r="C1039" s="46" t="s">
        <v>2847</v>
      </c>
      <c r="D1039" s="46" t="s">
        <v>98</v>
      </c>
      <c r="E1039" s="66"/>
      <c r="F1039" s="47"/>
      <c r="G1039" s="104" t="s">
        <v>2823</v>
      </c>
      <c r="H1039" s="49"/>
      <c r="I1039" s="49"/>
      <c r="J1039" s="49"/>
      <c r="K1039" s="50"/>
      <c r="L1039" s="49"/>
      <c r="M1039" s="49">
        <v>2</v>
      </c>
      <c r="N1039" s="49"/>
      <c r="O1039" s="50" t="s">
        <v>100</v>
      </c>
      <c r="P1039" s="50" t="s">
        <v>126</v>
      </c>
      <c r="Q1039" s="50" t="s">
        <v>102</v>
      </c>
      <c r="R1039" s="50">
        <v>7</v>
      </c>
      <c r="S1039" s="50">
        <v>0</v>
      </c>
      <c r="T1039" s="50">
        <v>7</v>
      </c>
      <c r="U1039" s="50" t="s">
        <v>22</v>
      </c>
      <c r="V1039" s="50" t="s">
        <v>2898</v>
      </c>
      <c r="W1039" s="50" t="s">
        <v>155</v>
      </c>
      <c r="X1039" s="50" t="s">
        <v>3002</v>
      </c>
      <c r="Y1039" s="51">
        <f>IF(ISBLANK(O1039),"",(IF(O1039=UPPER("IB"),0.005,0.01)))</f>
        <v>0.01</v>
      </c>
      <c r="Z1039" s="52">
        <f>IF(ISBLANK(O1039),"",IF(O1039="IB",8.63*200,IF(O1039="IR",16*100,IF(O1039="YT",20*100,IF(O1039="YT-XT",24*200,IF(O1039="TED",80*100,IF(O1039="XT",29*200)))))))</f>
        <v>1600</v>
      </c>
      <c r="AA1039" s="52" t="s">
        <v>3128</v>
      </c>
      <c r="AB1039" s="52"/>
      <c r="AC1039" s="52"/>
      <c r="AD1039" s="231">
        <v>-0.17</v>
      </c>
      <c r="AE1039" s="49"/>
      <c r="AF1039" s="84"/>
      <c r="AG1039" s="49"/>
      <c r="AH1039" s="49"/>
      <c r="AI1039" s="49"/>
      <c r="AJ1039" s="226" t="s">
        <v>3129</v>
      </c>
      <c r="AK1039" s="49"/>
      <c r="AL1039" s="113">
        <f t="shared" si="416"/>
        <v>-32</v>
      </c>
      <c r="AM1039" s="113">
        <f t="shared" si="423"/>
        <v>-224</v>
      </c>
      <c r="AN1039" s="218"/>
      <c r="AO1039" s="49"/>
      <c r="AP1039" s="49"/>
      <c r="AQ1039" s="84" t="s">
        <v>142</v>
      </c>
      <c r="AR1039" s="49" t="s">
        <v>3130</v>
      </c>
      <c r="AS1039" s="55">
        <v>-0.16</v>
      </c>
      <c r="AT1039" s="55">
        <f t="shared" si="424"/>
        <v>1.0000000000000009E-2</v>
      </c>
      <c r="AU1039" s="54">
        <f t="shared" si="425"/>
        <v>112.0000000000001</v>
      </c>
      <c r="AV1039" s="56">
        <f t="shared" si="417"/>
        <v>16.000000000000014</v>
      </c>
      <c r="AW1039" s="57" t="s">
        <v>101</v>
      </c>
      <c r="AX1039" s="151" t="s">
        <v>489</v>
      </c>
      <c r="AY1039" s="151"/>
      <c r="AZ1039" s="151"/>
      <c r="BA1039" s="151"/>
      <c r="BB1039" s="153"/>
      <c r="BC1039" s="153"/>
      <c r="BD1039" s="151"/>
      <c r="BE1039" s="152"/>
      <c r="BF1039" s="151"/>
      <c r="BG1039" s="94">
        <f>SUM($AV$1035:AV1039)</f>
        <v>48.000000000000028</v>
      </c>
      <c r="BH1039" s="95">
        <f>SUM($AU$1035:AU1039)</f>
        <v>272.00000000000011</v>
      </c>
      <c r="BI1039" s="80">
        <f>SUMIFS($AU$1035:AU1229,$Q$1035:Q1229,"F")</f>
        <v>112.00000000000057</v>
      </c>
      <c r="BJ1039" s="80">
        <f>SUMIFS($AU$1035:AU1229,$Q$1035:Q1229,"S")</f>
        <v>-15.999999999994088</v>
      </c>
      <c r="BK1039" s="87">
        <f>SUMIFS($AU$1035:AU1229,$P$1035:P1229,"W")</f>
        <v>-960.00000000003297</v>
      </c>
      <c r="BL1039" s="87">
        <f>SUMIFS($AU$1035:AU1229,$P$1035:P1229,"R")</f>
        <v>1024.0000000000007</v>
      </c>
      <c r="BM1039" s="87">
        <f>SUMIFS($AU$1035:AU1229,$AQ$1035:AQ1229,"M")</f>
        <v>-899.79999999984489</v>
      </c>
      <c r="BN1039" s="87">
        <f>SUMIFS($AU$1035:AU1229,$AQ$1035:AQ1229,"H")</f>
        <v>1583.9999999998265</v>
      </c>
      <c r="BO1039" s="87">
        <f>SUMIFS($AU$1035:AU1229,$AQ$1035:AQ1229,"D")</f>
        <v>-479.9999999999896</v>
      </c>
      <c r="BP1039" s="87">
        <f>SUMIFS($AS$1035:AS1317,$AO$1035:AO1317,"W")</f>
        <v>0</v>
      </c>
      <c r="BQ1039" s="87">
        <f>SUMIFS($AU$1035:AU1229,$Q$1035:Q1229,"O")</f>
        <v>-1079.7999999999552</v>
      </c>
      <c r="BR1039" s="87">
        <f>SUMIFS($AU$1035:AU1229,$AA$1035:AA1229,"*")</f>
        <v>-499.79999999992333</v>
      </c>
      <c r="BS1039" s="87">
        <f>SUMIFS($AU$1035:AU1229,$AB$1035:AB1229,"*")</f>
        <v>-724.00000000009095</v>
      </c>
      <c r="BT1039" s="87">
        <f>SUMIFS($AU$1035:AU1229,$AC$1035:AC1229,"*")</f>
        <v>112.00000000000097</v>
      </c>
      <c r="BU1039" s="87">
        <f>SUMIFS($AU$1035:AU1229,$AA$1035:AA1229,"*",$AB$1035:AB1229,"*")</f>
        <v>47.999999999934744</v>
      </c>
      <c r="BV1039" s="87">
        <f>SUMIFS($AU$1035:AU1229,$AA$1035:AA1229,"*",$AC$1035:AC1229,"*")</f>
        <v>-335.99999999999977</v>
      </c>
      <c r="BW1039" s="87">
        <f>SUMIFS($AU$1035:AU1229,$AB$1035:AB1229,"*",$AC$1035:AC1229,"*")</f>
        <v>-143.99999999999966</v>
      </c>
      <c r="BX1039" s="87">
        <f>SUMIFS($AV$1035:AV1229,$Q$1035:Q1229,"F")</f>
        <v>34.153846153846246</v>
      </c>
      <c r="BY1039" s="87">
        <f>SUMIFS($AV$1035:AV1229,$Q$1035:Q1229,"S")</f>
        <v>20.914285714286223</v>
      </c>
      <c r="BZ1039" s="87">
        <f>SUMIFS($AV$1035:AV1229,$Q$1035:Q1229,"O")</f>
        <v>-445.13333333327751</v>
      </c>
    </row>
    <row r="1040" spans="1:78" ht="15.75" customHeight="1">
      <c r="A1040" s="45" t="s">
        <v>3000</v>
      </c>
      <c r="B1040" s="59">
        <v>45518</v>
      </c>
      <c r="C1040" s="46" t="s">
        <v>3131</v>
      </c>
      <c r="D1040" s="46" t="s">
        <v>98</v>
      </c>
      <c r="E1040" s="66" t="s">
        <v>3132</v>
      </c>
      <c r="F1040" s="47"/>
      <c r="G1040" s="48"/>
      <c r="H1040" s="49"/>
      <c r="I1040" s="49"/>
      <c r="J1040" s="49"/>
      <c r="K1040" s="50"/>
      <c r="L1040" s="49"/>
      <c r="M1040" s="49"/>
      <c r="N1040" s="49"/>
      <c r="O1040" s="50"/>
      <c r="P1040" s="50"/>
      <c r="Q1040" s="50"/>
      <c r="R1040" s="50"/>
      <c r="S1040" s="50"/>
      <c r="T1040" s="50"/>
      <c r="U1040" s="50"/>
      <c r="V1040" s="50"/>
      <c r="W1040" s="50"/>
      <c r="X1040" s="50"/>
      <c r="Y1040" s="50"/>
      <c r="Z1040" s="50"/>
      <c r="AA1040" s="52"/>
      <c r="AB1040" s="52"/>
      <c r="AC1040" s="52"/>
      <c r="AD1040" s="231"/>
      <c r="AE1040" s="49"/>
      <c r="AF1040" s="84"/>
      <c r="AG1040" s="49"/>
      <c r="AH1040" s="49"/>
      <c r="AI1040" s="49"/>
      <c r="AJ1040" s="226"/>
      <c r="AK1040" s="49"/>
      <c r="AL1040" s="113">
        <f t="shared" si="416"/>
        <v>0</v>
      </c>
      <c r="AM1040" s="113">
        <f t="shared" si="423"/>
        <v>0</v>
      </c>
      <c r="AN1040" s="218"/>
      <c r="AO1040" s="49"/>
      <c r="AP1040" s="49"/>
      <c r="AQ1040" s="84" t="str">
        <f>UPPER(RIGHT(Journal_Live[[#This Row],[DURATION ]]))</f>
        <v/>
      </c>
      <c r="AR1040" s="49"/>
      <c r="AS1040" s="55"/>
      <c r="AT1040" s="55">
        <f t="shared" si="424"/>
        <v>0</v>
      </c>
      <c r="AU1040" s="54">
        <f t="shared" si="425"/>
        <v>0</v>
      </c>
      <c r="AV1040" s="56">
        <f t="shared" si="417"/>
        <v>0</v>
      </c>
      <c r="AW1040" s="57"/>
      <c r="AX1040" s="151"/>
      <c r="AY1040" s="151"/>
      <c r="AZ1040" s="151"/>
      <c r="BA1040" s="151"/>
      <c r="BB1040" s="153"/>
      <c r="BC1040" s="153"/>
      <c r="BD1040" s="151"/>
      <c r="BE1040" s="152"/>
      <c r="BF1040" s="151"/>
      <c r="BG1040" s="94">
        <f>SUM($AV$1035:AV1040)</f>
        <v>48.000000000000028</v>
      </c>
      <c r="BH1040" s="95">
        <f>SUM($AU$1035:AU1040)</f>
        <v>272.00000000000011</v>
      </c>
      <c r="BI1040" s="80">
        <f>SUMIFS($AU$1035:AU1230,$Q$1035:Q1230,"F")</f>
        <v>112.00000000000057</v>
      </c>
      <c r="BJ1040" s="80">
        <f>SUMIFS($AU$1035:AU1230,$Q$1035:Q1230,"S")</f>
        <v>-15.999999999994088</v>
      </c>
      <c r="BK1040" s="87">
        <f>SUMIFS($AU$1035:AU1230,$P$1035:P1230,"W")</f>
        <v>-960.00000000003297</v>
      </c>
      <c r="BL1040" s="87">
        <f>SUMIFS($AU$1035:AU1230,$P$1035:P1230,"R")</f>
        <v>1024.0000000000007</v>
      </c>
      <c r="BM1040" s="87">
        <f>SUMIFS($AU$1035:AU1230,$AQ$1035:AQ1230,"M")</f>
        <v>-899.79999999984489</v>
      </c>
      <c r="BN1040" s="87">
        <f>SUMIFS($AU$1035:AU1230,$AQ$1035:AQ1230,"H")</f>
        <v>1583.9999999998265</v>
      </c>
      <c r="BO1040" s="87">
        <f>SUMIFS($AU$1035:AU1230,$AQ$1035:AQ1230,"D")</f>
        <v>-479.9999999999896</v>
      </c>
      <c r="BP1040" s="87">
        <f>SUMIFS($AS$1035:AS1318,$AO$1035:AO1318,"W")</f>
        <v>0</v>
      </c>
      <c r="BQ1040" s="87">
        <f>SUMIFS($AU$1035:AU1230,$Q$1035:Q1230,"O")</f>
        <v>-1079.7999999999552</v>
      </c>
      <c r="BR1040" s="87">
        <f>SUMIFS($AU$1035:AU1230,$AA$1035:AA1230,"*")</f>
        <v>-499.79999999992333</v>
      </c>
      <c r="BS1040" s="87">
        <f>SUMIFS($AU$1035:AU1230,$AB$1035:AB1230,"*")</f>
        <v>-724.00000000009095</v>
      </c>
      <c r="BT1040" s="87">
        <f>SUMIFS($AU$1035:AU1230,$AC$1035:AC1230,"*")</f>
        <v>112.00000000000097</v>
      </c>
      <c r="BU1040" s="87">
        <f>SUMIFS($AU$1035:AU1230,$AA$1035:AA1230,"*",$AB$1035:AB1230,"*")</f>
        <v>47.999999999934744</v>
      </c>
      <c r="BV1040" s="87">
        <f>SUMIFS($AU$1035:AU1230,$AA$1035:AA1230,"*",$AC$1035:AC1230,"*")</f>
        <v>-335.99999999999977</v>
      </c>
      <c r="BW1040" s="87">
        <f>SUMIFS($AU$1035:AU1230,$AB$1035:AB1230,"*",$AC$1035:AC1230,"*")</f>
        <v>-143.99999999999966</v>
      </c>
      <c r="BX1040" s="87">
        <f>SUMIFS($AV$1035:AV1230,$Q$1035:Q1230,"F")</f>
        <v>34.153846153846246</v>
      </c>
      <c r="BY1040" s="87">
        <f>SUMIFS($AV$1035:AV1230,$Q$1035:Q1230,"S")</f>
        <v>20.914285714286223</v>
      </c>
      <c r="BZ1040" s="87">
        <f>SUMIFS($AV$1035:AV1230,$Q$1035:Q1230,"O")</f>
        <v>-445.13333333327751</v>
      </c>
    </row>
    <row r="1041" spans="1:78" ht="15.75" customHeight="1">
      <c r="A1041" s="45" t="s">
        <v>3000</v>
      </c>
      <c r="B1041" s="59">
        <v>45518</v>
      </c>
      <c r="C1041" s="46" t="s">
        <v>147</v>
      </c>
      <c r="D1041" s="46" t="s">
        <v>186</v>
      </c>
      <c r="E1041" s="66"/>
      <c r="F1041" s="47"/>
      <c r="G1041" s="48" t="s">
        <v>2541</v>
      </c>
      <c r="H1041" s="49"/>
      <c r="I1041" s="49"/>
      <c r="J1041" s="49"/>
      <c r="K1041" s="50"/>
      <c r="L1041" s="49">
        <v>2</v>
      </c>
      <c r="M1041" s="49"/>
      <c r="N1041" s="49"/>
      <c r="O1041" s="50" t="s">
        <v>196</v>
      </c>
      <c r="P1041" s="50" t="s">
        <v>197</v>
      </c>
      <c r="Q1041" s="50" t="s">
        <v>198</v>
      </c>
      <c r="R1041" s="50">
        <v>1</v>
      </c>
      <c r="S1041" s="50">
        <v>0</v>
      </c>
      <c r="T1041" s="50">
        <v>1</v>
      </c>
      <c r="U1041" s="50" t="s">
        <v>22</v>
      </c>
      <c r="V1041" s="50" t="s">
        <v>2898</v>
      </c>
      <c r="W1041" s="50" t="s">
        <v>155</v>
      </c>
      <c r="X1041" s="50"/>
      <c r="Y1041" s="51">
        <f>IF(ISBLANK(O1041),"",(IF(O1041=UPPER("IB"),0.005,0.01)))</f>
        <v>0.01</v>
      </c>
      <c r="Z1041" s="52">
        <f>IF(ISBLANK(O1041),"",IF(O1041="IB",8.63*200,IF(O1041="IR",16*100,IF(O1041="YT",20*100,IF(O1041="YT-XT",24*200,IF(O1041="TED",80*100,IF(O1041="XT",29*200)))))))</f>
        <v>5800</v>
      </c>
      <c r="AA1041" s="52" t="s">
        <v>908</v>
      </c>
      <c r="AB1041" s="52"/>
      <c r="AC1041" s="52"/>
      <c r="AD1041" s="231">
        <v>96.045000000000002</v>
      </c>
      <c r="AE1041" s="49"/>
      <c r="AF1041" s="84"/>
      <c r="AG1041" s="49"/>
      <c r="AH1041" s="49"/>
      <c r="AI1041" s="49"/>
      <c r="AJ1041" s="226"/>
      <c r="AK1041" s="49"/>
      <c r="AL1041" s="113">
        <f t="shared" ref="AL1041:AL1088" si="431">-0.02*Z1041</f>
        <v>-116</v>
      </c>
      <c r="AM1041" s="113">
        <f t="shared" ref="AM1041:AM1088" si="432">AL1041*(R1041-S1041)</f>
        <v>-116</v>
      </c>
      <c r="AN1041" s="218"/>
      <c r="AO1041" s="49"/>
      <c r="AP1041" s="49"/>
      <c r="AQ1041" s="84" t="s">
        <v>350</v>
      </c>
      <c r="AR1041" s="49"/>
      <c r="AS1041" s="55">
        <v>96.03</v>
      </c>
      <c r="AT1041" s="55">
        <f t="shared" ref="AT1041:AT1088" si="433">IF(ISBLANK(AS1041),,IF(U1041="S",AD1041-AS1041,AS1041-AD1041))</f>
        <v>-1.5000000000000568E-2</v>
      </c>
      <c r="AU1041" s="54">
        <f t="shared" ref="AU1041:AU1088" si="434">AV1041*R1041</f>
        <v>-87.000000000003297</v>
      </c>
      <c r="AV1041" s="56">
        <f t="shared" ref="AV1041:AV1088" si="435">IF(ISBLANK(AS1041),,(AT1041*Z1041))</f>
        <v>-87.000000000003297</v>
      </c>
      <c r="AW1041" s="57" t="s">
        <v>121</v>
      </c>
      <c r="AX1041" s="151"/>
      <c r="AY1041" s="151"/>
      <c r="AZ1041" s="151"/>
      <c r="BA1041" s="151"/>
      <c r="BB1041" s="153"/>
      <c r="BC1041" s="153"/>
      <c r="BD1041" s="151"/>
      <c r="BE1041" s="152"/>
      <c r="BF1041" s="151"/>
      <c r="BG1041" s="94">
        <f>SUM($AV$1035:AV1041)</f>
        <v>-39.000000000003268</v>
      </c>
      <c r="BH1041" s="95">
        <f>SUM($AU$1035:AU1041)</f>
        <v>184.99999999999682</v>
      </c>
      <c r="BI1041" s="80">
        <f>SUMIFS($AU$1035:AU1226,$Q$1035:Q1226,"F")</f>
        <v>112.00000000000057</v>
      </c>
      <c r="BJ1041" s="80">
        <f>SUMIFS($AU$1035:AU1226,$Q$1035:Q1226,"S")</f>
        <v>-15.999999999994088</v>
      </c>
      <c r="BK1041" s="87">
        <f>SUMIFS($AU$1035:AU1226,$P$1035:P1226,"W")</f>
        <v>-960.00000000003297</v>
      </c>
      <c r="BL1041" s="87">
        <f>SUMIFS($AU$1035:AU1226,$P$1035:P1226,"R")</f>
        <v>1024.0000000000007</v>
      </c>
      <c r="BM1041" s="87">
        <f>SUMIFS($AU$1035:AU1226,$AQ$1035:AQ1226,"M")</f>
        <v>-899.79999999984489</v>
      </c>
      <c r="BN1041" s="87">
        <f>SUMIFS($AU$1035:AU1226,$AQ$1035:AQ1226,"H")</f>
        <v>1583.9999999998265</v>
      </c>
      <c r="BO1041" s="87">
        <f>SUMIFS($AU$1035:AU1226,$AQ$1035:AQ1226,"D")</f>
        <v>-479.9999999999896</v>
      </c>
      <c r="BP1041" s="87">
        <f>SUMIFS($AS$1035:AS1314,$AO$1035:AO1314,"W")</f>
        <v>0</v>
      </c>
      <c r="BQ1041" s="87">
        <f>SUMIFS($AU$1035:AU1226,$Q$1035:Q1226,"O")</f>
        <v>-1079.7999999999552</v>
      </c>
      <c r="BR1041" s="87">
        <f>SUMIFS($AU$1035:AU1226,$AA$1035:AA1226,"*")</f>
        <v>-499.79999999992333</v>
      </c>
      <c r="BS1041" s="87">
        <f>SUMIFS($AU$1035:AU1226,$AB$1035:AB1226,"*")</f>
        <v>-724.00000000009095</v>
      </c>
      <c r="BT1041" s="87">
        <f>SUMIFS($AU$1035:AU1226,$AC$1035:AC1226,"*")</f>
        <v>112.00000000000097</v>
      </c>
      <c r="BU1041" s="87">
        <f>SUMIFS($AU$1035:AU1226,$AA$1035:AA1226,"*",$AB$1035:AB1226,"*")</f>
        <v>47.999999999934744</v>
      </c>
      <c r="BV1041" s="87">
        <f>SUMIFS($AU$1035:AU1226,$AA$1035:AA1226,"*",$AC$1035:AC1226,"*")</f>
        <v>-335.99999999999977</v>
      </c>
      <c r="BW1041" s="87">
        <f>SUMIFS($AU$1035:AU1226,$AB$1035:AB1226,"*",$AC$1035:AC1226,"*")</f>
        <v>-143.99999999999966</v>
      </c>
      <c r="BX1041" s="87">
        <f>SUMIFS($AV$1035:AV1226,$Q$1035:Q1226,"F")</f>
        <v>34.153846153846246</v>
      </c>
      <c r="BY1041" s="87">
        <f>SUMIFS($AV$1035:AV1226,$Q$1035:Q1226,"S")</f>
        <v>20.914285714286223</v>
      </c>
      <c r="BZ1041" s="87">
        <f>SUMIFS($AV$1035:AV1226,$Q$1035:Q1226,"O")</f>
        <v>-445.13333333327751</v>
      </c>
    </row>
    <row r="1042" spans="1:78" ht="15.75" customHeight="1">
      <c r="A1042" s="45" t="s">
        <v>3000</v>
      </c>
      <c r="B1042" s="59">
        <v>45518</v>
      </c>
      <c r="C1042" s="46" t="s">
        <v>147</v>
      </c>
      <c r="D1042" s="46" t="s">
        <v>186</v>
      </c>
      <c r="E1042" s="66"/>
      <c r="F1042" s="47"/>
      <c r="G1042" s="48" t="s">
        <v>2945</v>
      </c>
      <c r="H1042" s="49"/>
      <c r="I1042" s="49"/>
      <c r="J1042" s="49"/>
      <c r="K1042" s="50"/>
      <c r="L1042" s="49">
        <v>2</v>
      </c>
      <c r="M1042" s="49"/>
      <c r="N1042" s="49"/>
      <c r="O1042" s="50" t="s">
        <v>476</v>
      </c>
      <c r="P1042" s="50" t="s">
        <v>197</v>
      </c>
      <c r="Q1042" s="50" t="s">
        <v>198</v>
      </c>
      <c r="R1042" s="50">
        <v>1</v>
      </c>
      <c r="S1042" s="50">
        <v>0</v>
      </c>
      <c r="T1042" s="50">
        <v>1</v>
      </c>
      <c r="U1042" s="50" t="s">
        <v>22</v>
      </c>
      <c r="V1042" s="50" t="s">
        <v>2898</v>
      </c>
      <c r="W1042" s="50" t="s">
        <v>155</v>
      </c>
      <c r="X1042" s="50"/>
      <c r="Y1042" s="51">
        <f>IF(ISBLANK(O1042),"",(IF(O1042=UPPER("IB"),0.005,0.01)))</f>
        <v>0.01</v>
      </c>
      <c r="Z1042" s="52">
        <f>IF(ISBLANK(O1042),"",IF(O1042="IB",8.63*200,IF(O1042="IR",16*100,IF(O1042="YT",20*100,IF(O1042="YT-XT",24*200,IF(O1042="TED",80*100,IF(O1042="XT",29*200)))))))</f>
        <v>2000</v>
      </c>
      <c r="AA1042" s="52" t="s">
        <v>908</v>
      </c>
      <c r="AB1042" s="52"/>
      <c r="AC1042" s="52"/>
      <c r="AD1042" s="231">
        <v>96.47</v>
      </c>
      <c r="AE1042" s="49"/>
      <c r="AF1042" s="84"/>
      <c r="AG1042" s="49"/>
      <c r="AH1042" s="49"/>
      <c r="AI1042" s="49"/>
      <c r="AJ1042" s="226"/>
      <c r="AK1042" s="49"/>
      <c r="AL1042" s="113">
        <f t="shared" si="431"/>
        <v>-40</v>
      </c>
      <c r="AM1042" s="113">
        <f t="shared" si="432"/>
        <v>-40</v>
      </c>
      <c r="AN1042" s="218"/>
      <c r="AO1042" s="49"/>
      <c r="AP1042" s="49"/>
      <c r="AQ1042" s="84" t="s">
        <v>350</v>
      </c>
      <c r="AR1042" s="49"/>
      <c r="AS1042" s="55">
        <v>96.44</v>
      </c>
      <c r="AT1042" s="55">
        <f t="shared" si="433"/>
        <v>-3.0000000000001137E-2</v>
      </c>
      <c r="AU1042" s="54">
        <f t="shared" si="434"/>
        <v>-60.000000000002274</v>
      </c>
      <c r="AV1042" s="56">
        <f t="shared" si="435"/>
        <v>-60.000000000002274</v>
      </c>
      <c r="AW1042" s="57" t="s">
        <v>121</v>
      </c>
      <c r="AX1042" s="151"/>
      <c r="AY1042" s="151"/>
      <c r="AZ1042" s="151"/>
      <c r="BA1042" s="151"/>
      <c r="BB1042" s="153"/>
      <c r="BC1042" s="153"/>
      <c r="BD1042" s="151"/>
      <c r="BE1042" s="152"/>
      <c r="BF1042" s="151"/>
      <c r="BG1042" s="94">
        <f>SUM($AV$1035:AV1042)</f>
        <v>-99.000000000005542</v>
      </c>
      <c r="BH1042" s="95">
        <f>SUM($AU$1035:AU1042)</f>
        <v>124.99999999999454</v>
      </c>
      <c r="BI1042" s="80">
        <f>SUMIFS($AU$1035:AU1227,$Q$1035:Q1227,"F")</f>
        <v>112.00000000000057</v>
      </c>
      <c r="BJ1042" s="80">
        <f>SUMIFS($AU$1035:AU1227,$Q$1035:Q1227,"S")</f>
        <v>-15.999999999994088</v>
      </c>
      <c r="BK1042" s="87">
        <f>SUMIFS($AU$1035:AU1227,$P$1035:P1227,"W")</f>
        <v>-960.00000000003297</v>
      </c>
      <c r="BL1042" s="87">
        <f>SUMIFS($AU$1035:AU1227,$P$1035:P1227,"R")</f>
        <v>1024.0000000000007</v>
      </c>
      <c r="BM1042" s="87">
        <f>SUMIFS($AU$1035:AU1227,$AQ$1035:AQ1227,"M")</f>
        <v>-899.79999999984489</v>
      </c>
      <c r="BN1042" s="87">
        <f>SUMIFS($AU$1035:AU1227,$AQ$1035:AQ1227,"H")</f>
        <v>1583.9999999998265</v>
      </c>
      <c r="BO1042" s="87">
        <f>SUMIFS($AU$1035:AU1227,$AQ$1035:AQ1227,"D")</f>
        <v>-479.9999999999896</v>
      </c>
      <c r="BP1042" s="87">
        <f>SUMIFS($AS$1035:AS1315,$AO$1035:AO1315,"W")</f>
        <v>0</v>
      </c>
      <c r="BQ1042" s="87">
        <f>SUMIFS($AU$1035:AU1227,$Q$1035:Q1227,"O")</f>
        <v>-1079.7999999999552</v>
      </c>
      <c r="BR1042" s="87">
        <f>SUMIFS($AU$1035:AU1227,$AA$1035:AA1227,"*")</f>
        <v>-499.79999999992333</v>
      </c>
      <c r="BS1042" s="87">
        <f>SUMIFS($AU$1035:AU1227,$AB$1035:AB1227,"*")</f>
        <v>-724.00000000009095</v>
      </c>
      <c r="BT1042" s="87">
        <f>SUMIFS($AU$1035:AU1227,$AC$1035:AC1227,"*")</f>
        <v>112.00000000000097</v>
      </c>
      <c r="BU1042" s="87">
        <f>SUMIFS($AU$1035:AU1227,$AA$1035:AA1227,"*",$AB$1035:AB1227,"*")</f>
        <v>47.999999999934744</v>
      </c>
      <c r="BV1042" s="87">
        <f>SUMIFS($AU$1035:AU1227,$AA$1035:AA1227,"*",$AC$1035:AC1227,"*")</f>
        <v>-335.99999999999977</v>
      </c>
      <c r="BW1042" s="87">
        <f>SUMIFS($AU$1035:AU1227,$AB$1035:AB1227,"*",$AC$1035:AC1227,"*")</f>
        <v>-143.99999999999966</v>
      </c>
      <c r="BX1042" s="87">
        <f>SUMIFS($AV$1035:AV1227,$Q$1035:Q1227,"F")</f>
        <v>34.153846153846246</v>
      </c>
      <c r="BY1042" s="87">
        <f>SUMIFS($AV$1035:AV1227,$Q$1035:Q1227,"S")</f>
        <v>20.914285714286223</v>
      </c>
      <c r="BZ1042" s="87">
        <f>SUMIFS($AV$1035:AV1227,$Q$1035:Q1227,"O")</f>
        <v>-445.13333333327751</v>
      </c>
    </row>
    <row r="1043" spans="1:78" ht="15.75" customHeight="1">
      <c r="A1043" s="45" t="s">
        <v>3000</v>
      </c>
      <c r="B1043" s="59">
        <v>45518</v>
      </c>
      <c r="C1043" s="46" t="s">
        <v>1143</v>
      </c>
      <c r="D1043" s="46" t="s">
        <v>186</v>
      </c>
      <c r="E1043" s="66" t="s">
        <v>3133</v>
      </c>
      <c r="F1043" s="47"/>
      <c r="G1043" s="48"/>
      <c r="H1043" s="49"/>
      <c r="I1043" s="49">
        <v>1</v>
      </c>
      <c r="J1043" s="49"/>
      <c r="K1043" s="50"/>
      <c r="L1043" s="49"/>
      <c r="M1043" s="49"/>
      <c r="N1043" s="49"/>
      <c r="O1043" s="50"/>
      <c r="P1043" s="50"/>
      <c r="Q1043" s="50"/>
      <c r="R1043" s="50"/>
      <c r="S1043" s="50"/>
      <c r="T1043" s="50"/>
      <c r="U1043" s="50"/>
      <c r="V1043" s="50"/>
      <c r="W1043" s="50"/>
      <c r="X1043" s="50"/>
      <c r="Y1043" s="50"/>
      <c r="Z1043" s="50"/>
      <c r="AA1043" s="52"/>
      <c r="AB1043" s="52"/>
      <c r="AC1043" s="52"/>
      <c r="AD1043" s="231"/>
      <c r="AE1043" s="49"/>
      <c r="AF1043" s="84"/>
      <c r="AG1043" s="49"/>
      <c r="AH1043" s="49"/>
      <c r="AI1043" s="49"/>
      <c r="AJ1043" s="226"/>
      <c r="AK1043" s="49"/>
      <c r="AL1043" s="113">
        <f t="shared" ref="AL1043:AL1048" si="436">-0.02*Z1043</f>
        <v>0</v>
      </c>
      <c r="AM1043" s="113">
        <f t="shared" ref="AM1043:AM1048" si="437">AL1043*(R1043-S1043)</f>
        <v>0</v>
      </c>
      <c r="AN1043" s="218"/>
      <c r="AO1043" s="49"/>
      <c r="AP1043" s="49"/>
      <c r="AQ1043" s="84" t="str">
        <f>UPPER(RIGHT(Journal_Live[[#This Row],[DURATION ]]))</f>
        <v/>
      </c>
      <c r="AR1043" s="49"/>
      <c r="AS1043" s="55"/>
      <c r="AT1043" s="55">
        <f t="shared" ref="AT1043:AT1048" si="438">IF(ISBLANK(AS1043),,IF(U1043="S",AD1043-AS1043,AS1043-AD1043))</f>
        <v>0</v>
      </c>
      <c r="AU1043" s="54">
        <f t="shared" ref="AU1043:AU1048" si="439">AV1043*R1043</f>
        <v>0</v>
      </c>
      <c r="AV1043" s="56">
        <f t="shared" ref="AV1043:AV1048" si="440">IF(ISBLANK(AS1043),,(AT1043*Z1043))</f>
        <v>0</v>
      </c>
      <c r="AW1043" s="57"/>
      <c r="AX1043" s="151"/>
      <c r="AY1043" s="151"/>
      <c r="AZ1043" s="151"/>
      <c r="BA1043" s="151"/>
      <c r="BB1043" s="153"/>
      <c r="BC1043" s="153"/>
      <c r="BD1043" s="151"/>
      <c r="BE1043" s="152"/>
      <c r="BF1043" s="151"/>
      <c r="BG1043" s="94">
        <f>SUM($AV$1035:AV1043)</f>
        <v>-99.000000000005542</v>
      </c>
      <c r="BH1043" s="95">
        <f>SUM($AU$1035:AU1043)</f>
        <v>124.99999999999454</v>
      </c>
      <c r="BI1043" s="80">
        <f>SUMIFS($AU$1035:AU1222,$Q$1035:Q1222,"F")</f>
        <v>112.00000000000057</v>
      </c>
      <c r="BJ1043" s="80">
        <f>SUMIFS($AU$1035:AU1222,$Q$1035:Q1222,"S")</f>
        <v>-15.999999999994088</v>
      </c>
      <c r="BK1043" s="87">
        <f>SUMIFS($AU$1035:AU1222,$P$1035:P1222,"W")</f>
        <v>-960.00000000003297</v>
      </c>
      <c r="BL1043" s="87">
        <f>SUMIFS($AU$1035:AU1222,$P$1035:P1222,"R")</f>
        <v>1024.0000000000007</v>
      </c>
      <c r="BM1043" s="87">
        <f>SUMIFS($AU$1035:AU1222,$AQ$1035:AQ1222,"M")</f>
        <v>-899.79999999984489</v>
      </c>
      <c r="BN1043" s="87">
        <f>SUMIFS($AU$1035:AU1222,$AQ$1035:AQ1222,"H")</f>
        <v>1583.9999999998265</v>
      </c>
      <c r="BO1043" s="87">
        <f>SUMIFS($AU$1035:AU1222,$AQ$1035:AQ1222,"D")</f>
        <v>-479.9999999999896</v>
      </c>
      <c r="BP1043" s="87">
        <f>SUMIFS($AS$1035:AS1310,$AO$1035:AO1310,"W")</f>
        <v>0</v>
      </c>
      <c r="BQ1043" s="87">
        <f>SUMIFS($AU$1035:AU1222,$Q$1035:Q1222,"O")</f>
        <v>-1079.7999999999552</v>
      </c>
      <c r="BR1043" s="87">
        <f>SUMIFS($AU$1035:AU1222,$AA$1035:AA1222,"*")</f>
        <v>-499.79999999992333</v>
      </c>
      <c r="BS1043" s="87">
        <f>SUMIFS($AU$1035:AU1222,$AB$1035:AB1222,"*")</f>
        <v>-724.00000000009095</v>
      </c>
      <c r="BT1043" s="87">
        <f>SUMIFS($AU$1035:AU1222,$AC$1035:AC1222,"*")</f>
        <v>112.00000000000097</v>
      </c>
      <c r="BU1043" s="87">
        <f>SUMIFS($AU$1035:AU1222,$AA$1035:AA1222,"*",$AB$1035:AB1222,"*")</f>
        <v>47.999999999934744</v>
      </c>
      <c r="BV1043" s="87">
        <f>SUMIFS($AU$1035:AU1222,$AA$1035:AA1222,"*",$AC$1035:AC1222,"*")</f>
        <v>-335.99999999999977</v>
      </c>
      <c r="BW1043" s="87">
        <f>SUMIFS($AU$1035:AU1222,$AB$1035:AB1222,"*",$AC$1035:AC1222,"*")</f>
        <v>-143.99999999999966</v>
      </c>
      <c r="BX1043" s="87">
        <f>SUMIFS($AV$1035:AV1222,$Q$1035:Q1222,"F")</f>
        <v>34.153846153846246</v>
      </c>
      <c r="BY1043" s="87">
        <f>SUMIFS($AV$1035:AV1222,$Q$1035:Q1222,"S")</f>
        <v>20.914285714286223</v>
      </c>
      <c r="BZ1043" s="87">
        <f>SUMIFS($AV$1035:AV1222,$Q$1035:Q1222,"O")</f>
        <v>-445.13333333327751</v>
      </c>
    </row>
    <row r="1044" spans="1:78" ht="15.75" customHeight="1">
      <c r="A1044" s="45" t="s">
        <v>3000</v>
      </c>
      <c r="B1044" s="59"/>
      <c r="C1044" s="46"/>
      <c r="D1044" s="46"/>
      <c r="E1044" s="66" t="s">
        <v>3134</v>
      </c>
      <c r="F1044" s="47"/>
      <c r="G1044" s="48"/>
      <c r="H1044" s="49"/>
      <c r="I1044" s="49"/>
      <c r="J1044" s="49">
        <v>1</v>
      </c>
      <c r="K1044" s="50" t="s">
        <v>155</v>
      </c>
      <c r="L1044" s="49"/>
      <c r="M1044" s="49"/>
      <c r="N1044" s="49"/>
      <c r="O1044" s="50"/>
      <c r="P1044" s="50"/>
      <c r="Q1044" s="50"/>
      <c r="R1044" s="50"/>
      <c r="S1044" s="50"/>
      <c r="T1044" s="50"/>
      <c r="U1044" s="50"/>
      <c r="V1044" s="50"/>
      <c r="W1044" s="50"/>
      <c r="X1044" s="50"/>
      <c r="Y1044" s="50"/>
      <c r="Z1044" s="50"/>
      <c r="AA1044" s="52"/>
      <c r="AB1044" s="52"/>
      <c r="AC1044" s="52"/>
      <c r="AD1044" s="231"/>
      <c r="AE1044" s="49"/>
      <c r="AF1044" s="84"/>
      <c r="AG1044" s="49"/>
      <c r="AH1044" s="49"/>
      <c r="AI1044" s="49"/>
      <c r="AJ1044" s="226"/>
      <c r="AK1044" s="49"/>
      <c r="AL1044" s="113">
        <f t="shared" si="436"/>
        <v>0</v>
      </c>
      <c r="AM1044" s="113">
        <f t="shared" si="437"/>
        <v>0</v>
      </c>
      <c r="AN1044" s="218"/>
      <c r="AO1044" s="49"/>
      <c r="AP1044" s="49"/>
      <c r="AQ1044" s="84" t="str">
        <f>UPPER(RIGHT(Journal_Live[[#This Row],[DURATION ]]))</f>
        <v/>
      </c>
      <c r="AR1044" s="49"/>
      <c r="AS1044" s="55"/>
      <c r="AT1044" s="55">
        <f t="shared" si="438"/>
        <v>0</v>
      </c>
      <c r="AU1044" s="54">
        <f t="shared" si="439"/>
        <v>0</v>
      </c>
      <c r="AV1044" s="56">
        <f t="shared" si="440"/>
        <v>0</v>
      </c>
      <c r="AW1044" s="57"/>
      <c r="AX1044" s="151"/>
      <c r="AY1044" s="151"/>
      <c r="AZ1044" s="151"/>
      <c r="BA1044" s="151"/>
      <c r="BB1044" s="153"/>
      <c r="BC1044" s="153"/>
      <c r="BD1044" s="151"/>
      <c r="BE1044" s="152"/>
      <c r="BF1044" s="151"/>
      <c r="BG1044" s="94">
        <f>SUM($AV$1035:AV1044)</f>
        <v>-99.000000000005542</v>
      </c>
      <c r="BH1044" s="95">
        <f>SUM($AU$1035:AU1044)</f>
        <v>124.99999999999454</v>
      </c>
      <c r="BI1044" s="80">
        <f>SUMIFS($AU$1035:AU1223,$Q$1035:Q1223,"F")</f>
        <v>112.00000000000057</v>
      </c>
      <c r="BJ1044" s="80">
        <f>SUMIFS($AU$1035:AU1223,$Q$1035:Q1223,"S")</f>
        <v>-15.999999999994088</v>
      </c>
      <c r="BK1044" s="87">
        <f>SUMIFS($AU$1035:AU1223,$P$1035:P1223,"W")</f>
        <v>-960.00000000003297</v>
      </c>
      <c r="BL1044" s="87">
        <f>SUMIFS($AU$1035:AU1223,$P$1035:P1223,"R")</f>
        <v>1024.0000000000007</v>
      </c>
      <c r="BM1044" s="87">
        <f>SUMIFS($AU$1035:AU1223,$AQ$1035:AQ1223,"M")</f>
        <v>-899.79999999984489</v>
      </c>
      <c r="BN1044" s="87">
        <f>SUMIFS($AU$1035:AU1223,$AQ$1035:AQ1223,"H")</f>
        <v>1583.9999999998265</v>
      </c>
      <c r="BO1044" s="87">
        <f>SUMIFS($AU$1035:AU1223,$AQ$1035:AQ1223,"D")</f>
        <v>-479.9999999999896</v>
      </c>
      <c r="BP1044" s="87">
        <f>SUMIFS($AS$1035:AS1311,$AO$1035:AO1311,"W")</f>
        <v>0</v>
      </c>
      <c r="BQ1044" s="87">
        <f>SUMIFS($AU$1035:AU1223,$Q$1035:Q1223,"O")</f>
        <v>-1079.7999999999552</v>
      </c>
      <c r="BR1044" s="87">
        <f>SUMIFS($AU$1035:AU1223,$AA$1035:AA1223,"*")</f>
        <v>-499.79999999992333</v>
      </c>
      <c r="BS1044" s="87">
        <f>SUMIFS($AU$1035:AU1223,$AB$1035:AB1223,"*")</f>
        <v>-724.00000000009095</v>
      </c>
      <c r="BT1044" s="87">
        <f>SUMIFS($AU$1035:AU1223,$AC$1035:AC1223,"*")</f>
        <v>112.00000000000097</v>
      </c>
      <c r="BU1044" s="87">
        <f>SUMIFS($AU$1035:AU1223,$AA$1035:AA1223,"*",$AB$1035:AB1223,"*")</f>
        <v>47.999999999934744</v>
      </c>
      <c r="BV1044" s="87">
        <f>SUMIFS($AU$1035:AU1223,$AA$1035:AA1223,"*",$AC$1035:AC1223,"*")</f>
        <v>-335.99999999999977</v>
      </c>
      <c r="BW1044" s="87">
        <f>SUMIFS($AU$1035:AU1223,$AB$1035:AB1223,"*",$AC$1035:AC1223,"*")</f>
        <v>-143.99999999999966</v>
      </c>
      <c r="BX1044" s="87">
        <f>SUMIFS($AV$1035:AV1223,$Q$1035:Q1223,"F")</f>
        <v>34.153846153846246</v>
      </c>
      <c r="BY1044" s="87">
        <f>SUMIFS($AV$1035:AV1223,$Q$1035:Q1223,"S")</f>
        <v>20.914285714286223</v>
      </c>
      <c r="BZ1044" s="87">
        <f>SUMIFS($AV$1035:AV1223,$Q$1035:Q1223,"O")</f>
        <v>-445.13333333327751</v>
      </c>
    </row>
    <row r="1045" spans="1:78" ht="15.75" customHeight="1">
      <c r="A1045" s="45" t="s">
        <v>3000</v>
      </c>
      <c r="B1045" s="59"/>
      <c r="C1045" s="46"/>
      <c r="D1045" s="46"/>
      <c r="E1045" s="66" t="s">
        <v>3135</v>
      </c>
      <c r="F1045" s="47"/>
      <c r="G1045" s="48"/>
      <c r="H1045" s="49"/>
      <c r="I1045" s="49">
        <v>1</v>
      </c>
      <c r="J1045" s="49"/>
      <c r="K1045" s="50"/>
      <c r="L1045" s="49"/>
      <c r="M1045" s="49"/>
      <c r="N1045" s="49"/>
      <c r="O1045" s="50"/>
      <c r="P1045" s="50"/>
      <c r="Q1045" s="50"/>
      <c r="R1045" s="50"/>
      <c r="S1045" s="50"/>
      <c r="T1045" s="50"/>
      <c r="U1045" s="50"/>
      <c r="V1045" s="50"/>
      <c r="W1045" s="50"/>
      <c r="X1045" s="50"/>
      <c r="Y1045" s="50"/>
      <c r="Z1045" s="50"/>
      <c r="AA1045" s="52"/>
      <c r="AB1045" s="52"/>
      <c r="AC1045" s="52"/>
      <c r="AD1045" s="231"/>
      <c r="AE1045" s="49"/>
      <c r="AF1045" s="84"/>
      <c r="AG1045" s="49"/>
      <c r="AH1045" s="49"/>
      <c r="AI1045" s="49"/>
      <c r="AJ1045" s="226"/>
      <c r="AK1045" s="49"/>
      <c r="AL1045" s="113">
        <f t="shared" si="436"/>
        <v>0</v>
      </c>
      <c r="AM1045" s="113">
        <f t="shared" si="437"/>
        <v>0</v>
      </c>
      <c r="AN1045" s="218"/>
      <c r="AO1045" s="49"/>
      <c r="AP1045" s="49"/>
      <c r="AQ1045" s="84" t="str">
        <f>UPPER(RIGHT(Journal_Live[[#This Row],[DURATION ]]))</f>
        <v/>
      </c>
      <c r="AR1045" s="49"/>
      <c r="AS1045" s="55"/>
      <c r="AT1045" s="55">
        <f t="shared" si="438"/>
        <v>0</v>
      </c>
      <c r="AU1045" s="54">
        <f t="shared" si="439"/>
        <v>0</v>
      </c>
      <c r="AV1045" s="56">
        <f t="shared" si="440"/>
        <v>0</v>
      </c>
      <c r="AW1045" s="57"/>
      <c r="AX1045" s="151"/>
      <c r="AY1045" s="151"/>
      <c r="AZ1045" s="151"/>
      <c r="BA1045" s="151"/>
      <c r="BB1045" s="153"/>
      <c r="BC1045" s="153"/>
      <c r="BD1045" s="151"/>
      <c r="BE1045" s="152"/>
      <c r="BF1045" s="151"/>
      <c r="BG1045" s="94">
        <f>SUM($AV$1035:AV1045)</f>
        <v>-99.000000000005542</v>
      </c>
      <c r="BH1045" s="95">
        <f>SUM($AU$1035:AU1045)</f>
        <v>124.99999999999454</v>
      </c>
      <c r="BI1045" s="80">
        <f>SUMIFS($AU$1035:AU1224,$Q$1035:Q1224,"F")</f>
        <v>112.00000000000057</v>
      </c>
      <c r="BJ1045" s="80">
        <f>SUMIFS($AU$1035:AU1224,$Q$1035:Q1224,"S")</f>
        <v>-15.999999999994088</v>
      </c>
      <c r="BK1045" s="87">
        <f>SUMIFS($AU$1035:AU1224,$P$1035:P1224,"W")</f>
        <v>-960.00000000003297</v>
      </c>
      <c r="BL1045" s="87">
        <f>SUMIFS($AU$1035:AU1224,$P$1035:P1224,"R")</f>
        <v>1024.0000000000007</v>
      </c>
      <c r="BM1045" s="87">
        <f>SUMIFS($AU$1035:AU1224,$AQ$1035:AQ1224,"M")</f>
        <v>-899.79999999984489</v>
      </c>
      <c r="BN1045" s="87">
        <f>SUMIFS($AU$1035:AU1224,$AQ$1035:AQ1224,"H")</f>
        <v>1583.9999999998265</v>
      </c>
      <c r="BO1045" s="87">
        <f>SUMIFS($AU$1035:AU1224,$AQ$1035:AQ1224,"D")</f>
        <v>-479.9999999999896</v>
      </c>
      <c r="BP1045" s="87">
        <f>SUMIFS($AS$1035:AS1312,$AO$1035:AO1312,"W")</f>
        <v>0</v>
      </c>
      <c r="BQ1045" s="87">
        <f>SUMIFS($AU$1035:AU1224,$Q$1035:Q1224,"O")</f>
        <v>-1079.7999999999552</v>
      </c>
      <c r="BR1045" s="87">
        <f>SUMIFS($AU$1035:AU1224,$AA$1035:AA1224,"*")</f>
        <v>-499.79999999992333</v>
      </c>
      <c r="BS1045" s="87">
        <f>SUMIFS($AU$1035:AU1224,$AB$1035:AB1224,"*")</f>
        <v>-724.00000000009095</v>
      </c>
      <c r="BT1045" s="87">
        <f>SUMIFS($AU$1035:AU1224,$AC$1035:AC1224,"*")</f>
        <v>112.00000000000097</v>
      </c>
      <c r="BU1045" s="87">
        <f>SUMIFS($AU$1035:AU1224,$AA$1035:AA1224,"*",$AB$1035:AB1224,"*")</f>
        <v>47.999999999934744</v>
      </c>
      <c r="BV1045" s="87">
        <f>SUMIFS($AU$1035:AU1224,$AA$1035:AA1224,"*",$AC$1035:AC1224,"*")</f>
        <v>-335.99999999999977</v>
      </c>
      <c r="BW1045" s="87">
        <f>SUMIFS($AU$1035:AU1224,$AB$1035:AB1224,"*",$AC$1035:AC1224,"*")</f>
        <v>-143.99999999999966</v>
      </c>
      <c r="BX1045" s="87">
        <f>SUMIFS($AV$1035:AV1224,$Q$1035:Q1224,"F")</f>
        <v>34.153846153846246</v>
      </c>
      <c r="BY1045" s="87">
        <f>SUMIFS($AV$1035:AV1224,$Q$1035:Q1224,"S")</f>
        <v>20.914285714286223</v>
      </c>
      <c r="BZ1045" s="87">
        <f>SUMIFS($AV$1035:AV1224,$Q$1035:Q1224,"O")</f>
        <v>-445.13333333327751</v>
      </c>
    </row>
    <row r="1046" spans="1:78" ht="15.75" customHeight="1">
      <c r="A1046" s="45" t="s">
        <v>3000</v>
      </c>
      <c r="B1046" s="59"/>
      <c r="C1046" s="46"/>
      <c r="D1046" s="46"/>
      <c r="E1046" s="66" t="s">
        <v>3136</v>
      </c>
      <c r="F1046" s="47"/>
      <c r="G1046" s="48"/>
      <c r="H1046" s="49"/>
      <c r="I1046" s="49">
        <v>1</v>
      </c>
      <c r="J1046" s="49"/>
      <c r="K1046" s="50"/>
      <c r="L1046" s="49"/>
      <c r="M1046" s="49"/>
      <c r="N1046" s="49"/>
      <c r="O1046" s="50"/>
      <c r="P1046" s="50"/>
      <c r="Q1046" s="50"/>
      <c r="R1046" s="50"/>
      <c r="S1046" s="50"/>
      <c r="T1046" s="50"/>
      <c r="U1046" s="50"/>
      <c r="V1046" s="50"/>
      <c r="W1046" s="50"/>
      <c r="X1046" s="50"/>
      <c r="Y1046" s="50"/>
      <c r="Z1046" s="50"/>
      <c r="AA1046" s="52"/>
      <c r="AB1046" s="52"/>
      <c r="AC1046" s="52"/>
      <c r="AD1046" s="231"/>
      <c r="AE1046" s="49"/>
      <c r="AF1046" s="84"/>
      <c r="AG1046" s="49"/>
      <c r="AH1046" s="49"/>
      <c r="AI1046" s="49"/>
      <c r="AJ1046" s="226"/>
      <c r="AK1046" s="49"/>
      <c r="AL1046" s="113">
        <f t="shared" si="436"/>
        <v>0</v>
      </c>
      <c r="AM1046" s="113">
        <f t="shared" si="437"/>
        <v>0</v>
      </c>
      <c r="AN1046" s="218"/>
      <c r="AO1046" s="49"/>
      <c r="AP1046" s="49"/>
      <c r="AQ1046" s="84" t="str">
        <f>UPPER(RIGHT(Journal_Live[[#This Row],[DURATION ]]))</f>
        <v/>
      </c>
      <c r="AR1046" s="49"/>
      <c r="AS1046" s="55"/>
      <c r="AT1046" s="55">
        <f t="shared" si="438"/>
        <v>0</v>
      </c>
      <c r="AU1046" s="54">
        <f t="shared" si="439"/>
        <v>0</v>
      </c>
      <c r="AV1046" s="56">
        <f t="shared" si="440"/>
        <v>0</v>
      </c>
      <c r="AW1046" s="57"/>
      <c r="AX1046" s="151"/>
      <c r="AY1046" s="151"/>
      <c r="AZ1046" s="151"/>
      <c r="BA1046" s="151"/>
      <c r="BB1046" s="153"/>
      <c r="BC1046" s="153"/>
      <c r="BD1046" s="151"/>
      <c r="BE1046" s="152"/>
      <c r="BF1046" s="151"/>
      <c r="BG1046" s="94">
        <f>SUM($AV$1035:AV1046)</f>
        <v>-99.000000000005542</v>
      </c>
      <c r="BH1046" s="95">
        <f>SUM($AU$1035:AU1046)</f>
        <v>124.99999999999454</v>
      </c>
      <c r="BI1046" s="80">
        <f>SUMIFS($AU$1035:AU1225,$Q$1035:Q1225,"F")</f>
        <v>112.00000000000057</v>
      </c>
      <c r="BJ1046" s="80">
        <f>SUMIFS($AU$1035:AU1225,$Q$1035:Q1225,"S")</f>
        <v>-15.999999999994088</v>
      </c>
      <c r="BK1046" s="87">
        <f>SUMIFS($AU$1035:AU1225,$P$1035:P1225,"W")</f>
        <v>-960.00000000003297</v>
      </c>
      <c r="BL1046" s="87">
        <f>SUMIFS($AU$1035:AU1225,$P$1035:P1225,"R")</f>
        <v>1024.0000000000007</v>
      </c>
      <c r="BM1046" s="87">
        <f>SUMIFS($AU$1035:AU1225,$AQ$1035:AQ1225,"M")</f>
        <v>-899.79999999984489</v>
      </c>
      <c r="BN1046" s="87">
        <f>SUMIFS($AU$1035:AU1225,$AQ$1035:AQ1225,"H")</f>
        <v>1583.9999999998265</v>
      </c>
      <c r="BO1046" s="87">
        <f>SUMIFS($AU$1035:AU1225,$AQ$1035:AQ1225,"D")</f>
        <v>-479.9999999999896</v>
      </c>
      <c r="BP1046" s="87">
        <f>SUMIFS($AS$1035:AS1313,$AO$1035:AO1313,"W")</f>
        <v>0</v>
      </c>
      <c r="BQ1046" s="87">
        <f>SUMIFS($AU$1035:AU1225,$Q$1035:Q1225,"O")</f>
        <v>-1079.7999999999552</v>
      </c>
      <c r="BR1046" s="87">
        <f>SUMIFS($AU$1035:AU1225,$AA$1035:AA1225,"*")</f>
        <v>-499.79999999992333</v>
      </c>
      <c r="BS1046" s="87">
        <f>SUMIFS($AU$1035:AU1225,$AB$1035:AB1225,"*")</f>
        <v>-724.00000000009095</v>
      </c>
      <c r="BT1046" s="87">
        <f>SUMIFS($AU$1035:AU1225,$AC$1035:AC1225,"*")</f>
        <v>112.00000000000097</v>
      </c>
      <c r="BU1046" s="87">
        <f>SUMIFS($AU$1035:AU1225,$AA$1035:AA1225,"*",$AB$1035:AB1225,"*")</f>
        <v>47.999999999934744</v>
      </c>
      <c r="BV1046" s="87">
        <f>SUMIFS($AU$1035:AU1225,$AA$1035:AA1225,"*",$AC$1035:AC1225,"*")</f>
        <v>-335.99999999999977</v>
      </c>
      <c r="BW1046" s="87">
        <f>SUMIFS($AU$1035:AU1225,$AB$1035:AB1225,"*",$AC$1035:AC1225,"*")</f>
        <v>-143.99999999999966</v>
      </c>
      <c r="BX1046" s="87">
        <f>SUMIFS($AV$1035:AV1225,$Q$1035:Q1225,"F")</f>
        <v>34.153846153846246</v>
      </c>
      <c r="BY1046" s="87">
        <f>SUMIFS($AV$1035:AV1225,$Q$1035:Q1225,"S")</f>
        <v>20.914285714286223</v>
      </c>
      <c r="BZ1046" s="87">
        <f>SUMIFS($AV$1035:AV1225,$Q$1035:Q1225,"O")</f>
        <v>-445.13333333327751</v>
      </c>
    </row>
    <row r="1047" spans="1:78" ht="15.75" customHeight="1">
      <c r="A1047" s="45" t="s">
        <v>3000</v>
      </c>
      <c r="B1047" s="59">
        <v>45519</v>
      </c>
      <c r="C1047" s="46" t="s">
        <v>194</v>
      </c>
      <c r="D1047" s="46" t="s">
        <v>107</v>
      </c>
      <c r="E1047" s="66" t="s">
        <v>3137</v>
      </c>
      <c r="F1047" s="47" t="s">
        <v>3138</v>
      </c>
      <c r="G1047" s="48"/>
      <c r="H1047" s="49">
        <v>1</v>
      </c>
      <c r="I1047" s="49"/>
      <c r="J1047" s="49"/>
      <c r="K1047" s="50" t="s">
        <v>142</v>
      </c>
      <c r="L1047" s="49"/>
      <c r="M1047" s="49"/>
      <c r="N1047" s="49"/>
      <c r="O1047" s="50"/>
      <c r="P1047" s="50"/>
      <c r="Q1047" s="50"/>
      <c r="R1047" s="50"/>
      <c r="S1047" s="50"/>
      <c r="T1047" s="50"/>
      <c r="U1047" s="50"/>
      <c r="V1047" s="50"/>
      <c r="W1047" s="50"/>
      <c r="X1047" s="50"/>
      <c r="Y1047" s="50"/>
      <c r="Z1047" s="50"/>
      <c r="AA1047" s="52"/>
      <c r="AB1047" s="52"/>
      <c r="AC1047" s="52"/>
      <c r="AD1047" s="231"/>
      <c r="AE1047" s="49"/>
      <c r="AF1047" s="84"/>
      <c r="AG1047" s="49"/>
      <c r="AH1047" s="49"/>
      <c r="AI1047" s="49"/>
      <c r="AJ1047" s="226"/>
      <c r="AK1047" s="49"/>
      <c r="AL1047" s="113">
        <f t="shared" si="436"/>
        <v>0</v>
      </c>
      <c r="AM1047" s="113">
        <f t="shared" si="437"/>
        <v>0</v>
      </c>
      <c r="AN1047" s="218"/>
      <c r="AO1047" s="49"/>
      <c r="AP1047" s="49"/>
      <c r="AQ1047" s="84" t="str">
        <f>UPPER(RIGHT(Journal_Live[[#This Row],[DURATION ]]))</f>
        <v/>
      </c>
      <c r="AR1047" s="49"/>
      <c r="AS1047" s="55"/>
      <c r="AT1047" s="55">
        <f t="shared" si="438"/>
        <v>0</v>
      </c>
      <c r="AU1047" s="54">
        <f t="shared" si="439"/>
        <v>0</v>
      </c>
      <c r="AV1047" s="56">
        <f t="shared" si="440"/>
        <v>0</v>
      </c>
      <c r="AW1047" s="57"/>
      <c r="AX1047" s="151"/>
      <c r="AY1047" s="151"/>
      <c r="AZ1047" s="151"/>
      <c r="BA1047" s="151"/>
      <c r="BB1047" s="153"/>
      <c r="BC1047" s="153"/>
      <c r="BD1047" s="151"/>
      <c r="BE1047" s="152"/>
      <c r="BF1047" s="151"/>
      <c r="BG1047" s="94">
        <f>SUM($AV$1035:AV1047)</f>
        <v>-99.000000000005542</v>
      </c>
      <c r="BH1047" s="95">
        <f>SUM($AU$1035:AU1047)</f>
        <v>124.99999999999454</v>
      </c>
      <c r="BI1047" s="80">
        <f>SUMIFS($AU$1035:AU1226,$Q$1035:Q1226,"F")</f>
        <v>112.00000000000057</v>
      </c>
      <c r="BJ1047" s="80">
        <f>SUMIFS($AU$1035:AU1226,$Q$1035:Q1226,"S")</f>
        <v>-15.999999999994088</v>
      </c>
      <c r="BK1047" s="87">
        <f>SUMIFS($AU$1035:AU1226,$P$1035:P1226,"W")</f>
        <v>-960.00000000003297</v>
      </c>
      <c r="BL1047" s="87">
        <f>SUMIFS($AU$1035:AU1226,$P$1035:P1226,"R")</f>
        <v>1024.0000000000007</v>
      </c>
      <c r="BM1047" s="87">
        <f>SUMIFS($AU$1035:AU1226,$AQ$1035:AQ1226,"M")</f>
        <v>-899.79999999984489</v>
      </c>
      <c r="BN1047" s="87">
        <f>SUMIFS($AU$1035:AU1226,$AQ$1035:AQ1226,"H")</f>
        <v>1583.9999999998265</v>
      </c>
      <c r="BO1047" s="87">
        <f>SUMIFS($AU$1035:AU1226,$AQ$1035:AQ1226,"D")</f>
        <v>-479.9999999999896</v>
      </c>
      <c r="BP1047" s="87">
        <f>SUMIFS($AS$1035:AS1314,$AO$1035:AO1314,"W")</f>
        <v>0</v>
      </c>
      <c r="BQ1047" s="87">
        <f>SUMIFS($AU$1035:AU1226,$Q$1035:Q1226,"O")</f>
        <v>-1079.7999999999552</v>
      </c>
      <c r="BR1047" s="87">
        <f>SUMIFS($AU$1035:AU1226,$AA$1035:AA1226,"*")</f>
        <v>-499.79999999992333</v>
      </c>
      <c r="BS1047" s="87">
        <f>SUMIFS($AU$1035:AU1226,$AB$1035:AB1226,"*")</f>
        <v>-724.00000000009095</v>
      </c>
      <c r="BT1047" s="87">
        <f>SUMIFS($AU$1035:AU1226,$AC$1035:AC1226,"*")</f>
        <v>112.00000000000097</v>
      </c>
      <c r="BU1047" s="87">
        <f>SUMIFS($AU$1035:AU1226,$AA$1035:AA1226,"*",$AB$1035:AB1226,"*")</f>
        <v>47.999999999934744</v>
      </c>
      <c r="BV1047" s="87">
        <f>SUMIFS($AU$1035:AU1226,$AA$1035:AA1226,"*",$AC$1035:AC1226,"*")</f>
        <v>-335.99999999999977</v>
      </c>
      <c r="BW1047" s="87">
        <f>SUMIFS($AU$1035:AU1226,$AB$1035:AB1226,"*",$AC$1035:AC1226,"*")</f>
        <v>-143.99999999999966</v>
      </c>
      <c r="BX1047" s="87">
        <f>SUMIFS($AV$1035:AV1226,$Q$1035:Q1226,"F")</f>
        <v>34.153846153846246</v>
      </c>
      <c r="BY1047" s="87">
        <f>SUMIFS($AV$1035:AV1226,$Q$1035:Q1226,"S")</f>
        <v>20.914285714286223</v>
      </c>
      <c r="BZ1047" s="87">
        <f>SUMIFS($AV$1035:AV1226,$Q$1035:Q1226,"O")</f>
        <v>-445.13333333327751</v>
      </c>
    </row>
    <row r="1048" spans="1:78" ht="15.75" customHeight="1">
      <c r="A1048" s="45" t="s">
        <v>3000</v>
      </c>
      <c r="B1048" s="59"/>
      <c r="C1048" s="46"/>
      <c r="D1048" s="46"/>
      <c r="E1048" s="66" t="s">
        <v>3139</v>
      </c>
      <c r="F1048" s="47" t="s">
        <v>3140</v>
      </c>
      <c r="G1048" s="48"/>
      <c r="H1048" s="49">
        <v>1</v>
      </c>
      <c r="I1048" s="49"/>
      <c r="J1048" s="49"/>
      <c r="K1048" s="50" t="s">
        <v>155</v>
      </c>
      <c r="L1048" s="49"/>
      <c r="M1048" s="49"/>
      <c r="N1048" s="49"/>
      <c r="O1048" s="50"/>
      <c r="P1048" s="50"/>
      <c r="Q1048" s="50"/>
      <c r="R1048" s="50"/>
      <c r="S1048" s="50"/>
      <c r="T1048" s="50"/>
      <c r="U1048" s="50"/>
      <c r="V1048" s="50"/>
      <c r="W1048" s="50"/>
      <c r="X1048" s="50"/>
      <c r="Y1048" s="50"/>
      <c r="Z1048" s="50"/>
      <c r="AA1048" s="52"/>
      <c r="AB1048" s="52"/>
      <c r="AC1048" s="52"/>
      <c r="AD1048" s="231"/>
      <c r="AE1048" s="49"/>
      <c r="AF1048" s="84"/>
      <c r="AG1048" s="49"/>
      <c r="AH1048" s="49"/>
      <c r="AI1048" s="49"/>
      <c r="AJ1048" s="226"/>
      <c r="AK1048" s="49"/>
      <c r="AL1048" s="113">
        <f t="shared" si="436"/>
        <v>0</v>
      </c>
      <c r="AM1048" s="113">
        <f t="shared" si="437"/>
        <v>0</v>
      </c>
      <c r="AN1048" s="218"/>
      <c r="AO1048" s="49"/>
      <c r="AP1048" s="49"/>
      <c r="AQ1048" s="84" t="str">
        <f>UPPER(RIGHT(Journal_Live[[#This Row],[DURATION ]]))</f>
        <v/>
      </c>
      <c r="AR1048" s="49"/>
      <c r="AS1048" s="55"/>
      <c r="AT1048" s="55">
        <f t="shared" si="438"/>
        <v>0</v>
      </c>
      <c r="AU1048" s="54">
        <f t="shared" si="439"/>
        <v>0</v>
      </c>
      <c r="AV1048" s="56">
        <f t="shared" si="440"/>
        <v>0</v>
      </c>
      <c r="AW1048" s="57"/>
      <c r="AX1048" s="151"/>
      <c r="AY1048" s="151"/>
      <c r="AZ1048" s="151"/>
      <c r="BA1048" s="151"/>
      <c r="BB1048" s="153"/>
      <c r="BC1048" s="153"/>
      <c r="BD1048" s="151"/>
      <c r="BE1048" s="152"/>
      <c r="BF1048" s="151"/>
      <c r="BG1048" s="94">
        <f>SUM($AV$1035:AV1048)</f>
        <v>-99.000000000005542</v>
      </c>
      <c r="BH1048" s="95">
        <f>SUM($AU$1035:AU1048)</f>
        <v>124.99999999999454</v>
      </c>
      <c r="BI1048" s="80">
        <f>SUMIFS($AU$1035:AU1227,$Q$1035:Q1227,"F")</f>
        <v>112.00000000000057</v>
      </c>
      <c r="BJ1048" s="80">
        <f>SUMIFS($AU$1035:AU1227,$Q$1035:Q1227,"S")</f>
        <v>-15.999999999994088</v>
      </c>
      <c r="BK1048" s="87">
        <f>SUMIFS($AU$1035:AU1227,$P$1035:P1227,"W")</f>
        <v>-960.00000000003297</v>
      </c>
      <c r="BL1048" s="87">
        <f>SUMIFS($AU$1035:AU1227,$P$1035:P1227,"R")</f>
        <v>1024.0000000000007</v>
      </c>
      <c r="BM1048" s="87">
        <f>SUMIFS($AU$1035:AU1227,$AQ$1035:AQ1227,"M")</f>
        <v>-899.79999999984489</v>
      </c>
      <c r="BN1048" s="87">
        <f>SUMIFS($AU$1035:AU1227,$AQ$1035:AQ1227,"H")</f>
        <v>1583.9999999998265</v>
      </c>
      <c r="BO1048" s="87">
        <f>SUMIFS($AU$1035:AU1227,$AQ$1035:AQ1227,"D")</f>
        <v>-479.9999999999896</v>
      </c>
      <c r="BP1048" s="87">
        <f>SUMIFS($AS$1035:AS1315,$AO$1035:AO1315,"W")</f>
        <v>0</v>
      </c>
      <c r="BQ1048" s="87">
        <f>SUMIFS($AU$1035:AU1227,$Q$1035:Q1227,"O")</f>
        <v>-1079.7999999999552</v>
      </c>
      <c r="BR1048" s="87">
        <f>SUMIFS($AU$1035:AU1227,$AA$1035:AA1227,"*")</f>
        <v>-499.79999999992333</v>
      </c>
      <c r="BS1048" s="87">
        <f>SUMIFS($AU$1035:AU1227,$AB$1035:AB1227,"*")</f>
        <v>-724.00000000009095</v>
      </c>
      <c r="BT1048" s="87">
        <f>SUMIFS($AU$1035:AU1227,$AC$1035:AC1227,"*")</f>
        <v>112.00000000000097</v>
      </c>
      <c r="BU1048" s="87">
        <f>SUMIFS($AU$1035:AU1227,$AA$1035:AA1227,"*",$AB$1035:AB1227,"*")</f>
        <v>47.999999999934744</v>
      </c>
      <c r="BV1048" s="87">
        <f>SUMIFS($AU$1035:AU1227,$AA$1035:AA1227,"*",$AC$1035:AC1227,"*")</f>
        <v>-335.99999999999977</v>
      </c>
      <c r="BW1048" s="87">
        <f>SUMIFS($AU$1035:AU1227,$AB$1035:AB1227,"*",$AC$1035:AC1227,"*")</f>
        <v>-143.99999999999966</v>
      </c>
      <c r="BX1048" s="87">
        <f>SUMIFS($AV$1035:AV1227,$Q$1035:Q1227,"F")</f>
        <v>34.153846153846246</v>
      </c>
      <c r="BY1048" s="87">
        <f>SUMIFS($AV$1035:AV1227,$Q$1035:Q1227,"S")</f>
        <v>20.914285714286223</v>
      </c>
      <c r="BZ1048" s="87">
        <f>SUMIFS($AV$1035:AV1227,$Q$1035:Q1227,"O")</f>
        <v>-445.13333333327751</v>
      </c>
    </row>
    <row r="1049" spans="1:78" ht="15.75" customHeight="1">
      <c r="A1049" s="45" t="s">
        <v>3000</v>
      </c>
      <c r="B1049" s="59">
        <v>45519</v>
      </c>
      <c r="C1049" s="46" t="s">
        <v>3141</v>
      </c>
      <c r="D1049" s="46" t="s">
        <v>107</v>
      </c>
      <c r="E1049" s="66"/>
      <c r="F1049" s="47"/>
      <c r="G1049" s="48" t="s">
        <v>276</v>
      </c>
      <c r="H1049" s="49"/>
      <c r="I1049" s="49"/>
      <c r="J1049" s="49"/>
      <c r="K1049" s="50"/>
      <c r="L1049" s="49">
        <v>1</v>
      </c>
      <c r="M1049" s="49"/>
      <c r="N1049" s="49"/>
      <c r="O1049" s="50" t="s">
        <v>100</v>
      </c>
      <c r="P1049" s="50" t="s">
        <v>101</v>
      </c>
      <c r="Q1049" s="50" t="s">
        <v>102</v>
      </c>
      <c r="R1049" s="50">
        <v>3</v>
      </c>
      <c r="S1049" s="50">
        <v>0</v>
      </c>
      <c r="T1049" s="50">
        <v>3</v>
      </c>
      <c r="U1049" s="50" t="s">
        <v>102</v>
      </c>
      <c r="V1049" s="50" t="s">
        <v>2898</v>
      </c>
      <c r="W1049" s="50" t="s">
        <v>155</v>
      </c>
      <c r="X1049" s="50" t="s">
        <v>3026</v>
      </c>
      <c r="Y1049" s="51">
        <f>IF(ISBLANK(O1049),"",(IF(O1049=UPPER("IB"),0.005,0.01)))</f>
        <v>0.01</v>
      </c>
      <c r="Z1049" s="52">
        <f>IF(ISBLANK(O1049),"",IF(O1049="IB",8.63*200,IF(O1049="IR",16*100,IF(O1049="YT",20*100,IF(O1049="YT-XT",24*200,IF(O1049="TED",80*100,IF(O1049="XT",29*200)))))))</f>
        <v>1600</v>
      </c>
      <c r="AA1049" s="52"/>
      <c r="AB1049" s="52" t="s">
        <v>3142</v>
      </c>
      <c r="AC1049" s="52"/>
      <c r="AD1049" s="231">
        <v>-0.19</v>
      </c>
      <c r="AE1049" s="49"/>
      <c r="AF1049" s="84"/>
      <c r="AG1049" s="49"/>
      <c r="AH1049" s="49"/>
      <c r="AI1049" s="49"/>
      <c r="AJ1049" s="226"/>
      <c r="AK1049" s="49"/>
      <c r="AL1049" s="113">
        <f t="shared" si="431"/>
        <v>-32</v>
      </c>
      <c r="AM1049" s="113">
        <f t="shared" si="432"/>
        <v>-96</v>
      </c>
      <c r="AN1049" s="218"/>
      <c r="AO1049" s="49"/>
      <c r="AP1049" s="49"/>
      <c r="AQ1049" s="84" t="s">
        <v>142</v>
      </c>
      <c r="AR1049" s="49"/>
      <c r="AS1049" s="55">
        <v>-0.2</v>
      </c>
      <c r="AT1049" s="55">
        <f t="shared" si="433"/>
        <v>1.0000000000000009E-2</v>
      </c>
      <c r="AU1049" s="54">
        <f t="shared" si="434"/>
        <v>48.000000000000043</v>
      </c>
      <c r="AV1049" s="56">
        <f t="shared" si="435"/>
        <v>16.000000000000014</v>
      </c>
      <c r="AW1049" s="57" t="s">
        <v>101</v>
      </c>
      <c r="AX1049" s="151" t="s">
        <v>3143</v>
      </c>
      <c r="AY1049" s="151" t="s">
        <v>3144</v>
      </c>
      <c r="AZ1049" s="151" t="s">
        <v>3145</v>
      </c>
      <c r="BA1049" s="151" t="s">
        <v>3146</v>
      </c>
      <c r="BB1049" s="153"/>
      <c r="BC1049" s="153"/>
      <c r="BD1049" s="151"/>
      <c r="BE1049" s="152"/>
      <c r="BF1049" s="151"/>
      <c r="BG1049" s="94">
        <f>SUM($AV$1035:AV1049)</f>
        <v>-83.000000000005528</v>
      </c>
      <c r="BH1049" s="95">
        <f>SUM($AU$1035:AU1049)</f>
        <v>172.9999999999946</v>
      </c>
      <c r="BI1049" s="80">
        <f>SUMIFS($AU$1035:AU1228,$Q$1035:Q1228,"F")</f>
        <v>112.00000000000057</v>
      </c>
      <c r="BJ1049" s="80">
        <f>SUMIFS($AU$1035:AU1228,$Q$1035:Q1228,"S")</f>
        <v>-15.999999999994088</v>
      </c>
      <c r="BK1049" s="87">
        <f>SUMIFS($AU$1035:AU1228,$P$1035:P1228,"W")</f>
        <v>-960.00000000003297</v>
      </c>
      <c r="BL1049" s="87">
        <f>SUMIFS($AU$1035:AU1228,$P$1035:P1228,"R")</f>
        <v>1024.0000000000007</v>
      </c>
      <c r="BM1049" s="87">
        <f>SUMIFS($AU$1035:AU1228,$AQ$1035:AQ1228,"M")</f>
        <v>-899.79999999984489</v>
      </c>
      <c r="BN1049" s="87">
        <f>SUMIFS($AU$1035:AU1228,$AQ$1035:AQ1228,"H")</f>
        <v>1583.9999999998265</v>
      </c>
      <c r="BO1049" s="87">
        <f>SUMIFS($AU$1035:AU1228,$AQ$1035:AQ1228,"D")</f>
        <v>-479.9999999999896</v>
      </c>
      <c r="BP1049" s="87">
        <f>SUMIFS($AS$1035:AS1316,$AO$1035:AO1316,"W")</f>
        <v>0</v>
      </c>
      <c r="BQ1049" s="87">
        <f>SUMIFS($AU$1035:AU1228,$Q$1035:Q1228,"O")</f>
        <v>-1079.7999999999552</v>
      </c>
      <c r="BR1049" s="87">
        <f>SUMIFS($AU$1035:AU1228,$AA$1035:AA1228,"*")</f>
        <v>-499.79999999992333</v>
      </c>
      <c r="BS1049" s="87">
        <f>SUMIFS($AU$1035:AU1228,$AB$1035:AB1228,"*")</f>
        <v>-724.00000000009095</v>
      </c>
      <c r="BT1049" s="87">
        <f>SUMIFS($AU$1035:AU1228,$AC$1035:AC1228,"*")</f>
        <v>112.00000000000097</v>
      </c>
      <c r="BU1049" s="87">
        <f>SUMIFS($AU$1035:AU1228,$AA$1035:AA1228,"*",$AB$1035:AB1228,"*")</f>
        <v>47.999999999934744</v>
      </c>
      <c r="BV1049" s="87">
        <f>SUMIFS($AU$1035:AU1228,$AA$1035:AA1228,"*",$AC$1035:AC1228,"*")</f>
        <v>-335.99999999999977</v>
      </c>
      <c r="BW1049" s="87">
        <f>SUMIFS($AU$1035:AU1228,$AB$1035:AB1228,"*",$AC$1035:AC1228,"*")</f>
        <v>-143.99999999999966</v>
      </c>
      <c r="BX1049" s="87">
        <f>SUMIFS($AV$1035:AV1228,$Q$1035:Q1228,"F")</f>
        <v>34.153846153846246</v>
      </c>
      <c r="BY1049" s="87">
        <f>SUMIFS($AV$1035:AV1228,$Q$1035:Q1228,"S")</f>
        <v>20.914285714286223</v>
      </c>
      <c r="BZ1049" s="87">
        <f>SUMIFS($AV$1035:AV1228,$Q$1035:Q1228,"O")</f>
        <v>-445.13333333327751</v>
      </c>
    </row>
    <row r="1050" spans="1:78" ht="15.75" customHeight="1">
      <c r="A1050" s="45" t="s">
        <v>3000</v>
      </c>
      <c r="B1050" s="59">
        <v>45519</v>
      </c>
      <c r="C1050" s="46" t="s">
        <v>3141</v>
      </c>
      <c r="D1050" s="46" t="s">
        <v>107</v>
      </c>
      <c r="E1050" s="66"/>
      <c r="F1050" s="47"/>
      <c r="G1050" s="48" t="s">
        <v>2712</v>
      </c>
      <c r="H1050" s="49"/>
      <c r="I1050" s="49"/>
      <c r="J1050" s="49"/>
      <c r="K1050" s="50"/>
      <c r="L1050" s="49"/>
      <c r="M1050" s="49"/>
      <c r="N1050" s="49"/>
      <c r="O1050" s="50"/>
      <c r="P1050" s="50"/>
      <c r="Q1050" s="50"/>
      <c r="R1050" s="50"/>
      <c r="S1050" s="50"/>
      <c r="T1050" s="50"/>
      <c r="U1050" s="50"/>
      <c r="V1050" s="50"/>
      <c r="W1050" s="50"/>
      <c r="X1050" s="50"/>
      <c r="Y1050" s="51"/>
      <c r="Z1050" s="52"/>
      <c r="AA1050" s="52"/>
      <c r="AB1050" s="52"/>
      <c r="AC1050" s="52"/>
      <c r="AD1050" s="231"/>
      <c r="AE1050" s="49"/>
      <c r="AF1050" s="84"/>
      <c r="AG1050" s="49"/>
      <c r="AH1050" s="49"/>
      <c r="AI1050" s="49"/>
      <c r="AJ1050" s="226"/>
      <c r="AK1050" s="49"/>
      <c r="AL1050" s="113">
        <f t="shared" ref="AL1050:AL1054" si="441">-0.02*Z1050</f>
        <v>0</v>
      </c>
      <c r="AM1050" s="113">
        <f t="shared" ref="AM1050:AM1062" si="442">AL1050*(R1050-S1050)</f>
        <v>0</v>
      </c>
      <c r="AN1050" s="218"/>
      <c r="AO1050" s="49"/>
      <c r="AP1050" s="49"/>
      <c r="AQ1050" s="84" t="str">
        <f>UPPER(RIGHT(Journal_Live[[#This Row],[DURATION ]]))</f>
        <v/>
      </c>
      <c r="AR1050" s="49"/>
      <c r="AS1050" s="55"/>
      <c r="AT1050" s="55">
        <f t="shared" ref="AT1050:AT1062" si="443">IF(ISBLANK(AS1050),,IF(U1050="S",AD1050-AS1050,AS1050-AD1050))</f>
        <v>0</v>
      </c>
      <c r="AU1050" s="54">
        <f t="shared" ref="AU1050:AU1062" si="444">AV1050*R1050</f>
        <v>0</v>
      </c>
      <c r="AV1050" s="56">
        <f t="shared" ref="AV1050:AV1062" si="445">IF(ISBLANK(AS1050),,(AT1050*Z1050))</f>
        <v>0</v>
      </c>
      <c r="AW1050" s="57"/>
      <c r="AX1050" s="151" t="s">
        <v>3147</v>
      </c>
      <c r="AY1050" s="151" t="s">
        <v>3148</v>
      </c>
      <c r="AZ1050" s="151"/>
      <c r="BA1050" s="151"/>
      <c r="BB1050" s="153"/>
      <c r="BC1050" s="153"/>
      <c r="BD1050" s="151"/>
      <c r="BE1050" s="152"/>
      <c r="BF1050" s="151"/>
      <c r="BG1050" s="94">
        <f>SUM($AV$1035:AV1050)</f>
        <v>-83.000000000005528</v>
      </c>
      <c r="BH1050" s="95">
        <f>SUM($AU$1035:AU1050)</f>
        <v>172.9999999999946</v>
      </c>
      <c r="BI1050" s="80">
        <f>SUMIFS($AU$1035:AU1223,$Q$1035:Q1223,"F")</f>
        <v>112.00000000000057</v>
      </c>
      <c r="BJ1050" s="80">
        <f>SUMIFS($AU$1035:AU1223,$Q$1035:Q1223,"S")</f>
        <v>-15.999999999994088</v>
      </c>
      <c r="BK1050" s="87">
        <f>SUMIFS($AU$1035:AU1223,$P$1035:P1223,"W")</f>
        <v>-960.00000000003297</v>
      </c>
      <c r="BL1050" s="87">
        <f>SUMIFS($AU$1035:AU1223,$P$1035:P1223,"R")</f>
        <v>1024.0000000000007</v>
      </c>
      <c r="BM1050" s="87">
        <f>SUMIFS($AU$1035:AU1223,$AQ$1035:AQ1223,"M")</f>
        <v>-899.79999999984489</v>
      </c>
      <c r="BN1050" s="87">
        <f>SUMIFS($AU$1035:AU1223,$AQ$1035:AQ1223,"H")</f>
        <v>1583.9999999998265</v>
      </c>
      <c r="BO1050" s="87">
        <f>SUMIFS($AU$1035:AU1223,$AQ$1035:AQ1223,"D")</f>
        <v>-479.9999999999896</v>
      </c>
      <c r="BP1050" s="87">
        <f>SUMIFS($AS$1035:AS1311,$AO$1035:AO1311,"W")</f>
        <v>0</v>
      </c>
      <c r="BQ1050" s="87">
        <f>SUMIFS($AU$1035:AU1223,$Q$1035:Q1223,"O")</f>
        <v>-1079.7999999999552</v>
      </c>
      <c r="BR1050" s="87">
        <f>SUMIFS($AU$1035:AU1223,$AA$1035:AA1223,"*")</f>
        <v>-499.79999999992333</v>
      </c>
      <c r="BS1050" s="87">
        <f>SUMIFS($AU$1035:AU1223,$AB$1035:AB1223,"*")</f>
        <v>-724.00000000009095</v>
      </c>
      <c r="BT1050" s="87">
        <f>SUMIFS($AU$1035:AU1223,$AC$1035:AC1223,"*")</f>
        <v>112.00000000000097</v>
      </c>
      <c r="BU1050" s="87">
        <f>SUMIFS($AU$1035:AU1223,$AA$1035:AA1223,"*",$AB$1035:AB1223,"*")</f>
        <v>47.999999999934744</v>
      </c>
      <c r="BV1050" s="87">
        <f>SUMIFS($AU$1035:AU1223,$AA$1035:AA1223,"*",$AC$1035:AC1223,"*")</f>
        <v>-335.99999999999977</v>
      </c>
      <c r="BW1050" s="87">
        <f>SUMIFS($AU$1035:AU1223,$AB$1035:AB1223,"*",$AC$1035:AC1223,"*")</f>
        <v>-143.99999999999966</v>
      </c>
      <c r="BX1050" s="87">
        <f>SUMIFS($AV$1035:AV1223,$Q$1035:Q1223,"F")</f>
        <v>34.153846153846246</v>
      </c>
      <c r="BY1050" s="87">
        <f>SUMIFS($AV$1035:AV1223,$Q$1035:Q1223,"S")</f>
        <v>20.914285714286223</v>
      </c>
      <c r="BZ1050" s="87">
        <f>SUMIFS($AV$1035:AV1223,$Q$1035:Q1223,"O")</f>
        <v>-445.13333333327751</v>
      </c>
    </row>
    <row r="1051" spans="1:78" ht="15.75" customHeight="1">
      <c r="A1051" s="45" t="s">
        <v>3000</v>
      </c>
      <c r="B1051" s="59">
        <v>45519</v>
      </c>
      <c r="C1051" s="46" t="s">
        <v>871</v>
      </c>
      <c r="D1051" s="46" t="s">
        <v>107</v>
      </c>
      <c r="E1051" s="66" t="s">
        <v>3149</v>
      </c>
      <c r="F1051" s="47" t="s">
        <v>3150</v>
      </c>
      <c r="G1051" s="48"/>
      <c r="H1051" s="49">
        <v>1</v>
      </c>
      <c r="I1051" s="49"/>
      <c r="J1051" s="49"/>
      <c r="K1051" s="50" t="s">
        <v>142</v>
      </c>
      <c r="L1051" s="49"/>
      <c r="M1051" s="49"/>
      <c r="N1051" s="49"/>
      <c r="O1051" s="50"/>
      <c r="P1051" s="50"/>
      <c r="Q1051" s="50"/>
      <c r="R1051" s="50"/>
      <c r="S1051" s="50"/>
      <c r="T1051" s="50"/>
      <c r="U1051" s="50"/>
      <c r="V1051" s="50"/>
      <c r="W1051" s="50"/>
      <c r="X1051" s="50"/>
      <c r="Y1051" s="50"/>
      <c r="Z1051" s="50"/>
      <c r="AA1051" s="52"/>
      <c r="AB1051" s="52"/>
      <c r="AC1051" s="52"/>
      <c r="AD1051" s="231"/>
      <c r="AE1051" s="49"/>
      <c r="AF1051" s="84"/>
      <c r="AG1051" s="49"/>
      <c r="AH1051" s="49"/>
      <c r="AI1051" s="49"/>
      <c r="AJ1051" s="226"/>
      <c r="AK1051" s="49"/>
      <c r="AL1051" s="113">
        <f t="shared" si="441"/>
        <v>0</v>
      </c>
      <c r="AM1051" s="113">
        <f t="shared" si="442"/>
        <v>0</v>
      </c>
      <c r="AN1051" s="218"/>
      <c r="AO1051" s="49"/>
      <c r="AP1051" s="49"/>
      <c r="AQ1051" s="84" t="str">
        <f>UPPER(RIGHT(Journal_Live[[#This Row],[DURATION ]]))</f>
        <v/>
      </c>
      <c r="AR1051" s="49"/>
      <c r="AS1051" s="55"/>
      <c r="AT1051" s="55">
        <f t="shared" si="443"/>
        <v>0</v>
      </c>
      <c r="AU1051" s="54">
        <f t="shared" si="444"/>
        <v>0</v>
      </c>
      <c r="AV1051" s="56">
        <f t="shared" si="445"/>
        <v>0</v>
      </c>
      <c r="AW1051" s="57"/>
      <c r="AX1051" s="151"/>
      <c r="AY1051" s="151"/>
      <c r="AZ1051" s="151"/>
      <c r="BA1051" s="151"/>
      <c r="BB1051" s="153"/>
      <c r="BC1051" s="153"/>
      <c r="BD1051" s="151"/>
      <c r="BE1051" s="152"/>
      <c r="BF1051" s="151"/>
      <c r="BG1051" s="94">
        <f>SUM($AV$1035:AV1051)</f>
        <v>-83.000000000005528</v>
      </c>
      <c r="BH1051" s="95">
        <f>SUM($AU$1035:AU1051)</f>
        <v>172.9999999999946</v>
      </c>
      <c r="BI1051" s="80">
        <f>SUMIFS($AU$1035:AU1224,$Q$1035:Q1224,"F")</f>
        <v>112.00000000000057</v>
      </c>
      <c r="BJ1051" s="80">
        <f>SUMIFS($AU$1035:AU1224,$Q$1035:Q1224,"S")</f>
        <v>-15.999999999994088</v>
      </c>
      <c r="BK1051" s="87">
        <f>SUMIFS($AU$1035:AU1224,$P$1035:P1224,"W")</f>
        <v>-960.00000000003297</v>
      </c>
      <c r="BL1051" s="87">
        <f>SUMIFS($AU$1035:AU1224,$P$1035:P1224,"R")</f>
        <v>1024.0000000000007</v>
      </c>
      <c r="BM1051" s="87">
        <f>SUMIFS($AU$1035:AU1224,$AQ$1035:AQ1224,"M")</f>
        <v>-899.79999999984489</v>
      </c>
      <c r="BN1051" s="87">
        <f>SUMIFS($AU$1035:AU1224,$AQ$1035:AQ1224,"H")</f>
        <v>1583.9999999998265</v>
      </c>
      <c r="BO1051" s="87">
        <f>SUMIFS($AU$1035:AU1224,$AQ$1035:AQ1224,"D")</f>
        <v>-479.9999999999896</v>
      </c>
      <c r="BP1051" s="87">
        <f>SUMIFS($AS$1035:AS1312,$AO$1035:AO1312,"W")</f>
        <v>0</v>
      </c>
      <c r="BQ1051" s="87">
        <f>SUMIFS($AU$1035:AU1224,$Q$1035:Q1224,"O")</f>
        <v>-1079.7999999999552</v>
      </c>
      <c r="BR1051" s="87">
        <f>SUMIFS($AU$1035:AU1224,$AA$1035:AA1224,"*")</f>
        <v>-499.79999999992333</v>
      </c>
      <c r="BS1051" s="87">
        <f>SUMIFS($AU$1035:AU1224,$AB$1035:AB1224,"*")</f>
        <v>-724.00000000009095</v>
      </c>
      <c r="BT1051" s="87">
        <f>SUMIFS($AU$1035:AU1224,$AC$1035:AC1224,"*")</f>
        <v>112.00000000000097</v>
      </c>
      <c r="BU1051" s="87">
        <f>SUMIFS($AU$1035:AU1224,$AA$1035:AA1224,"*",$AB$1035:AB1224,"*")</f>
        <v>47.999999999934744</v>
      </c>
      <c r="BV1051" s="87">
        <f>SUMIFS($AU$1035:AU1224,$AA$1035:AA1224,"*",$AC$1035:AC1224,"*")</f>
        <v>-335.99999999999977</v>
      </c>
      <c r="BW1051" s="87">
        <f>SUMIFS($AU$1035:AU1224,$AB$1035:AB1224,"*",$AC$1035:AC1224,"*")</f>
        <v>-143.99999999999966</v>
      </c>
      <c r="BX1051" s="87">
        <f>SUMIFS($AV$1035:AV1224,$Q$1035:Q1224,"F")</f>
        <v>34.153846153846246</v>
      </c>
      <c r="BY1051" s="87">
        <f>SUMIFS($AV$1035:AV1224,$Q$1035:Q1224,"S")</f>
        <v>20.914285714286223</v>
      </c>
      <c r="BZ1051" s="87">
        <f>SUMIFS($AV$1035:AV1224,$Q$1035:Q1224,"O")</f>
        <v>-445.13333333327751</v>
      </c>
    </row>
    <row r="1052" spans="1:78" ht="15.75" customHeight="1">
      <c r="A1052" s="45" t="s">
        <v>3000</v>
      </c>
      <c r="B1052" s="59"/>
      <c r="C1052" s="46"/>
      <c r="D1052" s="46"/>
      <c r="E1052" s="66" t="s">
        <v>3151</v>
      </c>
      <c r="F1052" s="47" t="s">
        <v>2837</v>
      </c>
      <c r="G1052" s="48"/>
      <c r="H1052" s="49"/>
      <c r="I1052" s="49"/>
      <c r="J1052" s="49">
        <v>1</v>
      </c>
      <c r="K1052" s="50" t="s">
        <v>142</v>
      </c>
      <c r="L1052" s="49"/>
      <c r="M1052" s="49"/>
      <c r="N1052" s="49"/>
      <c r="O1052" s="50"/>
      <c r="P1052" s="50"/>
      <c r="Q1052" s="50"/>
      <c r="R1052" s="50"/>
      <c r="S1052" s="50"/>
      <c r="T1052" s="50"/>
      <c r="U1052" s="50"/>
      <c r="V1052" s="50"/>
      <c r="W1052" s="50"/>
      <c r="X1052" s="50"/>
      <c r="Y1052" s="50"/>
      <c r="Z1052" s="50"/>
      <c r="AA1052" s="52"/>
      <c r="AB1052" s="52"/>
      <c r="AC1052" s="52"/>
      <c r="AD1052" s="231"/>
      <c r="AE1052" s="49"/>
      <c r="AF1052" s="84"/>
      <c r="AG1052" s="49"/>
      <c r="AH1052" s="49"/>
      <c r="AI1052" s="49"/>
      <c r="AJ1052" s="226"/>
      <c r="AK1052" s="49"/>
      <c r="AL1052" s="113">
        <f t="shared" si="441"/>
        <v>0</v>
      </c>
      <c r="AM1052" s="113">
        <f t="shared" si="442"/>
        <v>0</v>
      </c>
      <c r="AN1052" s="218"/>
      <c r="AO1052" s="49"/>
      <c r="AP1052" s="49"/>
      <c r="AQ1052" s="84" t="str">
        <f>UPPER(RIGHT(Journal_Live[[#This Row],[DURATION ]]))</f>
        <v/>
      </c>
      <c r="AR1052" s="49"/>
      <c r="AS1052" s="55"/>
      <c r="AT1052" s="55">
        <f t="shared" si="443"/>
        <v>0</v>
      </c>
      <c r="AU1052" s="54">
        <f t="shared" si="444"/>
        <v>0</v>
      </c>
      <c r="AV1052" s="56">
        <f t="shared" si="445"/>
        <v>0</v>
      </c>
      <c r="AW1052" s="57"/>
      <c r="AX1052" s="151"/>
      <c r="AY1052" s="151"/>
      <c r="AZ1052" s="151"/>
      <c r="BA1052" s="151"/>
      <c r="BB1052" s="153"/>
      <c r="BC1052" s="153"/>
      <c r="BD1052" s="151"/>
      <c r="BE1052" s="152"/>
      <c r="BF1052" s="151"/>
      <c r="BG1052" s="94">
        <f>SUM($AV$1035:AV1052)</f>
        <v>-83.000000000005528</v>
      </c>
      <c r="BH1052" s="95">
        <f>SUM($AU$1035:AU1052)</f>
        <v>172.9999999999946</v>
      </c>
      <c r="BI1052" s="80">
        <f>SUMIFS($AU$1035:AU1225,$Q$1035:Q1225,"F")</f>
        <v>112.00000000000057</v>
      </c>
      <c r="BJ1052" s="80">
        <f>SUMIFS($AU$1035:AU1225,$Q$1035:Q1225,"S")</f>
        <v>-15.999999999994088</v>
      </c>
      <c r="BK1052" s="87">
        <f>SUMIFS($AU$1035:AU1225,$P$1035:P1225,"W")</f>
        <v>-960.00000000003297</v>
      </c>
      <c r="BL1052" s="87">
        <f>SUMIFS($AU$1035:AU1225,$P$1035:P1225,"R")</f>
        <v>1024.0000000000007</v>
      </c>
      <c r="BM1052" s="87">
        <f>SUMIFS($AU$1035:AU1225,$AQ$1035:AQ1225,"M")</f>
        <v>-899.79999999984489</v>
      </c>
      <c r="BN1052" s="87">
        <f>SUMIFS($AU$1035:AU1225,$AQ$1035:AQ1225,"H")</f>
        <v>1583.9999999998265</v>
      </c>
      <c r="BO1052" s="87">
        <f>SUMIFS($AU$1035:AU1225,$AQ$1035:AQ1225,"D")</f>
        <v>-479.9999999999896</v>
      </c>
      <c r="BP1052" s="87">
        <f>SUMIFS($AS$1035:AS1313,$AO$1035:AO1313,"W")</f>
        <v>0</v>
      </c>
      <c r="BQ1052" s="87">
        <f>SUMIFS($AU$1035:AU1225,$Q$1035:Q1225,"O")</f>
        <v>-1079.7999999999552</v>
      </c>
      <c r="BR1052" s="87">
        <f>SUMIFS($AU$1035:AU1225,$AA$1035:AA1225,"*")</f>
        <v>-499.79999999992333</v>
      </c>
      <c r="BS1052" s="87">
        <f>SUMIFS($AU$1035:AU1225,$AB$1035:AB1225,"*")</f>
        <v>-724.00000000009095</v>
      </c>
      <c r="BT1052" s="87">
        <f>SUMIFS($AU$1035:AU1225,$AC$1035:AC1225,"*")</f>
        <v>112.00000000000097</v>
      </c>
      <c r="BU1052" s="87">
        <f>SUMIFS($AU$1035:AU1225,$AA$1035:AA1225,"*",$AB$1035:AB1225,"*")</f>
        <v>47.999999999934744</v>
      </c>
      <c r="BV1052" s="87">
        <f>SUMIFS($AU$1035:AU1225,$AA$1035:AA1225,"*",$AC$1035:AC1225,"*")</f>
        <v>-335.99999999999977</v>
      </c>
      <c r="BW1052" s="87">
        <f>SUMIFS($AU$1035:AU1225,$AB$1035:AB1225,"*",$AC$1035:AC1225,"*")</f>
        <v>-143.99999999999966</v>
      </c>
      <c r="BX1052" s="87">
        <f>SUMIFS($AV$1035:AV1225,$Q$1035:Q1225,"F")</f>
        <v>34.153846153846246</v>
      </c>
      <c r="BY1052" s="87">
        <f>SUMIFS($AV$1035:AV1225,$Q$1035:Q1225,"S")</f>
        <v>20.914285714286223</v>
      </c>
      <c r="BZ1052" s="87">
        <f>SUMIFS($AV$1035:AV1225,$Q$1035:Q1225,"O")</f>
        <v>-445.13333333327751</v>
      </c>
    </row>
    <row r="1053" spans="1:78" ht="15.75" customHeight="1">
      <c r="A1053" s="45" t="s">
        <v>3000</v>
      </c>
      <c r="B1053" s="59"/>
      <c r="C1053" s="46"/>
      <c r="D1053" s="46"/>
      <c r="E1053" s="66" t="s">
        <v>3152</v>
      </c>
      <c r="F1053" s="47"/>
      <c r="G1053" s="48"/>
      <c r="H1053" s="49"/>
      <c r="I1053" s="49"/>
      <c r="J1053" s="49">
        <v>1</v>
      </c>
      <c r="K1053" s="50" t="s">
        <v>155</v>
      </c>
      <c r="L1053" s="49"/>
      <c r="M1053" s="49"/>
      <c r="N1053" s="49"/>
      <c r="O1053" s="50"/>
      <c r="P1053" s="50"/>
      <c r="Q1053" s="50"/>
      <c r="R1053" s="50"/>
      <c r="S1053" s="50"/>
      <c r="T1053" s="50"/>
      <c r="U1053" s="50"/>
      <c r="V1053" s="50"/>
      <c r="W1053" s="50"/>
      <c r="X1053" s="50"/>
      <c r="Y1053" s="50"/>
      <c r="Z1053" s="50"/>
      <c r="AA1053" s="52"/>
      <c r="AB1053" s="52"/>
      <c r="AC1053" s="52"/>
      <c r="AD1053" s="231"/>
      <c r="AE1053" s="49"/>
      <c r="AF1053" s="84"/>
      <c r="AG1053" s="49"/>
      <c r="AH1053" s="49"/>
      <c r="AI1053" s="49"/>
      <c r="AJ1053" s="226"/>
      <c r="AK1053" s="49"/>
      <c r="AL1053" s="113">
        <f t="shared" si="441"/>
        <v>0</v>
      </c>
      <c r="AM1053" s="113">
        <f t="shared" si="442"/>
        <v>0</v>
      </c>
      <c r="AN1053" s="218"/>
      <c r="AO1053" s="49"/>
      <c r="AP1053" s="49"/>
      <c r="AQ1053" s="84" t="str">
        <f>UPPER(RIGHT(Journal_Live[[#This Row],[DURATION ]]))</f>
        <v/>
      </c>
      <c r="AR1053" s="49"/>
      <c r="AS1053" s="55"/>
      <c r="AT1053" s="55">
        <f t="shared" si="443"/>
        <v>0</v>
      </c>
      <c r="AU1053" s="54">
        <f t="shared" si="444"/>
        <v>0</v>
      </c>
      <c r="AV1053" s="56">
        <f t="shared" si="445"/>
        <v>0</v>
      </c>
      <c r="AW1053" s="57"/>
      <c r="AX1053" s="151"/>
      <c r="AY1053" s="151"/>
      <c r="AZ1053" s="151"/>
      <c r="BA1053" s="151"/>
      <c r="BB1053" s="153"/>
      <c r="BC1053" s="153"/>
      <c r="BD1053" s="151"/>
      <c r="BE1053" s="152"/>
      <c r="BF1053" s="151"/>
      <c r="BG1053" s="94">
        <f>SUM($AV$1035:AV1053)</f>
        <v>-83.000000000005528</v>
      </c>
      <c r="BH1053" s="95">
        <f>SUM($AU$1035:AU1053)</f>
        <v>172.9999999999946</v>
      </c>
      <c r="BI1053" s="80">
        <f>SUMIFS($AU$1035:AU1226,$Q$1035:Q1226,"F")</f>
        <v>112.00000000000057</v>
      </c>
      <c r="BJ1053" s="80">
        <f>SUMIFS($AU$1035:AU1226,$Q$1035:Q1226,"S")</f>
        <v>-15.999999999994088</v>
      </c>
      <c r="BK1053" s="87">
        <f>SUMIFS($AU$1035:AU1226,$P$1035:P1226,"W")</f>
        <v>-960.00000000003297</v>
      </c>
      <c r="BL1053" s="87">
        <f>SUMIFS($AU$1035:AU1226,$P$1035:P1226,"R")</f>
        <v>1024.0000000000007</v>
      </c>
      <c r="BM1053" s="87">
        <f>SUMIFS($AU$1035:AU1226,$AQ$1035:AQ1226,"M")</f>
        <v>-899.79999999984489</v>
      </c>
      <c r="BN1053" s="87">
        <f>SUMIFS($AU$1035:AU1226,$AQ$1035:AQ1226,"H")</f>
        <v>1583.9999999998265</v>
      </c>
      <c r="BO1053" s="87">
        <f>SUMIFS($AU$1035:AU1226,$AQ$1035:AQ1226,"D")</f>
        <v>-479.9999999999896</v>
      </c>
      <c r="BP1053" s="87">
        <f>SUMIFS($AS$1035:AS1314,$AO$1035:AO1314,"W")</f>
        <v>0</v>
      </c>
      <c r="BQ1053" s="87">
        <f>SUMIFS($AU$1035:AU1226,$Q$1035:Q1226,"O")</f>
        <v>-1079.7999999999552</v>
      </c>
      <c r="BR1053" s="87">
        <f>SUMIFS($AU$1035:AU1226,$AA$1035:AA1226,"*")</f>
        <v>-499.79999999992333</v>
      </c>
      <c r="BS1053" s="87">
        <f>SUMIFS($AU$1035:AU1226,$AB$1035:AB1226,"*")</f>
        <v>-724.00000000009095</v>
      </c>
      <c r="BT1053" s="87">
        <f>SUMIFS($AU$1035:AU1226,$AC$1035:AC1226,"*")</f>
        <v>112.00000000000097</v>
      </c>
      <c r="BU1053" s="87">
        <f>SUMIFS($AU$1035:AU1226,$AA$1035:AA1226,"*",$AB$1035:AB1226,"*")</f>
        <v>47.999999999934744</v>
      </c>
      <c r="BV1053" s="87">
        <f>SUMIFS($AU$1035:AU1226,$AA$1035:AA1226,"*",$AC$1035:AC1226,"*")</f>
        <v>-335.99999999999977</v>
      </c>
      <c r="BW1053" s="87">
        <f>SUMIFS($AU$1035:AU1226,$AB$1035:AB1226,"*",$AC$1035:AC1226,"*")</f>
        <v>-143.99999999999966</v>
      </c>
      <c r="BX1053" s="87">
        <f>SUMIFS($AV$1035:AV1226,$Q$1035:Q1226,"F")</f>
        <v>34.153846153846246</v>
      </c>
      <c r="BY1053" s="87">
        <f>SUMIFS($AV$1035:AV1226,$Q$1035:Q1226,"S")</f>
        <v>20.914285714286223</v>
      </c>
      <c r="BZ1053" s="87">
        <f>SUMIFS($AV$1035:AV1226,$Q$1035:Q1226,"O")</f>
        <v>-445.13333333327751</v>
      </c>
    </row>
    <row r="1054" spans="1:78" ht="15.75" customHeight="1">
      <c r="A1054" s="45" t="s">
        <v>3000</v>
      </c>
      <c r="B1054" s="59"/>
      <c r="C1054" s="46"/>
      <c r="D1054" s="46"/>
      <c r="E1054" s="66" t="s">
        <v>3153</v>
      </c>
      <c r="F1054" s="47" t="s">
        <v>2837</v>
      </c>
      <c r="G1054" s="48"/>
      <c r="H1054" s="49">
        <v>1</v>
      </c>
      <c r="I1054" s="49"/>
      <c r="J1054" s="49"/>
      <c r="K1054" s="50" t="s">
        <v>142</v>
      </c>
      <c r="L1054" s="49"/>
      <c r="M1054" s="49"/>
      <c r="N1054" s="49"/>
      <c r="O1054" s="50"/>
      <c r="P1054" s="50"/>
      <c r="Q1054" s="50"/>
      <c r="R1054" s="50"/>
      <c r="S1054" s="50"/>
      <c r="T1054" s="50"/>
      <c r="U1054" s="50"/>
      <c r="V1054" s="50"/>
      <c r="W1054" s="50"/>
      <c r="X1054" s="50"/>
      <c r="Y1054" s="50"/>
      <c r="Z1054" s="50"/>
      <c r="AA1054" s="52"/>
      <c r="AB1054" s="52"/>
      <c r="AC1054" s="52"/>
      <c r="AD1054" s="231"/>
      <c r="AE1054" s="49"/>
      <c r="AF1054" s="84"/>
      <c r="AG1054" s="49"/>
      <c r="AH1054" s="49"/>
      <c r="AI1054" s="49"/>
      <c r="AJ1054" s="226"/>
      <c r="AK1054" s="49"/>
      <c r="AL1054" s="113">
        <f t="shared" si="441"/>
        <v>0</v>
      </c>
      <c r="AM1054" s="113">
        <f t="shared" si="442"/>
        <v>0</v>
      </c>
      <c r="AN1054" s="218"/>
      <c r="AO1054" s="49"/>
      <c r="AP1054" s="49"/>
      <c r="AQ1054" s="84" t="str">
        <f>UPPER(RIGHT(Journal_Live[[#This Row],[DURATION ]]))</f>
        <v/>
      </c>
      <c r="AR1054" s="49"/>
      <c r="AS1054" s="55"/>
      <c r="AT1054" s="55">
        <f t="shared" si="443"/>
        <v>0</v>
      </c>
      <c r="AU1054" s="54">
        <f t="shared" si="444"/>
        <v>0</v>
      </c>
      <c r="AV1054" s="56">
        <f t="shared" si="445"/>
        <v>0</v>
      </c>
      <c r="AW1054" s="57"/>
      <c r="AX1054" s="151"/>
      <c r="AY1054" s="151"/>
      <c r="AZ1054" s="151"/>
      <c r="BA1054" s="151"/>
      <c r="BB1054" s="153"/>
      <c r="BC1054" s="153"/>
      <c r="BD1054" s="151"/>
      <c r="BE1054" s="152"/>
      <c r="BF1054" s="151"/>
      <c r="BG1054" s="94">
        <f>SUM($AV$1035:AV1054)</f>
        <v>-83.000000000005528</v>
      </c>
      <c r="BH1054" s="95">
        <f>SUM($AU$1035:AU1054)</f>
        <v>172.9999999999946</v>
      </c>
      <c r="BI1054" s="80">
        <f>SUMIFS($AU$1035:AU1227,$Q$1035:Q1227,"F")</f>
        <v>112.00000000000057</v>
      </c>
      <c r="BJ1054" s="80">
        <f>SUMIFS($AU$1035:AU1227,$Q$1035:Q1227,"S")</f>
        <v>-15.999999999994088</v>
      </c>
      <c r="BK1054" s="87">
        <f>SUMIFS($AU$1035:AU1227,$P$1035:P1227,"W")</f>
        <v>-960.00000000003297</v>
      </c>
      <c r="BL1054" s="87">
        <f>SUMIFS($AU$1035:AU1227,$P$1035:P1227,"R")</f>
        <v>1024.0000000000007</v>
      </c>
      <c r="BM1054" s="87">
        <f>SUMIFS($AU$1035:AU1227,$AQ$1035:AQ1227,"M")</f>
        <v>-899.79999999984489</v>
      </c>
      <c r="BN1054" s="87">
        <f>SUMIFS($AU$1035:AU1227,$AQ$1035:AQ1227,"H")</f>
        <v>1583.9999999998265</v>
      </c>
      <c r="BO1054" s="87">
        <f>SUMIFS($AU$1035:AU1227,$AQ$1035:AQ1227,"D")</f>
        <v>-479.9999999999896</v>
      </c>
      <c r="BP1054" s="87">
        <f>SUMIFS($AS$1035:AS1315,$AO$1035:AO1315,"W")</f>
        <v>0</v>
      </c>
      <c r="BQ1054" s="87">
        <f>SUMIFS($AU$1035:AU1227,$Q$1035:Q1227,"O")</f>
        <v>-1079.7999999999552</v>
      </c>
      <c r="BR1054" s="87">
        <f>SUMIFS($AU$1035:AU1227,$AA$1035:AA1227,"*")</f>
        <v>-499.79999999992333</v>
      </c>
      <c r="BS1054" s="87">
        <f>SUMIFS($AU$1035:AU1227,$AB$1035:AB1227,"*")</f>
        <v>-724.00000000009095</v>
      </c>
      <c r="BT1054" s="87">
        <f>SUMIFS($AU$1035:AU1227,$AC$1035:AC1227,"*")</f>
        <v>112.00000000000097</v>
      </c>
      <c r="BU1054" s="87">
        <f>SUMIFS($AU$1035:AU1227,$AA$1035:AA1227,"*",$AB$1035:AB1227,"*")</f>
        <v>47.999999999934744</v>
      </c>
      <c r="BV1054" s="87">
        <f>SUMIFS($AU$1035:AU1227,$AA$1035:AA1227,"*",$AC$1035:AC1227,"*")</f>
        <v>-335.99999999999977</v>
      </c>
      <c r="BW1054" s="87">
        <f>SUMIFS($AU$1035:AU1227,$AB$1035:AB1227,"*",$AC$1035:AC1227,"*")</f>
        <v>-143.99999999999966</v>
      </c>
      <c r="BX1054" s="87">
        <f>SUMIFS($AV$1035:AV1227,$Q$1035:Q1227,"F")</f>
        <v>34.153846153846246</v>
      </c>
      <c r="BY1054" s="87">
        <f>SUMIFS($AV$1035:AV1227,$Q$1035:Q1227,"S")</f>
        <v>20.914285714286223</v>
      </c>
      <c r="BZ1054" s="87">
        <f>SUMIFS($AV$1035:AV1227,$Q$1035:Q1227,"O")</f>
        <v>-445.13333333327751</v>
      </c>
    </row>
    <row r="1055" spans="1:78" ht="15.75" customHeight="1">
      <c r="A1055" s="45" t="s">
        <v>3000</v>
      </c>
      <c r="B1055" s="59">
        <v>45519</v>
      </c>
      <c r="C1055" s="46" t="s">
        <v>3154</v>
      </c>
      <c r="D1055" s="46" t="s">
        <v>107</v>
      </c>
      <c r="E1055" s="66"/>
      <c r="F1055" s="47"/>
      <c r="G1055" s="114" t="s">
        <v>227</v>
      </c>
      <c r="H1055" s="49"/>
      <c r="I1055" s="49"/>
      <c r="J1055" s="49"/>
      <c r="K1055" s="50"/>
      <c r="L1055" s="49">
        <v>1</v>
      </c>
      <c r="M1055" s="49"/>
      <c r="N1055" s="49"/>
      <c r="O1055" s="50" t="s">
        <v>100</v>
      </c>
      <c r="P1055" s="50" t="s">
        <v>101</v>
      </c>
      <c r="Q1055" s="50" t="s">
        <v>102</v>
      </c>
      <c r="R1055" s="50">
        <v>3</v>
      </c>
      <c r="S1055" s="50">
        <v>0</v>
      </c>
      <c r="T1055" s="50">
        <v>3</v>
      </c>
      <c r="U1055" s="50" t="s">
        <v>102</v>
      </c>
      <c r="V1055" s="50" t="s">
        <v>2898</v>
      </c>
      <c r="W1055" s="50" t="s">
        <v>155</v>
      </c>
      <c r="X1055" s="50" t="s">
        <v>3026</v>
      </c>
      <c r="Y1055" s="51">
        <f t="shared" ref="Y1055:Y1068" si="446">IF(ISBLANK(O1055),"",(IF(O1055=UPPER("IB"),0.005,0.01)))</f>
        <v>0.01</v>
      </c>
      <c r="Z1055" s="52">
        <f t="shared" ref="Z1055:Z1068" si="447">IF(ISBLANK(O1055),"",IF(O1055="IB",8.63*200,IF(O1055="IR",16*100,IF(O1055="YT",20*100,IF(O1055="YT-XT",24*200,IF(O1055="TED",80*100,IF(O1055="XT",29*200)))))))</f>
        <v>1600</v>
      </c>
      <c r="AA1055" s="52" t="s">
        <v>3155</v>
      </c>
      <c r="AB1055" s="52"/>
      <c r="AC1055" s="52"/>
      <c r="AD1055" s="231">
        <v>-0.18</v>
      </c>
      <c r="AE1055" s="49" t="s">
        <v>3156</v>
      </c>
      <c r="AF1055" s="84"/>
      <c r="AG1055" s="49"/>
      <c r="AH1055" s="49"/>
      <c r="AI1055" s="49"/>
      <c r="AJ1055" s="226"/>
      <c r="AK1055" s="49"/>
      <c r="AL1055" s="113">
        <f t="shared" ref="AL1055:AL1061" si="448">-0.02*Z1055</f>
        <v>-32</v>
      </c>
      <c r="AM1055" s="113">
        <f t="shared" ref="AM1055:AM1061" si="449">AL1055*(R1055-S1055)</f>
        <v>-96</v>
      </c>
      <c r="AN1055" s="218" t="s">
        <v>3157</v>
      </c>
      <c r="AO1055" s="49" t="s">
        <v>3158</v>
      </c>
      <c r="AP1055" s="49" t="s">
        <v>1423</v>
      </c>
      <c r="AQ1055" s="84" t="s">
        <v>142</v>
      </c>
      <c r="AR1055" s="49" t="s">
        <v>3159</v>
      </c>
      <c r="AS1055" s="55">
        <v>-0.17</v>
      </c>
      <c r="AT1055" s="55">
        <f t="shared" ref="AT1055:AT1061" si="450">IF(ISBLANK(AS1055),,IF(U1055="S",AD1055-AS1055,AS1055-AD1055))</f>
        <v>-9.9999999999999811E-3</v>
      </c>
      <c r="AU1055" s="54">
        <f t="shared" ref="AU1055:AU1061" si="451">AV1055*R1055</f>
        <v>-47.999999999999908</v>
      </c>
      <c r="AV1055" s="56">
        <f t="shared" ref="AV1055:AV1061" si="452">IF(ISBLANK(AS1055),,(AT1055*Z1055))</f>
        <v>-15.99999999999997</v>
      </c>
      <c r="AW1055" s="57" t="s">
        <v>121</v>
      </c>
      <c r="AX1055" s="151" t="s">
        <v>3160</v>
      </c>
      <c r="AY1055" s="151"/>
      <c r="AZ1055" s="151"/>
      <c r="BA1055" s="151"/>
      <c r="BB1055" s="153"/>
      <c r="BC1055" s="153"/>
      <c r="BD1055" s="151"/>
      <c r="BE1055" s="152"/>
      <c r="BF1055" s="151"/>
      <c r="BG1055" s="94">
        <f>SUM($AV$1035:AV1055)</f>
        <v>-99.0000000000055</v>
      </c>
      <c r="BH1055" s="95">
        <f>SUM($AU$1035:AU1055)</f>
        <v>124.99999999999469</v>
      </c>
      <c r="BI1055" s="80">
        <f>SUMIFS($AU$1035:AU1221,$Q$1035:Q1221,"F")</f>
        <v>112.00000000000057</v>
      </c>
      <c r="BJ1055" s="80">
        <f>SUMIFS($AU$1035:AU1221,$Q$1035:Q1221,"S")</f>
        <v>-15.999999999994088</v>
      </c>
      <c r="BK1055" s="87">
        <f>SUMIFS($AU$1035:AU1221,$P$1035:P1221,"W")</f>
        <v>-960.00000000003297</v>
      </c>
      <c r="BL1055" s="87">
        <f>SUMIFS($AU$1035:AU1221,$P$1035:P1221,"R")</f>
        <v>1024.0000000000007</v>
      </c>
      <c r="BM1055" s="87">
        <f>SUMIFS($AU$1035:AU1221,$AQ$1035:AQ1221,"M")</f>
        <v>-899.79999999984489</v>
      </c>
      <c r="BN1055" s="87">
        <f>SUMIFS($AU$1035:AU1221,$AQ$1035:AQ1221,"H")</f>
        <v>1583.9999999998265</v>
      </c>
      <c r="BO1055" s="87">
        <f>SUMIFS($AU$1035:AU1221,$AQ$1035:AQ1221,"D")</f>
        <v>-479.9999999999896</v>
      </c>
      <c r="BP1055" s="87">
        <f>SUMIFS($AS$1035:AS1309,$AO$1035:AO1309,"W")</f>
        <v>0</v>
      </c>
      <c r="BQ1055" s="87">
        <f>SUMIFS($AU$1035:AU1221,$Q$1035:Q1221,"O")</f>
        <v>-1079.7999999999552</v>
      </c>
      <c r="BR1055" s="87">
        <f>SUMIFS($AU$1035:AU1221,$AA$1035:AA1221,"*")</f>
        <v>-499.79999999992333</v>
      </c>
      <c r="BS1055" s="87">
        <f>SUMIFS($AU$1035:AU1221,$AB$1035:AB1221,"*")</f>
        <v>-724.00000000009095</v>
      </c>
      <c r="BT1055" s="87">
        <f>SUMIFS($AU$1035:AU1221,$AC$1035:AC1221,"*")</f>
        <v>112.00000000000097</v>
      </c>
      <c r="BU1055" s="87">
        <f>SUMIFS($AU$1035:AU1221,$AA$1035:AA1221,"*",$AB$1035:AB1221,"*")</f>
        <v>47.999999999934744</v>
      </c>
      <c r="BV1055" s="87">
        <f>SUMIFS($AU$1035:AU1221,$AA$1035:AA1221,"*",$AC$1035:AC1221,"*")</f>
        <v>-335.99999999999977</v>
      </c>
      <c r="BW1055" s="87">
        <f>SUMIFS($AU$1035:AU1221,$AB$1035:AB1221,"*",$AC$1035:AC1221,"*")</f>
        <v>-143.99999999999966</v>
      </c>
      <c r="BX1055" s="87">
        <f>SUMIFS($AV$1035:AV1221,$Q$1035:Q1221,"F")</f>
        <v>34.153846153846246</v>
      </c>
      <c r="BY1055" s="87">
        <f>SUMIFS($AV$1035:AV1221,$Q$1035:Q1221,"S")</f>
        <v>20.914285714286223</v>
      </c>
      <c r="BZ1055" s="87">
        <f>SUMIFS($AV$1035:AV1221,$Q$1035:Q1221,"O")</f>
        <v>-445.13333333327751</v>
      </c>
    </row>
    <row r="1056" spans="1:78" ht="15.75" customHeight="1">
      <c r="A1056" s="45" t="s">
        <v>3000</v>
      </c>
      <c r="B1056" s="59">
        <v>45519</v>
      </c>
      <c r="C1056" s="46" t="s">
        <v>1143</v>
      </c>
      <c r="D1056" s="46" t="s">
        <v>107</v>
      </c>
      <c r="E1056" s="66"/>
      <c r="F1056" s="47"/>
      <c r="G1056" s="114" t="s">
        <v>3161</v>
      </c>
      <c r="H1056" s="49"/>
      <c r="I1056" s="49"/>
      <c r="J1056" s="49"/>
      <c r="K1056" s="50"/>
      <c r="L1056" s="49"/>
      <c r="M1056" s="49">
        <v>1</v>
      </c>
      <c r="N1056" s="49"/>
      <c r="O1056" s="50" t="s">
        <v>100</v>
      </c>
      <c r="P1056" s="50" t="s">
        <v>101</v>
      </c>
      <c r="Q1056" s="50" t="s">
        <v>127</v>
      </c>
      <c r="R1056" s="50">
        <v>5</v>
      </c>
      <c r="S1056" s="50">
        <v>0</v>
      </c>
      <c r="T1056" s="50">
        <v>5</v>
      </c>
      <c r="U1056" s="50" t="s">
        <v>102</v>
      </c>
      <c r="V1056" s="50" t="s">
        <v>2906</v>
      </c>
      <c r="W1056" s="50" t="s">
        <v>155</v>
      </c>
      <c r="X1056" s="50"/>
      <c r="Y1056" s="51">
        <f t="shared" si="446"/>
        <v>0.01</v>
      </c>
      <c r="Z1056" s="52">
        <f t="shared" si="447"/>
        <v>1600</v>
      </c>
      <c r="AA1056" s="52" t="s">
        <v>3162</v>
      </c>
      <c r="AB1056" s="52"/>
      <c r="AC1056" s="52" t="s">
        <v>3163</v>
      </c>
      <c r="AD1056" s="231">
        <v>-0.02</v>
      </c>
      <c r="AE1056" s="49"/>
      <c r="AF1056" s="84"/>
      <c r="AG1056" s="49"/>
      <c r="AH1056" s="49"/>
      <c r="AI1056" s="49"/>
      <c r="AJ1056" s="226"/>
      <c r="AK1056" s="49"/>
      <c r="AL1056" s="113">
        <f>-0.01*Z1056</f>
        <v>-16</v>
      </c>
      <c r="AM1056" s="113">
        <f t="shared" si="449"/>
        <v>-80</v>
      </c>
      <c r="AN1056" s="218" t="s">
        <v>3157</v>
      </c>
      <c r="AO1056" s="49"/>
      <c r="AP1056" s="49"/>
      <c r="AQ1056" s="84" t="str">
        <f>UPPER(RIGHT(Journal_Live[[#This Row],[DURATION ]]))</f>
        <v/>
      </c>
      <c r="AR1056" s="49"/>
      <c r="AS1056" s="55">
        <v>-0.02</v>
      </c>
      <c r="AT1056" s="55">
        <f t="shared" si="450"/>
        <v>0</v>
      </c>
      <c r="AU1056" s="54">
        <f t="shared" si="451"/>
        <v>0</v>
      </c>
      <c r="AV1056" s="56">
        <f t="shared" si="452"/>
        <v>0</v>
      </c>
      <c r="AW1056" s="57" t="s">
        <v>155</v>
      </c>
      <c r="AX1056" s="151" t="s">
        <v>3160</v>
      </c>
      <c r="AY1056" s="151" t="s">
        <v>3164</v>
      </c>
      <c r="AZ1056" s="151" t="s">
        <v>3165</v>
      </c>
      <c r="BA1056" s="151"/>
      <c r="BB1056" s="153"/>
      <c r="BC1056" s="153"/>
      <c r="BD1056" s="151"/>
      <c r="BE1056" s="152"/>
      <c r="BF1056" s="151"/>
      <c r="BG1056" s="94">
        <f>SUM($AV$1035:AV1056)</f>
        <v>-99.0000000000055</v>
      </c>
      <c r="BH1056" s="95">
        <f>SUM($AU$1035:AU1056)</f>
        <v>124.99999999999469</v>
      </c>
      <c r="BI1056" s="80">
        <f>SUMIFS($AU$1035:AU1222,$Q$1035:Q1222,"F")</f>
        <v>112.00000000000057</v>
      </c>
      <c r="BJ1056" s="80">
        <f>SUMIFS($AU$1035:AU1222,$Q$1035:Q1222,"S")</f>
        <v>-15.999999999994088</v>
      </c>
      <c r="BK1056" s="87">
        <f>SUMIFS($AU$1035:AU1222,$P$1035:P1222,"W")</f>
        <v>-960.00000000003297</v>
      </c>
      <c r="BL1056" s="87">
        <f>SUMIFS($AU$1035:AU1222,$P$1035:P1222,"R")</f>
        <v>1024.0000000000007</v>
      </c>
      <c r="BM1056" s="87">
        <f>SUMIFS($AU$1035:AU1222,$AQ$1035:AQ1222,"M")</f>
        <v>-899.79999999984489</v>
      </c>
      <c r="BN1056" s="87">
        <f>SUMIFS($AU$1035:AU1222,$AQ$1035:AQ1222,"H")</f>
        <v>1583.9999999998265</v>
      </c>
      <c r="BO1056" s="87">
        <f>SUMIFS($AU$1035:AU1222,$AQ$1035:AQ1222,"D")</f>
        <v>-479.9999999999896</v>
      </c>
      <c r="BP1056" s="87">
        <f>SUMIFS($AS$1035:AS1310,$AO$1035:AO1310,"W")</f>
        <v>0</v>
      </c>
      <c r="BQ1056" s="87">
        <f>SUMIFS($AU$1035:AU1222,$Q$1035:Q1222,"O")</f>
        <v>-1079.7999999999552</v>
      </c>
      <c r="BR1056" s="87">
        <f>SUMIFS($AU$1035:AU1222,$AA$1035:AA1222,"*")</f>
        <v>-499.79999999992333</v>
      </c>
      <c r="BS1056" s="87">
        <f>SUMIFS($AU$1035:AU1222,$AB$1035:AB1222,"*")</f>
        <v>-724.00000000009095</v>
      </c>
      <c r="BT1056" s="87">
        <f>SUMIFS($AU$1035:AU1222,$AC$1035:AC1222,"*")</f>
        <v>112.00000000000097</v>
      </c>
      <c r="BU1056" s="87">
        <f>SUMIFS($AU$1035:AU1222,$AA$1035:AA1222,"*",$AB$1035:AB1222,"*")</f>
        <v>47.999999999934744</v>
      </c>
      <c r="BV1056" s="87">
        <f>SUMIFS($AU$1035:AU1222,$AA$1035:AA1222,"*",$AC$1035:AC1222,"*")</f>
        <v>-335.99999999999977</v>
      </c>
      <c r="BW1056" s="87">
        <f>SUMIFS($AU$1035:AU1222,$AB$1035:AB1222,"*",$AC$1035:AC1222,"*")</f>
        <v>-143.99999999999966</v>
      </c>
      <c r="BX1056" s="87">
        <f>SUMIFS($AV$1035:AV1222,$Q$1035:Q1222,"F")</f>
        <v>34.153846153846246</v>
      </c>
      <c r="BY1056" s="87">
        <f>SUMIFS($AV$1035:AV1222,$Q$1035:Q1222,"S")</f>
        <v>20.914285714286223</v>
      </c>
      <c r="BZ1056" s="87">
        <f>SUMIFS($AV$1035:AV1222,$Q$1035:Q1222,"O")</f>
        <v>-445.13333333327751</v>
      </c>
    </row>
    <row r="1057" spans="1:78" ht="15.75" customHeight="1">
      <c r="A1057" s="45" t="s">
        <v>3000</v>
      </c>
      <c r="B1057" s="59">
        <v>45519</v>
      </c>
      <c r="C1057" s="46" t="s">
        <v>1143</v>
      </c>
      <c r="D1057" s="46" t="s">
        <v>107</v>
      </c>
      <c r="E1057" s="66"/>
      <c r="F1057" s="47"/>
      <c r="G1057" s="170" t="s">
        <v>2821</v>
      </c>
      <c r="H1057" s="49"/>
      <c r="I1057" s="49"/>
      <c r="J1057" s="49"/>
      <c r="K1057" s="50"/>
      <c r="L1057" s="49"/>
      <c r="M1057" s="49">
        <v>1</v>
      </c>
      <c r="N1057" s="49"/>
      <c r="O1057" s="50" t="s">
        <v>100</v>
      </c>
      <c r="P1057" s="50" t="s">
        <v>101</v>
      </c>
      <c r="Q1057" s="50" t="s">
        <v>102</v>
      </c>
      <c r="R1057" s="50">
        <v>3</v>
      </c>
      <c r="S1057" s="50">
        <v>0</v>
      </c>
      <c r="T1057" s="50">
        <v>3</v>
      </c>
      <c r="U1057" s="50" t="s">
        <v>102</v>
      </c>
      <c r="V1057" s="50" t="s">
        <v>2898</v>
      </c>
      <c r="W1057" s="50" t="s">
        <v>155</v>
      </c>
      <c r="X1057" s="50"/>
      <c r="Y1057" s="51">
        <f t="shared" si="446"/>
        <v>0.01</v>
      </c>
      <c r="Z1057" s="52">
        <f t="shared" si="447"/>
        <v>1600</v>
      </c>
      <c r="AA1057" s="52" t="s">
        <v>925</v>
      </c>
      <c r="AB1057" s="52"/>
      <c r="AC1057" s="52"/>
      <c r="AD1057" s="231">
        <v>-0.3</v>
      </c>
      <c r="AE1057" s="49"/>
      <c r="AF1057" s="84"/>
      <c r="AG1057" s="49"/>
      <c r="AH1057" s="49"/>
      <c r="AI1057" s="49"/>
      <c r="AJ1057" s="226"/>
      <c r="AK1057" s="49"/>
      <c r="AL1057" s="113">
        <f t="shared" si="448"/>
        <v>-32</v>
      </c>
      <c r="AM1057" s="113">
        <f t="shared" si="449"/>
        <v>-96</v>
      </c>
      <c r="AN1057" s="218" t="s">
        <v>3157</v>
      </c>
      <c r="AO1057" s="49"/>
      <c r="AP1057" s="49"/>
      <c r="AQ1057" s="84" t="s">
        <v>142</v>
      </c>
      <c r="AR1057" s="49" t="s">
        <v>3166</v>
      </c>
      <c r="AS1057" s="55">
        <v>-0.3</v>
      </c>
      <c r="AT1057" s="55">
        <f t="shared" si="450"/>
        <v>0</v>
      </c>
      <c r="AU1057" s="54">
        <f t="shared" si="451"/>
        <v>0</v>
      </c>
      <c r="AV1057" s="56">
        <f t="shared" si="452"/>
        <v>0</v>
      </c>
      <c r="AW1057" s="57" t="s">
        <v>155</v>
      </c>
      <c r="AX1057" s="151" t="s">
        <v>3160</v>
      </c>
      <c r="AY1057" s="151"/>
      <c r="AZ1057" s="151"/>
      <c r="BA1057" s="151"/>
      <c r="BB1057" s="153"/>
      <c r="BC1057" s="153"/>
      <c r="BD1057" s="151"/>
      <c r="BE1057" s="152"/>
      <c r="BF1057" s="151"/>
      <c r="BG1057" s="94">
        <f>SUM($AV$1035:AV1057)</f>
        <v>-99.0000000000055</v>
      </c>
      <c r="BH1057" s="95">
        <f>SUM($AU$1035:AU1057)</f>
        <v>124.99999999999469</v>
      </c>
      <c r="BI1057" s="80">
        <f>SUMIFS($AU$1035:AU1223,$Q$1035:Q1223,"F")</f>
        <v>112.00000000000057</v>
      </c>
      <c r="BJ1057" s="80">
        <f>SUMIFS($AU$1035:AU1223,$Q$1035:Q1223,"S")</f>
        <v>-15.999999999994088</v>
      </c>
      <c r="BK1057" s="87">
        <f>SUMIFS($AU$1035:AU1223,$P$1035:P1223,"W")</f>
        <v>-960.00000000003297</v>
      </c>
      <c r="BL1057" s="87">
        <f>SUMIFS($AU$1035:AU1223,$P$1035:P1223,"R")</f>
        <v>1024.0000000000007</v>
      </c>
      <c r="BM1057" s="87">
        <f>SUMIFS($AU$1035:AU1223,$AQ$1035:AQ1223,"M")</f>
        <v>-899.79999999984489</v>
      </c>
      <c r="BN1057" s="87">
        <f>SUMIFS($AU$1035:AU1223,$AQ$1035:AQ1223,"H")</f>
        <v>1583.9999999998265</v>
      </c>
      <c r="BO1057" s="87">
        <f>SUMIFS($AU$1035:AU1223,$AQ$1035:AQ1223,"D")</f>
        <v>-479.9999999999896</v>
      </c>
      <c r="BP1057" s="87">
        <f>SUMIFS($AS$1035:AS1311,$AO$1035:AO1311,"W")</f>
        <v>0</v>
      </c>
      <c r="BQ1057" s="87">
        <f>SUMIFS($AU$1035:AU1223,$Q$1035:Q1223,"O")</f>
        <v>-1079.7999999999552</v>
      </c>
      <c r="BR1057" s="87">
        <f>SUMIFS($AU$1035:AU1223,$AA$1035:AA1223,"*")</f>
        <v>-499.79999999992333</v>
      </c>
      <c r="BS1057" s="87">
        <f>SUMIFS($AU$1035:AU1223,$AB$1035:AB1223,"*")</f>
        <v>-724.00000000009095</v>
      </c>
      <c r="BT1057" s="87">
        <f>SUMIFS($AU$1035:AU1223,$AC$1035:AC1223,"*")</f>
        <v>112.00000000000097</v>
      </c>
      <c r="BU1057" s="87">
        <f>SUMIFS($AU$1035:AU1223,$AA$1035:AA1223,"*",$AB$1035:AB1223,"*")</f>
        <v>47.999999999934744</v>
      </c>
      <c r="BV1057" s="87">
        <f>SUMIFS($AU$1035:AU1223,$AA$1035:AA1223,"*",$AC$1035:AC1223,"*")</f>
        <v>-335.99999999999977</v>
      </c>
      <c r="BW1057" s="87">
        <f>SUMIFS($AU$1035:AU1223,$AB$1035:AB1223,"*",$AC$1035:AC1223,"*")</f>
        <v>-143.99999999999966</v>
      </c>
      <c r="BX1057" s="87">
        <f>SUMIFS($AV$1035:AV1223,$Q$1035:Q1223,"F")</f>
        <v>34.153846153846246</v>
      </c>
      <c r="BY1057" s="87">
        <f>SUMIFS($AV$1035:AV1223,$Q$1035:Q1223,"S")</f>
        <v>20.914285714286223</v>
      </c>
      <c r="BZ1057" s="87">
        <f>SUMIFS($AV$1035:AV1223,$Q$1035:Q1223,"O")</f>
        <v>-445.13333333327751</v>
      </c>
    </row>
    <row r="1058" spans="1:78" ht="15.75" customHeight="1">
      <c r="A1058" s="45" t="s">
        <v>3000</v>
      </c>
      <c r="B1058" s="59">
        <v>45519</v>
      </c>
      <c r="C1058" s="46" t="s">
        <v>1143</v>
      </c>
      <c r="D1058" s="46" t="s">
        <v>107</v>
      </c>
      <c r="E1058" s="66"/>
      <c r="F1058" s="47"/>
      <c r="G1058" s="114" t="s">
        <v>3167</v>
      </c>
      <c r="H1058" s="49"/>
      <c r="I1058" s="49"/>
      <c r="J1058" s="49"/>
      <c r="K1058" s="50"/>
      <c r="L1058" s="49"/>
      <c r="M1058" s="49">
        <v>1</v>
      </c>
      <c r="N1058" s="49"/>
      <c r="O1058" s="50" t="s">
        <v>100</v>
      </c>
      <c r="P1058" s="50" t="s">
        <v>101</v>
      </c>
      <c r="Q1058" s="50" t="s">
        <v>102</v>
      </c>
      <c r="R1058" s="50">
        <v>5</v>
      </c>
      <c r="S1058" s="50">
        <v>0</v>
      </c>
      <c r="T1058" s="50">
        <v>5</v>
      </c>
      <c r="U1058" s="50" t="s">
        <v>102</v>
      </c>
      <c r="V1058" s="50" t="s">
        <v>2898</v>
      </c>
      <c r="W1058" s="50" t="s">
        <v>155</v>
      </c>
      <c r="X1058" s="50"/>
      <c r="Y1058" s="51">
        <f t="shared" si="446"/>
        <v>0.01</v>
      </c>
      <c r="Z1058" s="52">
        <f t="shared" si="447"/>
        <v>1600</v>
      </c>
      <c r="AA1058" s="52" t="s">
        <v>3168</v>
      </c>
      <c r="AB1058" s="52"/>
      <c r="AC1058" s="52" t="s">
        <v>3169</v>
      </c>
      <c r="AD1058" s="231">
        <v>-0.19</v>
      </c>
      <c r="AE1058" s="49"/>
      <c r="AF1058" s="84"/>
      <c r="AG1058" s="49"/>
      <c r="AH1058" s="49"/>
      <c r="AI1058" s="49"/>
      <c r="AJ1058" s="226" t="s">
        <v>3170</v>
      </c>
      <c r="AK1058" s="49"/>
      <c r="AL1058" s="113">
        <f t="shared" si="448"/>
        <v>-32</v>
      </c>
      <c r="AM1058" s="113">
        <f t="shared" si="449"/>
        <v>-160</v>
      </c>
      <c r="AN1058" s="218" t="s">
        <v>3157</v>
      </c>
      <c r="AO1058" s="49"/>
      <c r="AP1058" s="49"/>
      <c r="AQ1058" s="84" t="s">
        <v>142</v>
      </c>
      <c r="AR1058" s="74" t="s">
        <v>3171</v>
      </c>
      <c r="AS1058" s="55">
        <v>-0.19</v>
      </c>
      <c r="AT1058" s="55">
        <f t="shared" si="450"/>
        <v>0</v>
      </c>
      <c r="AU1058" s="54">
        <f t="shared" si="451"/>
        <v>0</v>
      </c>
      <c r="AV1058" s="56">
        <f t="shared" si="452"/>
        <v>0</v>
      </c>
      <c r="AW1058" s="57" t="s">
        <v>155</v>
      </c>
      <c r="AX1058" s="151" t="s">
        <v>3160</v>
      </c>
      <c r="AY1058" s="151"/>
      <c r="AZ1058" s="151"/>
      <c r="BA1058" s="151"/>
      <c r="BB1058" s="153"/>
      <c r="BC1058" s="153"/>
      <c r="BD1058" s="151"/>
      <c r="BE1058" s="152"/>
      <c r="BF1058" s="151"/>
      <c r="BG1058" s="94">
        <f>SUM($AV$1035:AV1058)</f>
        <v>-99.0000000000055</v>
      </c>
      <c r="BH1058" s="95">
        <f>SUM($AU$1035:AU1058)</f>
        <v>124.99999999999469</v>
      </c>
      <c r="BI1058" s="80">
        <f>SUMIFS($AU$1035:AU1224,$Q$1035:Q1224,"F")</f>
        <v>112.00000000000057</v>
      </c>
      <c r="BJ1058" s="80">
        <f>SUMIFS($AU$1035:AU1224,$Q$1035:Q1224,"S")</f>
        <v>-15.999999999994088</v>
      </c>
      <c r="BK1058" s="87">
        <f>SUMIFS($AU$1035:AU1224,$P$1035:P1224,"W")</f>
        <v>-960.00000000003297</v>
      </c>
      <c r="BL1058" s="87">
        <f>SUMIFS($AU$1035:AU1224,$P$1035:P1224,"R")</f>
        <v>1024.0000000000007</v>
      </c>
      <c r="BM1058" s="87">
        <f>SUMIFS($AU$1035:AU1224,$AQ$1035:AQ1224,"M")</f>
        <v>-899.79999999984489</v>
      </c>
      <c r="BN1058" s="87">
        <f>SUMIFS($AU$1035:AU1224,$AQ$1035:AQ1224,"H")</f>
        <v>1583.9999999998265</v>
      </c>
      <c r="BO1058" s="87">
        <f>SUMIFS($AU$1035:AU1224,$AQ$1035:AQ1224,"D")</f>
        <v>-479.9999999999896</v>
      </c>
      <c r="BP1058" s="87">
        <f>SUMIFS($AS$1035:AS1312,$AO$1035:AO1312,"W")</f>
        <v>0</v>
      </c>
      <c r="BQ1058" s="87">
        <f>SUMIFS($AU$1035:AU1224,$Q$1035:Q1224,"O")</f>
        <v>-1079.7999999999552</v>
      </c>
      <c r="BR1058" s="87">
        <f>SUMIFS($AU$1035:AU1224,$AA$1035:AA1224,"*")</f>
        <v>-499.79999999992333</v>
      </c>
      <c r="BS1058" s="87">
        <f>SUMIFS($AU$1035:AU1224,$AB$1035:AB1224,"*")</f>
        <v>-724.00000000009095</v>
      </c>
      <c r="BT1058" s="87">
        <f>SUMIFS($AU$1035:AU1224,$AC$1035:AC1224,"*")</f>
        <v>112.00000000000097</v>
      </c>
      <c r="BU1058" s="87">
        <f>SUMIFS($AU$1035:AU1224,$AA$1035:AA1224,"*",$AB$1035:AB1224,"*")</f>
        <v>47.999999999934744</v>
      </c>
      <c r="BV1058" s="87">
        <f>SUMIFS($AU$1035:AU1224,$AA$1035:AA1224,"*",$AC$1035:AC1224,"*")</f>
        <v>-335.99999999999977</v>
      </c>
      <c r="BW1058" s="87">
        <f>SUMIFS($AU$1035:AU1224,$AB$1035:AB1224,"*",$AC$1035:AC1224,"*")</f>
        <v>-143.99999999999966</v>
      </c>
      <c r="BX1058" s="87">
        <f>SUMIFS($AV$1035:AV1224,$Q$1035:Q1224,"F")</f>
        <v>34.153846153846246</v>
      </c>
      <c r="BY1058" s="87">
        <f>SUMIFS($AV$1035:AV1224,$Q$1035:Q1224,"S")</f>
        <v>20.914285714286223</v>
      </c>
      <c r="BZ1058" s="87">
        <f>SUMIFS($AV$1035:AV1224,$Q$1035:Q1224,"O")</f>
        <v>-445.13333333327751</v>
      </c>
    </row>
    <row r="1059" spans="1:78" ht="15.75" customHeight="1">
      <c r="A1059" s="45" t="s">
        <v>3000</v>
      </c>
      <c r="B1059" s="59">
        <v>45519</v>
      </c>
      <c r="C1059" s="46" t="s">
        <v>1143</v>
      </c>
      <c r="D1059" s="46" t="s">
        <v>107</v>
      </c>
      <c r="E1059" s="66"/>
      <c r="F1059" s="47"/>
      <c r="G1059" s="114" t="s">
        <v>3172</v>
      </c>
      <c r="H1059" s="49"/>
      <c r="I1059" s="49"/>
      <c r="J1059" s="49"/>
      <c r="K1059" s="50"/>
      <c r="L1059" s="49"/>
      <c r="M1059" s="49">
        <v>1</v>
      </c>
      <c r="N1059" s="49"/>
      <c r="O1059" s="50" t="s">
        <v>100</v>
      </c>
      <c r="P1059" s="50" t="s">
        <v>101</v>
      </c>
      <c r="Q1059" s="50" t="s">
        <v>102</v>
      </c>
      <c r="R1059" s="50">
        <v>8</v>
      </c>
      <c r="S1059" s="50">
        <v>5</v>
      </c>
      <c r="T1059" s="50">
        <v>5</v>
      </c>
      <c r="U1059" s="50" t="s">
        <v>102</v>
      </c>
      <c r="V1059" s="50" t="s">
        <v>2898</v>
      </c>
      <c r="W1059" s="50" t="s">
        <v>155</v>
      </c>
      <c r="X1059" s="50" t="s">
        <v>3026</v>
      </c>
      <c r="Y1059" s="51">
        <f t="shared" si="446"/>
        <v>0.01</v>
      </c>
      <c r="Z1059" s="52">
        <f t="shared" si="447"/>
        <v>1600</v>
      </c>
      <c r="AA1059" s="52" t="s">
        <v>3173</v>
      </c>
      <c r="AB1059" s="52"/>
      <c r="AC1059" s="52"/>
      <c r="AD1059" s="231">
        <f>((-0.3*3)+(-0.29*5))/8</f>
        <v>-0.29374999999999996</v>
      </c>
      <c r="AE1059" s="49"/>
      <c r="AF1059" s="84"/>
      <c r="AG1059" s="49"/>
      <c r="AH1059" s="49"/>
      <c r="AI1059" s="49"/>
      <c r="AJ1059" s="226" t="s">
        <v>3174</v>
      </c>
      <c r="AK1059" s="49"/>
      <c r="AL1059" s="113">
        <f>-0.01*Z1059</f>
        <v>-16</v>
      </c>
      <c r="AM1059" s="113">
        <f t="shared" si="449"/>
        <v>-48</v>
      </c>
      <c r="AN1059" s="218" t="s">
        <v>3157</v>
      </c>
      <c r="AO1059" s="49"/>
      <c r="AP1059" s="49"/>
      <c r="AQ1059" s="84" t="str">
        <f>UPPER(RIGHT(Journal_Live[[#This Row],[DURATION ]]))</f>
        <v/>
      </c>
      <c r="AR1059" s="49" t="s">
        <v>3175</v>
      </c>
      <c r="AS1059" s="55">
        <f>((-0.3*5)+(-0.29*3))/8</f>
        <v>-0.29625000000000001</v>
      </c>
      <c r="AT1059" s="55">
        <f t="shared" si="450"/>
        <v>2.5000000000000577E-3</v>
      </c>
      <c r="AU1059" s="54">
        <f t="shared" si="451"/>
        <v>32.000000000000739</v>
      </c>
      <c r="AV1059" s="56">
        <f t="shared" si="452"/>
        <v>4.0000000000000924</v>
      </c>
      <c r="AW1059" s="57" t="s">
        <v>101</v>
      </c>
      <c r="AX1059" s="151" t="s">
        <v>3176</v>
      </c>
      <c r="AY1059" s="151"/>
      <c r="AZ1059" s="151"/>
      <c r="BA1059" s="151"/>
      <c r="BB1059" s="153"/>
      <c r="BC1059" s="153"/>
      <c r="BD1059" s="151"/>
      <c r="BE1059" s="152"/>
      <c r="BF1059" s="151"/>
      <c r="BG1059" s="94">
        <f>SUM($AV$1035:AV1059)</f>
        <v>-95.0000000000054</v>
      </c>
      <c r="BH1059" s="95">
        <f>SUM($AU$1035:AU1059)</f>
        <v>156.99999999999542</v>
      </c>
      <c r="BI1059" s="80">
        <f>SUMIFS($AU$1035:AU1225,$Q$1035:Q1225,"F")</f>
        <v>112.00000000000057</v>
      </c>
      <c r="BJ1059" s="80">
        <f>SUMIFS($AU$1035:AU1225,$Q$1035:Q1225,"S")</f>
        <v>-15.999999999994088</v>
      </c>
      <c r="BK1059" s="87">
        <f>SUMIFS($AU$1035:AU1225,$P$1035:P1225,"W")</f>
        <v>-960.00000000003297</v>
      </c>
      <c r="BL1059" s="87">
        <f>SUMIFS($AU$1035:AU1225,$P$1035:P1225,"R")</f>
        <v>1024.0000000000007</v>
      </c>
      <c r="BM1059" s="87">
        <f>SUMIFS($AU$1035:AU1225,$AQ$1035:AQ1225,"M")</f>
        <v>-899.79999999984489</v>
      </c>
      <c r="BN1059" s="87">
        <f>SUMIFS($AU$1035:AU1225,$AQ$1035:AQ1225,"H")</f>
        <v>1583.9999999998265</v>
      </c>
      <c r="BO1059" s="87">
        <f>SUMIFS($AU$1035:AU1225,$AQ$1035:AQ1225,"D")</f>
        <v>-479.9999999999896</v>
      </c>
      <c r="BP1059" s="87">
        <f>SUMIFS($AS$1035:AS1313,$AO$1035:AO1313,"W")</f>
        <v>0</v>
      </c>
      <c r="BQ1059" s="87">
        <f>SUMIFS($AU$1035:AU1225,$Q$1035:Q1225,"O")</f>
        <v>-1079.7999999999552</v>
      </c>
      <c r="BR1059" s="87">
        <f>SUMIFS($AU$1035:AU1225,$AA$1035:AA1225,"*")</f>
        <v>-499.79999999992333</v>
      </c>
      <c r="BS1059" s="87">
        <f>SUMIFS($AU$1035:AU1225,$AB$1035:AB1225,"*")</f>
        <v>-724.00000000009095</v>
      </c>
      <c r="BT1059" s="87">
        <f>SUMIFS($AU$1035:AU1225,$AC$1035:AC1225,"*")</f>
        <v>112.00000000000097</v>
      </c>
      <c r="BU1059" s="87">
        <f>SUMIFS($AU$1035:AU1225,$AA$1035:AA1225,"*",$AB$1035:AB1225,"*")</f>
        <v>47.999999999934744</v>
      </c>
      <c r="BV1059" s="87">
        <f>SUMIFS($AU$1035:AU1225,$AA$1035:AA1225,"*",$AC$1035:AC1225,"*")</f>
        <v>-335.99999999999977</v>
      </c>
      <c r="BW1059" s="87">
        <f>SUMIFS($AU$1035:AU1225,$AB$1035:AB1225,"*",$AC$1035:AC1225,"*")</f>
        <v>-143.99999999999966</v>
      </c>
      <c r="BX1059" s="87">
        <f>SUMIFS($AV$1035:AV1225,$Q$1035:Q1225,"F")</f>
        <v>34.153846153846246</v>
      </c>
      <c r="BY1059" s="87">
        <f>SUMIFS($AV$1035:AV1225,$Q$1035:Q1225,"S")</f>
        <v>20.914285714286223</v>
      </c>
      <c r="BZ1059" s="87">
        <f>SUMIFS($AV$1035:AV1225,$Q$1035:Q1225,"O")</f>
        <v>-445.13333333327751</v>
      </c>
    </row>
    <row r="1060" spans="1:78" ht="15.75" customHeight="1">
      <c r="A1060" s="45" t="s">
        <v>3000</v>
      </c>
      <c r="B1060" s="59">
        <v>45519</v>
      </c>
      <c r="C1060" s="46" t="s">
        <v>3177</v>
      </c>
      <c r="D1060" s="46" t="s">
        <v>107</v>
      </c>
      <c r="E1060" s="66"/>
      <c r="F1060" s="47"/>
      <c r="G1060" s="170" t="s">
        <v>3178</v>
      </c>
      <c r="H1060" s="49"/>
      <c r="I1060" s="49"/>
      <c r="J1060" s="49"/>
      <c r="K1060" s="50"/>
      <c r="L1060" s="49">
        <v>1</v>
      </c>
      <c r="M1060" s="49"/>
      <c r="N1060" s="49"/>
      <c r="O1060" s="50" t="s">
        <v>100</v>
      </c>
      <c r="P1060" s="50" t="s">
        <v>101</v>
      </c>
      <c r="Q1060" s="50" t="s">
        <v>102</v>
      </c>
      <c r="R1060" s="50">
        <v>2</v>
      </c>
      <c r="S1060" s="50">
        <v>0</v>
      </c>
      <c r="T1060" s="50">
        <v>2</v>
      </c>
      <c r="U1060" s="50" t="s">
        <v>102</v>
      </c>
      <c r="V1060" s="50" t="s">
        <v>2898</v>
      </c>
      <c r="W1060" s="50" t="s">
        <v>155</v>
      </c>
      <c r="X1060" s="50"/>
      <c r="Y1060" s="51">
        <f t="shared" si="446"/>
        <v>0.01</v>
      </c>
      <c r="Z1060" s="52">
        <f t="shared" si="447"/>
        <v>1600</v>
      </c>
      <c r="AA1060" s="52" t="s">
        <v>3179</v>
      </c>
      <c r="AB1060" s="52" t="s">
        <v>3180</v>
      </c>
      <c r="AC1060" s="52"/>
      <c r="AD1060" s="231">
        <v>-0.65</v>
      </c>
      <c r="AE1060" s="49"/>
      <c r="AF1060" s="84"/>
      <c r="AG1060" s="49"/>
      <c r="AH1060" s="49" t="s">
        <v>3181</v>
      </c>
      <c r="AI1060" s="49"/>
      <c r="AJ1060" s="226"/>
      <c r="AK1060" s="49"/>
      <c r="AL1060" s="113">
        <f t="shared" si="448"/>
        <v>-32</v>
      </c>
      <c r="AM1060" s="113">
        <f t="shared" si="449"/>
        <v>-64</v>
      </c>
      <c r="AN1060" s="218" t="s">
        <v>3157</v>
      </c>
      <c r="AO1060" s="49"/>
      <c r="AP1060" s="49"/>
      <c r="AQ1060" s="84" t="s">
        <v>142</v>
      </c>
      <c r="AR1060" s="74" t="s">
        <v>3175</v>
      </c>
      <c r="AS1060" s="55">
        <v>-0.65</v>
      </c>
      <c r="AT1060" s="55">
        <f t="shared" si="450"/>
        <v>0</v>
      </c>
      <c r="AU1060" s="54">
        <f t="shared" si="451"/>
        <v>0</v>
      </c>
      <c r="AV1060" s="56">
        <f t="shared" si="452"/>
        <v>0</v>
      </c>
      <c r="AW1060" s="57" t="s">
        <v>155</v>
      </c>
      <c r="AX1060" s="151" t="s">
        <v>3182</v>
      </c>
      <c r="AY1060" s="151" t="s">
        <v>3183</v>
      </c>
      <c r="AZ1060" s="151"/>
      <c r="BA1060" s="151"/>
      <c r="BB1060" s="153"/>
      <c r="BC1060" s="153"/>
      <c r="BD1060" s="151"/>
      <c r="BE1060" s="152"/>
      <c r="BF1060" s="151"/>
      <c r="BG1060" s="94">
        <f>SUM($AV$1035:AV1060)</f>
        <v>-95.0000000000054</v>
      </c>
      <c r="BH1060" s="95">
        <f>SUM($AU$1035:AU1060)</f>
        <v>156.99999999999542</v>
      </c>
      <c r="BI1060" s="80">
        <f>SUMIFS($AU$1035:AU1226,$Q$1035:Q1226,"F")</f>
        <v>112.00000000000057</v>
      </c>
      <c r="BJ1060" s="80">
        <f>SUMIFS($AU$1035:AU1226,$Q$1035:Q1226,"S")</f>
        <v>-15.999999999994088</v>
      </c>
      <c r="BK1060" s="87">
        <f>SUMIFS($AU$1035:AU1226,$P$1035:P1226,"W")</f>
        <v>-960.00000000003297</v>
      </c>
      <c r="BL1060" s="87">
        <f>SUMIFS($AU$1035:AU1226,$P$1035:P1226,"R")</f>
        <v>1024.0000000000007</v>
      </c>
      <c r="BM1060" s="87">
        <f>SUMIFS($AU$1035:AU1226,$AQ$1035:AQ1226,"M")</f>
        <v>-899.79999999984489</v>
      </c>
      <c r="BN1060" s="87">
        <f>SUMIFS($AU$1035:AU1226,$AQ$1035:AQ1226,"H")</f>
        <v>1583.9999999998265</v>
      </c>
      <c r="BO1060" s="87">
        <f>SUMIFS($AU$1035:AU1226,$AQ$1035:AQ1226,"D")</f>
        <v>-479.9999999999896</v>
      </c>
      <c r="BP1060" s="87">
        <f>SUMIFS($AS$1035:AS1314,$AO$1035:AO1314,"W")</f>
        <v>0</v>
      </c>
      <c r="BQ1060" s="87">
        <f>SUMIFS($AU$1035:AU1226,$Q$1035:Q1226,"O")</f>
        <v>-1079.7999999999552</v>
      </c>
      <c r="BR1060" s="87">
        <f>SUMIFS($AU$1035:AU1226,$AA$1035:AA1226,"*")</f>
        <v>-499.79999999992333</v>
      </c>
      <c r="BS1060" s="87">
        <f>SUMIFS($AU$1035:AU1226,$AB$1035:AB1226,"*")</f>
        <v>-724.00000000009095</v>
      </c>
      <c r="BT1060" s="87">
        <f>SUMIFS($AU$1035:AU1226,$AC$1035:AC1226,"*")</f>
        <v>112.00000000000097</v>
      </c>
      <c r="BU1060" s="87">
        <f>SUMIFS($AU$1035:AU1226,$AA$1035:AA1226,"*",$AB$1035:AB1226,"*")</f>
        <v>47.999999999934744</v>
      </c>
      <c r="BV1060" s="87">
        <f>SUMIFS($AU$1035:AU1226,$AA$1035:AA1226,"*",$AC$1035:AC1226,"*")</f>
        <v>-335.99999999999977</v>
      </c>
      <c r="BW1060" s="87">
        <f>SUMIFS($AU$1035:AU1226,$AB$1035:AB1226,"*",$AC$1035:AC1226,"*")</f>
        <v>-143.99999999999966</v>
      </c>
      <c r="BX1060" s="87">
        <f>SUMIFS($AV$1035:AV1226,$Q$1035:Q1226,"F")</f>
        <v>34.153846153846246</v>
      </c>
      <c r="BY1060" s="87">
        <f>SUMIFS($AV$1035:AV1226,$Q$1035:Q1226,"S")</f>
        <v>20.914285714286223</v>
      </c>
      <c r="BZ1060" s="87">
        <f>SUMIFS($AV$1035:AV1226,$Q$1035:Q1226,"O")</f>
        <v>-445.13333333327751</v>
      </c>
    </row>
    <row r="1061" spans="1:78" ht="15.75" customHeight="1">
      <c r="A1061" s="45" t="s">
        <v>3000</v>
      </c>
      <c r="B1061" s="59">
        <v>45520</v>
      </c>
      <c r="C1061" s="46" t="s">
        <v>504</v>
      </c>
      <c r="D1061" s="46" t="s">
        <v>115</v>
      </c>
      <c r="E1061" s="66"/>
      <c r="F1061" s="47"/>
      <c r="G1061" s="230" t="s">
        <v>3184</v>
      </c>
      <c r="H1061" s="49"/>
      <c r="I1061" s="49"/>
      <c r="J1061" s="49"/>
      <c r="K1061" s="50"/>
      <c r="L1061" s="49">
        <v>1</v>
      </c>
      <c r="M1061" s="49"/>
      <c r="N1061" s="49"/>
      <c r="O1061" s="50" t="s">
        <v>100</v>
      </c>
      <c r="P1061" s="50" t="s">
        <v>101</v>
      </c>
      <c r="Q1061" s="50" t="s">
        <v>127</v>
      </c>
      <c r="R1061" s="50">
        <v>5</v>
      </c>
      <c r="S1061" s="50">
        <v>0</v>
      </c>
      <c r="T1061" s="50">
        <v>5</v>
      </c>
      <c r="U1061" s="50" t="s">
        <v>102</v>
      </c>
      <c r="V1061" s="50" t="s">
        <v>2906</v>
      </c>
      <c r="W1061" s="50" t="s">
        <v>155</v>
      </c>
      <c r="X1061" s="50" t="s">
        <v>3009</v>
      </c>
      <c r="Y1061" s="51">
        <f t="shared" si="446"/>
        <v>0.01</v>
      </c>
      <c r="Z1061" s="52">
        <f t="shared" si="447"/>
        <v>1600</v>
      </c>
      <c r="AA1061" s="52" t="s">
        <v>1889</v>
      </c>
      <c r="AB1061" s="52" t="s">
        <v>3185</v>
      </c>
      <c r="AC1061" s="52"/>
      <c r="AD1061" s="231">
        <v>-0.09</v>
      </c>
      <c r="AE1061" s="49"/>
      <c r="AF1061" s="84"/>
      <c r="AG1061" s="49"/>
      <c r="AH1061" s="49"/>
      <c r="AI1061" s="49"/>
      <c r="AJ1061" s="226" t="s">
        <v>3186</v>
      </c>
      <c r="AK1061" s="49"/>
      <c r="AL1061" s="113">
        <f t="shared" si="448"/>
        <v>-32</v>
      </c>
      <c r="AM1061" s="113">
        <f t="shared" si="449"/>
        <v>-160</v>
      </c>
      <c r="AN1061" s="218"/>
      <c r="AO1061" s="49"/>
      <c r="AP1061" s="49" t="s">
        <v>297</v>
      </c>
      <c r="AQ1061" s="84" t="s">
        <v>155</v>
      </c>
      <c r="AR1061" s="74">
        <v>45523</v>
      </c>
      <c r="AS1061" s="55">
        <v>-0.12</v>
      </c>
      <c r="AT1061" s="55">
        <f t="shared" si="450"/>
        <v>0.03</v>
      </c>
      <c r="AU1061" s="54">
        <f t="shared" si="451"/>
        <v>240</v>
      </c>
      <c r="AV1061" s="56">
        <f t="shared" si="452"/>
        <v>48</v>
      </c>
      <c r="AW1061" s="57" t="s">
        <v>101</v>
      </c>
      <c r="AX1061" s="151" t="s">
        <v>3187</v>
      </c>
      <c r="AY1061" s="151"/>
      <c r="AZ1061" s="151"/>
      <c r="BA1061" s="151"/>
      <c r="BB1061" s="153"/>
      <c r="BC1061" s="153"/>
      <c r="BD1061" s="151"/>
      <c r="BE1061" s="152"/>
      <c r="BF1061" s="151"/>
      <c r="BG1061" s="94">
        <f>SUM($AV$1035:AV1061)</f>
        <v>-47.0000000000054</v>
      </c>
      <c r="BH1061" s="95">
        <f>SUM($AU$1035:AU1061)</f>
        <v>396.99999999999545</v>
      </c>
      <c r="BI1061" s="80">
        <f>SUMIFS($AU$1035:AU1227,$Q$1035:Q1227,"F")</f>
        <v>112.00000000000057</v>
      </c>
      <c r="BJ1061" s="80">
        <f>SUMIFS($AU$1035:AU1227,$Q$1035:Q1227,"S")</f>
        <v>-15.999999999994088</v>
      </c>
      <c r="BK1061" s="87">
        <f>SUMIFS($AU$1035:AU1227,$P$1035:P1227,"W")</f>
        <v>-960.00000000003297</v>
      </c>
      <c r="BL1061" s="87">
        <f>SUMIFS($AU$1035:AU1227,$P$1035:P1227,"R")</f>
        <v>1024.0000000000007</v>
      </c>
      <c r="BM1061" s="87">
        <f>SUMIFS($AU$1035:AU1227,$AQ$1035:AQ1227,"M")</f>
        <v>-899.79999999984489</v>
      </c>
      <c r="BN1061" s="87">
        <f>SUMIFS($AU$1035:AU1227,$AQ$1035:AQ1227,"H")</f>
        <v>1583.9999999998265</v>
      </c>
      <c r="BO1061" s="87">
        <f>SUMIFS($AU$1035:AU1227,$AQ$1035:AQ1227,"D")</f>
        <v>-479.9999999999896</v>
      </c>
      <c r="BP1061" s="87">
        <f>SUMIFS($AS$1035:AS1315,$AO$1035:AO1315,"W")</f>
        <v>0</v>
      </c>
      <c r="BQ1061" s="87">
        <f>SUMIFS($AU$1035:AU1227,$Q$1035:Q1227,"O")</f>
        <v>-1079.7999999999552</v>
      </c>
      <c r="BR1061" s="87">
        <f>SUMIFS($AU$1035:AU1227,$AA$1035:AA1227,"*")</f>
        <v>-499.79999999992333</v>
      </c>
      <c r="BS1061" s="87">
        <f>SUMIFS($AU$1035:AU1227,$AB$1035:AB1227,"*")</f>
        <v>-724.00000000009095</v>
      </c>
      <c r="BT1061" s="87">
        <f>SUMIFS($AU$1035:AU1227,$AC$1035:AC1227,"*")</f>
        <v>112.00000000000097</v>
      </c>
      <c r="BU1061" s="87">
        <f>SUMIFS($AU$1035:AU1227,$AA$1035:AA1227,"*",$AB$1035:AB1227,"*")</f>
        <v>47.999999999934744</v>
      </c>
      <c r="BV1061" s="87">
        <f>SUMIFS($AU$1035:AU1227,$AA$1035:AA1227,"*",$AC$1035:AC1227,"*")</f>
        <v>-335.99999999999977</v>
      </c>
      <c r="BW1061" s="87">
        <f>SUMIFS($AU$1035:AU1227,$AB$1035:AB1227,"*",$AC$1035:AC1227,"*")</f>
        <v>-143.99999999999966</v>
      </c>
      <c r="BX1061" s="87">
        <f>SUMIFS($AV$1035:AV1227,$Q$1035:Q1227,"F")</f>
        <v>34.153846153846246</v>
      </c>
      <c r="BY1061" s="87">
        <f>SUMIFS($AV$1035:AV1227,$Q$1035:Q1227,"S")</f>
        <v>20.914285714286223</v>
      </c>
      <c r="BZ1061" s="87">
        <f>SUMIFS($AV$1035:AV1227,$Q$1035:Q1227,"O")</f>
        <v>-445.13333333327751</v>
      </c>
    </row>
    <row r="1062" spans="1:78" ht="15.75" customHeight="1">
      <c r="A1062" s="45" t="s">
        <v>3000</v>
      </c>
      <c r="B1062" s="59">
        <v>45520</v>
      </c>
      <c r="C1062" s="46" t="s">
        <v>504</v>
      </c>
      <c r="D1062" s="46" t="s">
        <v>115</v>
      </c>
      <c r="E1062" s="66"/>
      <c r="F1062" s="47"/>
      <c r="G1062" s="114" t="s">
        <v>3188</v>
      </c>
      <c r="H1062" s="49"/>
      <c r="I1062" s="49"/>
      <c r="J1062" s="49"/>
      <c r="K1062" s="50"/>
      <c r="L1062" s="49">
        <v>1</v>
      </c>
      <c r="M1062" s="49"/>
      <c r="N1062" s="49"/>
      <c r="O1062" s="50" t="s">
        <v>100</v>
      </c>
      <c r="P1062" s="50" t="s">
        <v>101</v>
      </c>
      <c r="Q1062" s="50" t="s">
        <v>102</v>
      </c>
      <c r="R1062" s="50">
        <v>5</v>
      </c>
      <c r="S1062" s="50">
        <v>0</v>
      </c>
      <c r="T1062" s="50">
        <v>5</v>
      </c>
      <c r="U1062" s="50" t="s">
        <v>22</v>
      </c>
      <c r="V1062" s="50" t="s">
        <v>2906</v>
      </c>
      <c r="W1062" s="50" t="s">
        <v>155</v>
      </c>
      <c r="X1062" s="50" t="s">
        <v>3189</v>
      </c>
      <c r="Y1062" s="51">
        <f t="shared" si="446"/>
        <v>0.01</v>
      </c>
      <c r="Z1062" s="52">
        <f t="shared" si="447"/>
        <v>1600</v>
      </c>
      <c r="AA1062" s="52"/>
      <c r="AB1062" s="52"/>
      <c r="AC1062" s="52" t="s">
        <v>3190</v>
      </c>
      <c r="AD1062" s="231">
        <v>-0.19</v>
      </c>
      <c r="AE1062" s="49"/>
      <c r="AF1062" s="84"/>
      <c r="AG1062" s="49"/>
      <c r="AH1062" s="49"/>
      <c r="AI1062" s="49"/>
      <c r="AJ1062" s="226"/>
      <c r="AK1062" s="49"/>
      <c r="AL1062" s="113">
        <f>0*Z1062</f>
        <v>0</v>
      </c>
      <c r="AM1062" s="113">
        <f t="shared" si="442"/>
        <v>0</v>
      </c>
      <c r="AN1062" s="218"/>
      <c r="AO1062" s="49"/>
      <c r="AP1062" s="49" t="s">
        <v>104</v>
      </c>
      <c r="AQ1062" s="84" t="s">
        <v>142</v>
      </c>
      <c r="AR1062" s="49" t="s">
        <v>3191</v>
      </c>
      <c r="AS1062" s="55">
        <v>-0.18</v>
      </c>
      <c r="AT1062" s="55">
        <f t="shared" si="443"/>
        <v>1.0000000000000009E-2</v>
      </c>
      <c r="AU1062" s="54">
        <f t="shared" si="444"/>
        <v>80.000000000000071</v>
      </c>
      <c r="AV1062" s="56">
        <f t="shared" si="445"/>
        <v>16.000000000000014</v>
      </c>
      <c r="AW1062" s="57" t="s">
        <v>101</v>
      </c>
      <c r="AX1062" s="151"/>
      <c r="AY1062" s="151"/>
      <c r="AZ1062" s="151"/>
      <c r="BA1062" s="151"/>
      <c r="BB1062" s="153"/>
      <c r="BC1062" s="153"/>
      <c r="BD1062" s="151"/>
      <c r="BE1062" s="152"/>
      <c r="BF1062" s="151"/>
      <c r="BG1062" s="94">
        <f>SUM($AV$1035:AV1062)</f>
        <v>-31.000000000005386</v>
      </c>
      <c r="BH1062" s="95">
        <f>SUM($AU$1035:AU1062)</f>
        <v>476.99999999999551</v>
      </c>
      <c r="BI1062" s="80">
        <f>SUMIFS($AU$1035:AU1228,$Q$1035:Q1228,"F")</f>
        <v>112.00000000000057</v>
      </c>
      <c r="BJ1062" s="80">
        <f>SUMIFS($AU$1035:AU1228,$Q$1035:Q1228,"S")</f>
        <v>-15.999999999994088</v>
      </c>
      <c r="BK1062" s="87">
        <f>SUMIFS($AU$1035:AU1228,$P$1035:P1228,"W")</f>
        <v>-960.00000000003297</v>
      </c>
      <c r="BL1062" s="87">
        <f>SUMIFS($AU$1035:AU1228,$P$1035:P1228,"R")</f>
        <v>1024.0000000000007</v>
      </c>
      <c r="BM1062" s="87">
        <f>SUMIFS($AU$1035:AU1228,$AQ$1035:AQ1228,"M")</f>
        <v>-899.79999999984489</v>
      </c>
      <c r="BN1062" s="87">
        <f>SUMIFS($AU$1035:AU1228,$AQ$1035:AQ1228,"H")</f>
        <v>1583.9999999998265</v>
      </c>
      <c r="BO1062" s="87">
        <f>SUMIFS($AU$1035:AU1228,$AQ$1035:AQ1228,"D")</f>
        <v>-479.9999999999896</v>
      </c>
      <c r="BP1062" s="87">
        <f>SUMIFS($AS$1035:AS1316,$AO$1035:AO1316,"W")</f>
        <v>0</v>
      </c>
      <c r="BQ1062" s="87">
        <f>SUMIFS($AU$1035:AU1228,$Q$1035:Q1228,"O")</f>
        <v>-1079.7999999999552</v>
      </c>
      <c r="BR1062" s="87">
        <f>SUMIFS($AU$1035:AU1228,$AA$1035:AA1228,"*")</f>
        <v>-499.79999999992333</v>
      </c>
      <c r="BS1062" s="87">
        <f>SUMIFS($AU$1035:AU1228,$AB$1035:AB1228,"*")</f>
        <v>-724.00000000009095</v>
      </c>
      <c r="BT1062" s="87">
        <f>SUMIFS($AU$1035:AU1228,$AC$1035:AC1228,"*")</f>
        <v>112.00000000000097</v>
      </c>
      <c r="BU1062" s="87">
        <f>SUMIFS($AU$1035:AU1228,$AA$1035:AA1228,"*",$AB$1035:AB1228,"*")</f>
        <v>47.999999999934744</v>
      </c>
      <c r="BV1062" s="87">
        <f>SUMIFS($AU$1035:AU1228,$AA$1035:AA1228,"*",$AC$1035:AC1228,"*")</f>
        <v>-335.99999999999977</v>
      </c>
      <c r="BW1062" s="87">
        <f>SUMIFS($AU$1035:AU1228,$AB$1035:AB1228,"*",$AC$1035:AC1228,"*")</f>
        <v>-143.99999999999966</v>
      </c>
      <c r="BX1062" s="87">
        <f>SUMIFS($AV$1035:AV1228,$Q$1035:Q1228,"F")</f>
        <v>34.153846153846246</v>
      </c>
      <c r="BY1062" s="87">
        <f>SUMIFS($AV$1035:AV1228,$Q$1035:Q1228,"S")</f>
        <v>20.914285714286223</v>
      </c>
      <c r="BZ1062" s="87">
        <f>SUMIFS($AV$1035:AV1228,$Q$1035:Q1228,"O")</f>
        <v>-445.13333333327751</v>
      </c>
    </row>
    <row r="1063" spans="1:78" ht="15.75" customHeight="1">
      <c r="A1063" s="45" t="s">
        <v>3000</v>
      </c>
      <c r="B1063" s="59">
        <v>45520</v>
      </c>
      <c r="C1063" s="46" t="s">
        <v>3192</v>
      </c>
      <c r="D1063" s="46" t="s">
        <v>115</v>
      </c>
      <c r="E1063" s="66"/>
      <c r="F1063" s="47"/>
      <c r="G1063" s="114" t="s">
        <v>2712</v>
      </c>
      <c r="H1063" s="49"/>
      <c r="I1063" s="49"/>
      <c r="J1063" s="49"/>
      <c r="K1063" s="50"/>
      <c r="L1063" s="49"/>
      <c r="M1063" s="49">
        <v>1</v>
      </c>
      <c r="N1063" s="49"/>
      <c r="O1063" s="50" t="s">
        <v>100</v>
      </c>
      <c r="P1063" s="50" t="s">
        <v>101</v>
      </c>
      <c r="Q1063" s="50" t="s">
        <v>102</v>
      </c>
      <c r="R1063" s="50">
        <v>7</v>
      </c>
      <c r="S1063" s="50">
        <v>0</v>
      </c>
      <c r="T1063" s="50">
        <v>7</v>
      </c>
      <c r="U1063" s="50" t="s">
        <v>102</v>
      </c>
      <c r="V1063" s="50" t="s">
        <v>2898</v>
      </c>
      <c r="W1063" s="50" t="s">
        <v>155</v>
      </c>
      <c r="X1063" s="50" t="s">
        <v>3002</v>
      </c>
      <c r="Y1063" s="51">
        <f t="shared" si="446"/>
        <v>0.01</v>
      </c>
      <c r="Z1063" s="52">
        <f t="shared" si="447"/>
        <v>1600</v>
      </c>
      <c r="AA1063" s="52" t="s">
        <v>3193</v>
      </c>
      <c r="AB1063" s="52"/>
      <c r="AC1063" s="52"/>
      <c r="AD1063" s="231">
        <v>-0.19</v>
      </c>
      <c r="AE1063" s="49"/>
      <c r="AF1063" s="84"/>
      <c r="AG1063" s="49"/>
      <c r="AH1063" s="49"/>
      <c r="AI1063" s="49"/>
      <c r="AJ1063" s="226"/>
      <c r="AK1063" s="49"/>
      <c r="AL1063" s="113">
        <f t="shared" si="431"/>
        <v>-32</v>
      </c>
      <c r="AM1063" s="113">
        <f t="shared" si="432"/>
        <v>-224</v>
      </c>
      <c r="AN1063" s="218"/>
      <c r="AO1063" s="49"/>
      <c r="AP1063" s="49" t="s">
        <v>3194</v>
      </c>
      <c r="AQ1063" s="84" t="s">
        <v>142</v>
      </c>
      <c r="AR1063" s="49" t="s">
        <v>3195</v>
      </c>
      <c r="AS1063" s="55">
        <v>-0.2</v>
      </c>
      <c r="AT1063" s="55">
        <f t="shared" si="433"/>
        <v>1.0000000000000009E-2</v>
      </c>
      <c r="AU1063" s="54">
        <f t="shared" si="434"/>
        <v>112.0000000000001</v>
      </c>
      <c r="AV1063" s="56">
        <f t="shared" si="435"/>
        <v>16.000000000000014</v>
      </c>
      <c r="AW1063" s="57" t="s">
        <v>101</v>
      </c>
      <c r="AX1063" s="151"/>
      <c r="AY1063" s="151"/>
      <c r="AZ1063" s="151" t="s">
        <v>3196</v>
      </c>
      <c r="BA1063" s="151"/>
      <c r="BB1063" s="153"/>
      <c r="BC1063" s="153"/>
      <c r="BD1063" s="151"/>
      <c r="BE1063" s="152"/>
      <c r="BF1063" s="151"/>
      <c r="BG1063" s="94">
        <f>SUM($AV$1035:AV1063)</f>
        <v>-15.000000000005372</v>
      </c>
      <c r="BH1063" s="95">
        <f>SUM($AU$1035:AU1063)</f>
        <v>588.99999999999557</v>
      </c>
      <c r="BI1063" s="80">
        <f>SUMIFS($AU$1035:AU1229,$Q$1035:Q1229,"F")</f>
        <v>112.00000000000057</v>
      </c>
      <c r="BJ1063" s="80">
        <f>SUMIFS($AU$1035:AU1229,$Q$1035:Q1229,"S")</f>
        <v>-15.999999999994088</v>
      </c>
      <c r="BK1063" s="87">
        <f>SUMIFS($AU$1035:AU1229,$P$1035:P1229,"W")</f>
        <v>-960.00000000003297</v>
      </c>
      <c r="BL1063" s="87">
        <f>SUMIFS($AU$1035:AU1229,$P$1035:P1229,"R")</f>
        <v>1024.0000000000007</v>
      </c>
      <c r="BM1063" s="87">
        <f>SUMIFS($AU$1035:AU1229,$AQ$1035:AQ1229,"M")</f>
        <v>-899.79999999984489</v>
      </c>
      <c r="BN1063" s="87">
        <f>SUMIFS($AU$1035:AU1229,$AQ$1035:AQ1229,"H")</f>
        <v>1583.9999999998265</v>
      </c>
      <c r="BO1063" s="87">
        <f>SUMIFS($AU$1035:AU1229,$AQ$1035:AQ1229,"D")</f>
        <v>-479.9999999999896</v>
      </c>
      <c r="BP1063" s="87">
        <f>SUMIFS($AS$1035:AS1317,$AO$1035:AO1317,"W")</f>
        <v>0</v>
      </c>
      <c r="BQ1063" s="87">
        <f>SUMIFS($AU$1035:AU1229,$Q$1035:Q1229,"O")</f>
        <v>-1079.7999999999552</v>
      </c>
      <c r="BR1063" s="87">
        <f>SUMIFS($AU$1035:AU1229,$AA$1035:AA1229,"*")</f>
        <v>-499.79999999992333</v>
      </c>
      <c r="BS1063" s="87">
        <f>SUMIFS($AU$1035:AU1229,$AB$1035:AB1229,"*")</f>
        <v>-724.00000000009095</v>
      </c>
      <c r="BT1063" s="87">
        <f>SUMIFS($AU$1035:AU1229,$AC$1035:AC1229,"*")</f>
        <v>112.00000000000097</v>
      </c>
      <c r="BU1063" s="87">
        <f>SUMIFS($AU$1035:AU1229,$AA$1035:AA1229,"*",$AB$1035:AB1229,"*")</f>
        <v>47.999999999934744</v>
      </c>
      <c r="BV1063" s="87">
        <f>SUMIFS($AU$1035:AU1229,$AA$1035:AA1229,"*",$AC$1035:AC1229,"*")</f>
        <v>-335.99999999999977</v>
      </c>
      <c r="BW1063" s="87">
        <f>SUMIFS($AU$1035:AU1229,$AB$1035:AB1229,"*",$AC$1035:AC1229,"*")</f>
        <v>-143.99999999999966</v>
      </c>
      <c r="BX1063" s="87">
        <f>SUMIFS($AV$1035:AV1229,$Q$1035:Q1229,"F")</f>
        <v>34.153846153846246</v>
      </c>
      <c r="BY1063" s="87">
        <f>SUMIFS($AV$1035:AV1229,$Q$1035:Q1229,"S")</f>
        <v>20.914285714286223</v>
      </c>
      <c r="BZ1063" s="87">
        <f>SUMIFS($AV$1035:AV1229,$Q$1035:Q1229,"O")</f>
        <v>-445.13333333327751</v>
      </c>
    </row>
    <row r="1064" spans="1:78" ht="15.75" customHeight="1">
      <c r="A1064" s="45" t="s">
        <v>3000</v>
      </c>
      <c r="B1064" s="59">
        <v>45520</v>
      </c>
      <c r="C1064" s="46" t="s">
        <v>3197</v>
      </c>
      <c r="D1064" s="46" t="s">
        <v>115</v>
      </c>
      <c r="E1064" s="66"/>
      <c r="F1064" s="47"/>
      <c r="G1064" s="114" t="s">
        <v>2596</v>
      </c>
      <c r="H1064" s="49"/>
      <c r="I1064" s="49"/>
      <c r="J1064" s="49"/>
      <c r="K1064" s="50"/>
      <c r="L1064" s="49"/>
      <c r="M1064" s="49">
        <v>1</v>
      </c>
      <c r="N1064" s="49"/>
      <c r="O1064" s="50" t="s">
        <v>100</v>
      </c>
      <c r="P1064" s="50" t="s">
        <v>126</v>
      </c>
      <c r="Q1064" s="50" t="s">
        <v>102</v>
      </c>
      <c r="R1064" s="50">
        <v>7</v>
      </c>
      <c r="S1064" s="50">
        <v>0</v>
      </c>
      <c r="T1064" s="50">
        <v>2</v>
      </c>
      <c r="U1064" s="50" t="s">
        <v>22</v>
      </c>
      <c r="V1064" s="50" t="s">
        <v>2898</v>
      </c>
      <c r="W1064" s="50" t="s">
        <v>155</v>
      </c>
      <c r="X1064" s="50"/>
      <c r="Y1064" s="51">
        <f t="shared" si="446"/>
        <v>0.01</v>
      </c>
      <c r="Z1064" s="52">
        <f t="shared" si="447"/>
        <v>1600</v>
      </c>
      <c r="AA1064" s="52" t="s">
        <v>3198</v>
      </c>
      <c r="AB1064" s="52" t="s">
        <v>3199</v>
      </c>
      <c r="AC1064" s="52"/>
      <c r="AD1064" s="231">
        <v>-0.04</v>
      </c>
      <c r="AE1064" s="49"/>
      <c r="AF1064" s="84"/>
      <c r="AG1064" s="49"/>
      <c r="AH1064" s="49"/>
      <c r="AI1064" s="49"/>
      <c r="AJ1064" s="226"/>
      <c r="AK1064" s="49"/>
      <c r="AL1064" s="113">
        <f t="shared" si="431"/>
        <v>-32</v>
      </c>
      <c r="AM1064" s="113">
        <f t="shared" si="432"/>
        <v>-224</v>
      </c>
      <c r="AN1064" s="218"/>
      <c r="AO1064" s="49"/>
      <c r="AP1064" s="49"/>
      <c r="AQ1064" s="84" t="str">
        <f>UPPER(RIGHT(Journal_Live[[#This Row],[DURATION ]]))</f>
        <v/>
      </c>
      <c r="AR1064" s="49"/>
      <c r="AS1064" s="55">
        <v>-0.04</v>
      </c>
      <c r="AT1064" s="55">
        <f t="shared" si="433"/>
        <v>0</v>
      </c>
      <c r="AU1064" s="54">
        <f t="shared" si="434"/>
        <v>0</v>
      </c>
      <c r="AV1064" s="56">
        <f t="shared" si="435"/>
        <v>0</v>
      </c>
      <c r="AW1064" s="57" t="s">
        <v>155</v>
      </c>
      <c r="AX1064" s="151" t="s">
        <v>3200</v>
      </c>
      <c r="AY1064" s="151" t="s">
        <v>3201</v>
      </c>
      <c r="AZ1064" s="151"/>
      <c r="BA1064" s="151"/>
      <c r="BB1064" s="153"/>
      <c r="BC1064" s="153"/>
      <c r="BD1064" s="151"/>
      <c r="BE1064" s="152"/>
      <c r="BF1064" s="151"/>
      <c r="BG1064" s="94">
        <f>SUM($AV$1035:AV1064)</f>
        <v>-15.000000000005372</v>
      </c>
      <c r="BH1064" s="95">
        <f>SUM($AU$1035:AU1064)</f>
        <v>588.99999999999557</v>
      </c>
      <c r="BI1064" s="80">
        <f>SUMIFS($AU$1035:AU1230,$Q$1035:Q1230,"F")</f>
        <v>112.00000000000057</v>
      </c>
      <c r="BJ1064" s="80">
        <f>SUMIFS($AU$1035:AU1230,$Q$1035:Q1230,"S")</f>
        <v>-15.999999999994088</v>
      </c>
      <c r="BK1064" s="87">
        <f>SUMIFS($AU$1035:AU1230,$P$1035:P1230,"W")</f>
        <v>-960.00000000003297</v>
      </c>
      <c r="BL1064" s="87">
        <f>SUMIFS($AU$1035:AU1230,$P$1035:P1230,"R")</f>
        <v>1024.0000000000007</v>
      </c>
      <c r="BM1064" s="87">
        <f>SUMIFS($AU$1035:AU1230,$AQ$1035:AQ1230,"M")</f>
        <v>-899.79999999984489</v>
      </c>
      <c r="BN1064" s="87">
        <f>SUMIFS($AU$1035:AU1230,$AQ$1035:AQ1230,"H")</f>
        <v>1583.9999999998265</v>
      </c>
      <c r="BO1064" s="87">
        <f>SUMIFS($AU$1035:AU1230,$AQ$1035:AQ1230,"D")</f>
        <v>-479.9999999999896</v>
      </c>
      <c r="BP1064" s="87">
        <f>SUMIFS($AS$1035:AS1318,$AO$1035:AO1318,"W")</f>
        <v>0</v>
      </c>
      <c r="BQ1064" s="87">
        <f>SUMIFS($AU$1035:AU1230,$Q$1035:Q1230,"O")</f>
        <v>-1079.7999999999552</v>
      </c>
      <c r="BR1064" s="87">
        <f>SUMIFS($AU$1035:AU1230,$AA$1035:AA1230,"*")</f>
        <v>-499.79999999992333</v>
      </c>
      <c r="BS1064" s="87">
        <f>SUMIFS($AU$1035:AU1230,$AB$1035:AB1230,"*")</f>
        <v>-724.00000000009095</v>
      </c>
      <c r="BT1064" s="87">
        <f>SUMIFS($AU$1035:AU1230,$AC$1035:AC1230,"*")</f>
        <v>112.00000000000097</v>
      </c>
      <c r="BU1064" s="87">
        <f>SUMIFS($AU$1035:AU1230,$AA$1035:AA1230,"*",$AB$1035:AB1230,"*")</f>
        <v>47.999999999934744</v>
      </c>
      <c r="BV1064" s="87">
        <f>SUMIFS($AU$1035:AU1230,$AA$1035:AA1230,"*",$AC$1035:AC1230,"*")</f>
        <v>-335.99999999999977</v>
      </c>
      <c r="BW1064" s="87">
        <f>SUMIFS($AU$1035:AU1230,$AB$1035:AB1230,"*",$AC$1035:AC1230,"*")</f>
        <v>-143.99999999999966</v>
      </c>
      <c r="BX1064" s="87">
        <f>SUMIFS($AV$1035:AV1230,$Q$1035:Q1230,"F")</f>
        <v>34.153846153846246</v>
      </c>
      <c r="BY1064" s="87">
        <f>SUMIFS($AV$1035:AV1230,$Q$1035:Q1230,"S")</f>
        <v>20.914285714286223</v>
      </c>
      <c r="BZ1064" s="87">
        <f>SUMIFS($AV$1035:AV1230,$Q$1035:Q1230,"O")</f>
        <v>-445.13333333327751</v>
      </c>
    </row>
    <row r="1065" spans="1:78" ht="15.75" customHeight="1">
      <c r="A1065" s="45" t="s">
        <v>3000</v>
      </c>
      <c r="B1065" s="59">
        <v>45524</v>
      </c>
      <c r="C1065" s="46" t="s">
        <v>3202</v>
      </c>
      <c r="D1065" s="46" t="s">
        <v>98</v>
      </c>
      <c r="E1065" s="66"/>
      <c r="F1065" s="47"/>
      <c r="G1065" s="114" t="s">
        <v>3203</v>
      </c>
      <c r="H1065" s="49"/>
      <c r="I1065" s="49"/>
      <c r="J1065" s="49"/>
      <c r="K1065" s="50"/>
      <c r="L1065" s="49"/>
      <c r="M1065" s="49">
        <v>1</v>
      </c>
      <c r="N1065" s="49"/>
      <c r="O1065" s="50" t="s">
        <v>100</v>
      </c>
      <c r="P1065" s="50" t="s">
        <v>101</v>
      </c>
      <c r="Q1065" s="50" t="s">
        <v>127</v>
      </c>
      <c r="R1065" s="50">
        <v>2</v>
      </c>
      <c r="S1065" s="50">
        <v>0</v>
      </c>
      <c r="T1065" s="50">
        <v>2</v>
      </c>
      <c r="U1065" s="50" t="s">
        <v>22</v>
      </c>
      <c r="V1065" s="50" t="s">
        <v>2906</v>
      </c>
      <c r="W1065" s="50" t="s">
        <v>155</v>
      </c>
      <c r="X1065" s="50"/>
      <c r="Y1065" s="51">
        <f t="shared" si="446"/>
        <v>0.01</v>
      </c>
      <c r="Z1065" s="52">
        <f t="shared" si="447"/>
        <v>1600</v>
      </c>
      <c r="AA1065" s="52" t="s">
        <v>3204</v>
      </c>
      <c r="AB1065" s="52"/>
      <c r="AC1065" s="52"/>
      <c r="AD1065" s="231">
        <v>-0.05</v>
      </c>
      <c r="AE1065" s="49"/>
      <c r="AF1065" s="84"/>
      <c r="AG1065" s="49"/>
      <c r="AH1065" s="49"/>
      <c r="AI1065" s="49"/>
      <c r="AJ1065" s="226"/>
      <c r="AK1065" s="49"/>
      <c r="AL1065" s="113">
        <f t="shared" ref="AL1065:AL1073" si="453">-0.02*Z1065</f>
        <v>-32</v>
      </c>
      <c r="AM1065" s="113">
        <f t="shared" ref="AM1065:AM1073" si="454">AL1065*(R1065-S1065)</f>
        <v>-64</v>
      </c>
      <c r="AN1065" s="218"/>
      <c r="AO1065" s="49"/>
      <c r="AP1065" s="49"/>
      <c r="AQ1065" s="84" t="s">
        <v>142</v>
      </c>
      <c r="AR1065" s="49"/>
      <c r="AS1065" s="55">
        <v>-0.05</v>
      </c>
      <c r="AT1065" s="55">
        <f t="shared" ref="AT1065:AT1073" si="455">IF(ISBLANK(AS1065),,IF(U1065="S",AD1065-AS1065,AS1065-AD1065))</f>
        <v>0</v>
      </c>
      <c r="AU1065" s="54">
        <f t="shared" ref="AU1065:AU1073" si="456">AV1065*R1065</f>
        <v>0</v>
      </c>
      <c r="AV1065" s="56">
        <f t="shared" ref="AV1065:AV1073" si="457">IF(ISBLANK(AS1065),,(AT1065*Z1065))</f>
        <v>0</v>
      </c>
      <c r="AW1065" s="57" t="s">
        <v>155</v>
      </c>
      <c r="AX1065" s="151" t="s">
        <v>2867</v>
      </c>
      <c r="AY1065" s="151" t="s">
        <v>3205</v>
      </c>
      <c r="AZ1065" s="151"/>
      <c r="BA1065" s="151"/>
      <c r="BB1065" s="153"/>
      <c r="BC1065" s="153"/>
      <c r="BD1065" s="151"/>
      <c r="BE1065" s="152"/>
      <c r="BF1065" s="151"/>
      <c r="BG1065" s="94">
        <f>SUM($AV$1035:AV1065)</f>
        <v>-15.000000000005372</v>
      </c>
      <c r="BH1065" s="95">
        <f>SUM($AU$1035:AU1065)</f>
        <v>588.99999999999557</v>
      </c>
      <c r="BI1065" s="80">
        <f>SUMIFS($AU$1035:AU1217,$Q$1035:Q1217,"F")</f>
        <v>112.00000000000057</v>
      </c>
      <c r="BJ1065" s="80">
        <f>SUMIFS($AU$1035:AU1217,$Q$1035:Q1217,"S")</f>
        <v>-15.999999999994088</v>
      </c>
      <c r="BK1065" s="87">
        <f>SUMIFS($AU$1035:AU1217,$P$1035:P1217,"W")</f>
        <v>-960.00000000003297</v>
      </c>
      <c r="BL1065" s="87">
        <f>SUMIFS($AU$1035:AU1217,$P$1035:P1217,"R")</f>
        <v>1024.0000000000007</v>
      </c>
      <c r="BM1065" s="87">
        <f>SUMIFS($AU$1035:AU1217,$AQ$1035:AQ1217,"M")</f>
        <v>-899.79999999984489</v>
      </c>
      <c r="BN1065" s="87">
        <f>SUMIFS($AU$1035:AU1217,$AQ$1035:AQ1217,"H")</f>
        <v>1583.9999999998265</v>
      </c>
      <c r="BO1065" s="87">
        <f>SUMIFS($AU$1035:AU1217,$AQ$1035:AQ1217,"D")</f>
        <v>-479.9999999999896</v>
      </c>
      <c r="BP1065" s="87">
        <f>SUMIFS($AS$1035:AS1305,$AO$1035:AO1305,"W")</f>
        <v>0</v>
      </c>
      <c r="BQ1065" s="87">
        <f>SUMIFS($AU$1035:AU1217,$Q$1035:Q1217,"O")</f>
        <v>-1079.7999999999552</v>
      </c>
      <c r="BR1065" s="87">
        <f>SUMIFS($AU$1035:AU1217,$AA$1035:AA1217,"*")</f>
        <v>-499.79999999992333</v>
      </c>
      <c r="BS1065" s="87">
        <f>SUMIFS($AU$1035:AU1217,$AB$1035:AB1217,"*")</f>
        <v>-724.00000000009095</v>
      </c>
      <c r="BT1065" s="87">
        <f>SUMIFS($AU$1035:AU1217,$AC$1035:AC1217,"*")</f>
        <v>112.00000000000097</v>
      </c>
      <c r="BU1065" s="87">
        <f>SUMIFS($AU$1035:AU1217,$AA$1035:AA1217,"*",$AB$1035:AB1217,"*")</f>
        <v>47.999999999934744</v>
      </c>
      <c r="BV1065" s="87">
        <f>SUMIFS($AU$1035:AU1217,$AA$1035:AA1217,"*",$AC$1035:AC1217,"*")</f>
        <v>-335.99999999999977</v>
      </c>
      <c r="BW1065" s="87">
        <f>SUMIFS($AU$1035:AU1217,$AB$1035:AB1217,"*",$AC$1035:AC1217,"*")</f>
        <v>-143.99999999999966</v>
      </c>
      <c r="BX1065" s="87">
        <f>SUMIFS($AV$1035:AV1217,$Q$1035:Q1217,"F")</f>
        <v>34.153846153846246</v>
      </c>
      <c r="BY1065" s="87">
        <f>SUMIFS($AV$1035:AV1217,$Q$1035:Q1217,"S")</f>
        <v>20.914285714286223</v>
      </c>
      <c r="BZ1065" s="87">
        <f>SUMIFS($AV$1035:AV1217,$Q$1035:Q1217,"O")</f>
        <v>-445.13333333327751</v>
      </c>
    </row>
    <row r="1066" spans="1:78" ht="15.75" customHeight="1">
      <c r="A1066" s="45" t="s">
        <v>3000</v>
      </c>
      <c r="B1066" s="59">
        <v>45524</v>
      </c>
      <c r="C1066" s="46" t="s">
        <v>3202</v>
      </c>
      <c r="D1066" s="46" t="s">
        <v>98</v>
      </c>
      <c r="E1066" s="66"/>
      <c r="F1066" s="47"/>
      <c r="G1066" s="114" t="s">
        <v>2694</v>
      </c>
      <c r="H1066" s="49"/>
      <c r="I1066" s="49"/>
      <c r="J1066" s="49"/>
      <c r="K1066" s="50"/>
      <c r="L1066" s="49"/>
      <c r="M1066" s="49">
        <v>1</v>
      </c>
      <c r="N1066" s="49"/>
      <c r="O1066" s="50" t="s">
        <v>100</v>
      </c>
      <c r="P1066" s="50" t="s">
        <v>126</v>
      </c>
      <c r="Q1066" s="50" t="s">
        <v>102</v>
      </c>
      <c r="R1066" s="50">
        <v>7</v>
      </c>
      <c r="S1066" s="50">
        <v>0</v>
      </c>
      <c r="T1066" s="50">
        <v>7</v>
      </c>
      <c r="U1066" s="50" t="s">
        <v>22</v>
      </c>
      <c r="V1066" s="50" t="s">
        <v>2898</v>
      </c>
      <c r="W1066" s="50" t="s">
        <v>155</v>
      </c>
      <c r="X1066" s="50"/>
      <c r="Y1066" s="51">
        <f t="shared" si="446"/>
        <v>0.01</v>
      </c>
      <c r="Z1066" s="52">
        <f t="shared" si="447"/>
        <v>1600</v>
      </c>
      <c r="AA1066" s="52" t="s">
        <v>3206</v>
      </c>
      <c r="AB1066" s="52" t="s">
        <v>3207</v>
      </c>
      <c r="AC1066" s="52"/>
      <c r="AD1066" s="231">
        <v>-0.11</v>
      </c>
      <c r="AE1066" s="49"/>
      <c r="AF1066" s="84"/>
      <c r="AG1066" s="49"/>
      <c r="AH1066" s="49"/>
      <c r="AI1066" s="49"/>
      <c r="AJ1066" s="226" t="s">
        <v>3208</v>
      </c>
      <c r="AK1066" s="49"/>
      <c r="AL1066" s="113">
        <f t="shared" si="453"/>
        <v>-32</v>
      </c>
      <c r="AM1066" s="113">
        <f t="shared" si="454"/>
        <v>-224</v>
      </c>
      <c r="AN1066" s="218"/>
      <c r="AO1066" s="49"/>
      <c r="AP1066" s="49" t="s">
        <v>279</v>
      </c>
      <c r="AQ1066" s="84" t="s">
        <v>155</v>
      </c>
      <c r="AR1066" s="49" t="s">
        <v>3209</v>
      </c>
      <c r="AS1066" s="55">
        <v>-0.11</v>
      </c>
      <c r="AT1066" s="55">
        <f t="shared" si="455"/>
        <v>0</v>
      </c>
      <c r="AU1066" s="54">
        <f t="shared" si="456"/>
        <v>0</v>
      </c>
      <c r="AV1066" s="56">
        <f t="shared" si="457"/>
        <v>0</v>
      </c>
      <c r="AW1066" s="57" t="s">
        <v>155</v>
      </c>
      <c r="AX1066" s="151"/>
      <c r="AY1066" s="151"/>
      <c r="AZ1066" s="151"/>
      <c r="BA1066" s="151"/>
      <c r="BB1066" s="153"/>
      <c r="BC1066" s="153"/>
      <c r="BD1066" s="151"/>
      <c r="BE1066" s="152"/>
      <c r="BF1066" s="151"/>
      <c r="BG1066" s="94">
        <f>SUM($AV$1035:AV1066)</f>
        <v>-15.000000000005372</v>
      </c>
      <c r="BH1066" s="95">
        <f>SUM($AU$1035:AU1066)</f>
        <v>588.99999999999557</v>
      </c>
      <c r="BI1066" s="80">
        <f>SUMIFS($AU$1035:AU1218,$Q$1035:Q1218,"F")</f>
        <v>112.00000000000057</v>
      </c>
      <c r="BJ1066" s="80">
        <f>SUMIFS($AU$1035:AU1218,$Q$1035:Q1218,"S")</f>
        <v>-15.999999999994088</v>
      </c>
      <c r="BK1066" s="87">
        <f>SUMIFS($AU$1035:AU1218,$P$1035:P1218,"W")</f>
        <v>-960.00000000003297</v>
      </c>
      <c r="BL1066" s="87">
        <f>SUMIFS($AU$1035:AU1218,$P$1035:P1218,"R")</f>
        <v>1024.0000000000007</v>
      </c>
      <c r="BM1066" s="87">
        <f>SUMIFS($AU$1035:AU1218,$AQ$1035:AQ1218,"M")</f>
        <v>-899.79999999984489</v>
      </c>
      <c r="BN1066" s="87">
        <f>SUMIFS($AU$1035:AU1218,$AQ$1035:AQ1218,"H")</f>
        <v>1583.9999999998265</v>
      </c>
      <c r="BO1066" s="87">
        <f>SUMIFS($AU$1035:AU1218,$AQ$1035:AQ1218,"D")</f>
        <v>-479.9999999999896</v>
      </c>
      <c r="BP1066" s="87">
        <f>SUMIFS($AS$1035:AS1306,$AO$1035:AO1306,"W")</f>
        <v>0</v>
      </c>
      <c r="BQ1066" s="87">
        <f>SUMIFS($AU$1035:AU1218,$Q$1035:Q1218,"O")</f>
        <v>-1079.7999999999552</v>
      </c>
      <c r="BR1066" s="87">
        <f>SUMIFS($AU$1035:AU1218,$AA$1035:AA1218,"*")</f>
        <v>-499.79999999992333</v>
      </c>
      <c r="BS1066" s="87">
        <f>SUMIFS($AU$1035:AU1218,$AB$1035:AB1218,"*")</f>
        <v>-724.00000000009095</v>
      </c>
      <c r="BT1066" s="87">
        <f>SUMIFS($AU$1035:AU1218,$AC$1035:AC1218,"*")</f>
        <v>112.00000000000097</v>
      </c>
      <c r="BU1066" s="87">
        <f>SUMIFS($AU$1035:AU1218,$AA$1035:AA1218,"*",$AB$1035:AB1218,"*")</f>
        <v>47.999999999934744</v>
      </c>
      <c r="BV1066" s="87">
        <f>SUMIFS($AU$1035:AU1218,$AA$1035:AA1218,"*",$AC$1035:AC1218,"*")</f>
        <v>-335.99999999999977</v>
      </c>
      <c r="BW1066" s="87">
        <f>SUMIFS($AU$1035:AU1218,$AB$1035:AB1218,"*",$AC$1035:AC1218,"*")</f>
        <v>-143.99999999999966</v>
      </c>
      <c r="BX1066" s="87">
        <f>SUMIFS($AV$1035:AV1218,$Q$1035:Q1218,"F")</f>
        <v>34.153846153846246</v>
      </c>
      <c r="BY1066" s="87">
        <f>SUMIFS($AV$1035:AV1218,$Q$1035:Q1218,"S")</f>
        <v>20.914285714286223</v>
      </c>
      <c r="BZ1066" s="87">
        <f>SUMIFS($AV$1035:AV1218,$Q$1035:Q1218,"O")</f>
        <v>-445.13333333327751</v>
      </c>
    </row>
    <row r="1067" spans="1:78" ht="15.75" customHeight="1">
      <c r="A1067" s="45" t="s">
        <v>3000</v>
      </c>
      <c r="B1067" s="59">
        <v>45524</v>
      </c>
      <c r="C1067" s="46" t="s">
        <v>3202</v>
      </c>
      <c r="D1067" s="46" t="s">
        <v>98</v>
      </c>
      <c r="E1067" s="66"/>
      <c r="F1067" s="47"/>
      <c r="G1067" s="110" t="s">
        <v>269</v>
      </c>
      <c r="H1067" s="49"/>
      <c r="I1067" s="49"/>
      <c r="J1067" s="49"/>
      <c r="K1067" s="50"/>
      <c r="L1067" s="49"/>
      <c r="M1067" s="49">
        <v>1</v>
      </c>
      <c r="N1067" s="49"/>
      <c r="O1067" s="50" t="s">
        <v>100</v>
      </c>
      <c r="P1067" s="50" t="s">
        <v>126</v>
      </c>
      <c r="Q1067" s="50" t="s">
        <v>102</v>
      </c>
      <c r="R1067" s="50">
        <v>2</v>
      </c>
      <c r="S1067" s="50">
        <v>0</v>
      </c>
      <c r="T1067" s="50">
        <v>7</v>
      </c>
      <c r="U1067" s="50" t="s">
        <v>22</v>
      </c>
      <c r="V1067" s="50" t="s">
        <v>2898</v>
      </c>
      <c r="W1067" s="50" t="s">
        <v>155</v>
      </c>
      <c r="X1067" s="50"/>
      <c r="Y1067" s="51">
        <f t="shared" si="446"/>
        <v>0.01</v>
      </c>
      <c r="Z1067" s="52">
        <f t="shared" si="447"/>
        <v>1600</v>
      </c>
      <c r="AA1067" s="52" t="s">
        <v>3206</v>
      </c>
      <c r="AB1067" s="52" t="s">
        <v>3210</v>
      </c>
      <c r="AC1067" s="52" t="s">
        <v>3211</v>
      </c>
      <c r="AD1067" s="231">
        <v>-7.0000000000000007E-2</v>
      </c>
      <c r="AE1067" s="49"/>
      <c r="AF1067" s="84"/>
      <c r="AG1067" s="49"/>
      <c r="AH1067" s="49"/>
      <c r="AI1067" s="49"/>
      <c r="AJ1067" s="226"/>
      <c r="AK1067" s="49"/>
      <c r="AL1067" s="113">
        <f t="shared" si="453"/>
        <v>-32</v>
      </c>
      <c r="AM1067" s="113">
        <f t="shared" si="454"/>
        <v>-64</v>
      </c>
      <c r="AN1067" s="218"/>
      <c r="AO1067" s="49"/>
      <c r="AP1067" s="49"/>
      <c r="AQ1067" s="84" t="s">
        <v>142</v>
      </c>
      <c r="AR1067" s="49"/>
      <c r="AS1067" s="55">
        <v>-7.0000000000000007E-2</v>
      </c>
      <c r="AT1067" s="55">
        <f t="shared" si="455"/>
        <v>0</v>
      </c>
      <c r="AU1067" s="54">
        <f t="shared" si="456"/>
        <v>0</v>
      </c>
      <c r="AV1067" s="56">
        <f t="shared" si="457"/>
        <v>0</v>
      </c>
      <c r="AW1067" s="57" t="s">
        <v>155</v>
      </c>
      <c r="AX1067" s="151"/>
      <c r="AY1067" s="151"/>
      <c r="AZ1067" s="151"/>
      <c r="BA1067" s="151"/>
      <c r="BB1067" s="153"/>
      <c r="BC1067" s="153"/>
      <c r="BD1067" s="151"/>
      <c r="BE1067" s="152"/>
      <c r="BF1067" s="151"/>
      <c r="BG1067" s="94">
        <f>SUM($AV$1035:AV1067)</f>
        <v>-15.000000000005372</v>
      </c>
      <c r="BH1067" s="95">
        <f>SUM($AU$1035:AU1067)</f>
        <v>588.99999999999557</v>
      </c>
      <c r="BI1067" s="80">
        <f>SUMIFS($AU$1035:AU1219,$Q$1035:Q1219,"F")</f>
        <v>112.00000000000057</v>
      </c>
      <c r="BJ1067" s="80">
        <f>SUMIFS($AU$1035:AU1219,$Q$1035:Q1219,"S")</f>
        <v>-15.999999999994088</v>
      </c>
      <c r="BK1067" s="87">
        <f>SUMIFS($AU$1035:AU1219,$P$1035:P1219,"W")</f>
        <v>-960.00000000003297</v>
      </c>
      <c r="BL1067" s="87">
        <f>SUMIFS($AU$1035:AU1219,$P$1035:P1219,"R")</f>
        <v>1024.0000000000007</v>
      </c>
      <c r="BM1067" s="87">
        <f>SUMIFS($AU$1035:AU1219,$AQ$1035:AQ1219,"M")</f>
        <v>-899.79999999984489</v>
      </c>
      <c r="BN1067" s="87">
        <f>SUMIFS($AU$1035:AU1219,$AQ$1035:AQ1219,"H")</f>
        <v>1583.9999999998265</v>
      </c>
      <c r="BO1067" s="87">
        <f>SUMIFS($AU$1035:AU1219,$AQ$1035:AQ1219,"D")</f>
        <v>-479.9999999999896</v>
      </c>
      <c r="BP1067" s="87">
        <f>SUMIFS($AS$1035:AS1307,$AO$1035:AO1307,"W")</f>
        <v>0</v>
      </c>
      <c r="BQ1067" s="87">
        <f>SUMIFS($AU$1035:AU1219,$Q$1035:Q1219,"O")</f>
        <v>-1079.7999999999552</v>
      </c>
      <c r="BR1067" s="87">
        <f>SUMIFS($AU$1035:AU1219,$AA$1035:AA1219,"*")</f>
        <v>-499.79999999992333</v>
      </c>
      <c r="BS1067" s="87">
        <f>SUMIFS($AU$1035:AU1219,$AB$1035:AB1219,"*")</f>
        <v>-724.00000000009095</v>
      </c>
      <c r="BT1067" s="87">
        <f>SUMIFS($AU$1035:AU1219,$AC$1035:AC1219,"*")</f>
        <v>112.00000000000097</v>
      </c>
      <c r="BU1067" s="87">
        <f>SUMIFS($AU$1035:AU1219,$AA$1035:AA1219,"*",$AB$1035:AB1219,"*")</f>
        <v>47.999999999934744</v>
      </c>
      <c r="BV1067" s="87">
        <f>SUMIFS($AU$1035:AU1219,$AA$1035:AA1219,"*",$AC$1035:AC1219,"*")</f>
        <v>-335.99999999999977</v>
      </c>
      <c r="BW1067" s="87">
        <f>SUMIFS($AU$1035:AU1219,$AB$1035:AB1219,"*",$AC$1035:AC1219,"*")</f>
        <v>-143.99999999999966</v>
      </c>
      <c r="BX1067" s="87">
        <f>SUMIFS($AV$1035:AV1219,$Q$1035:Q1219,"F")</f>
        <v>34.153846153846246</v>
      </c>
      <c r="BY1067" s="87">
        <f>SUMIFS($AV$1035:AV1219,$Q$1035:Q1219,"S")</f>
        <v>20.914285714286223</v>
      </c>
      <c r="BZ1067" s="87">
        <f>SUMIFS($AV$1035:AV1219,$Q$1035:Q1219,"O")</f>
        <v>-445.13333333327751</v>
      </c>
    </row>
    <row r="1068" spans="1:78" ht="15.75" customHeight="1">
      <c r="A1068" s="45" t="s">
        <v>3000</v>
      </c>
      <c r="B1068" s="59">
        <v>45525</v>
      </c>
      <c r="C1068" s="46" t="s">
        <v>595</v>
      </c>
      <c r="D1068" s="46" t="s">
        <v>98</v>
      </c>
      <c r="E1068" s="66"/>
      <c r="F1068" s="47"/>
      <c r="G1068" s="114" t="s">
        <v>1069</v>
      </c>
      <c r="H1068" s="49"/>
      <c r="I1068" s="49"/>
      <c r="J1068" s="49"/>
      <c r="K1068" s="50"/>
      <c r="L1068" s="49"/>
      <c r="M1068" s="49">
        <v>1</v>
      </c>
      <c r="N1068" s="49"/>
      <c r="O1068" s="50" t="s">
        <v>100</v>
      </c>
      <c r="P1068" s="50" t="s">
        <v>126</v>
      </c>
      <c r="Q1068" s="50" t="s">
        <v>127</v>
      </c>
      <c r="R1068" s="50">
        <v>5</v>
      </c>
      <c r="S1068" s="50">
        <v>0</v>
      </c>
      <c r="T1068" s="50">
        <v>5</v>
      </c>
      <c r="U1068" s="50" t="s">
        <v>22</v>
      </c>
      <c r="V1068" s="50" t="s">
        <v>2906</v>
      </c>
      <c r="W1068" s="50" t="s">
        <v>155</v>
      </c>
      <c r="X1068" s="50" t="s">
        <v>3125</v>
      </c>
      <c r="Y1068" s="51">
        <f t="shared" si="446"/>
        <v>0.01</v>
      </c>
      <c r="Z1068" s="52">
        <f t="shared" si="447"/>
        <v>1600</v>
      </c>
      <c r="AA1068" s="52" t="s">
        <v>3212</v>
      </c>
      <c r="AB1068" s="52"/>
      <c r="AC1068" s="52"/>
      <c r="AD1068" s="231">
        <v>-0.03</v>
      </c>
      <c r="AE1068" s="49"/>
      <c r="AF1068" s="84"/>
      <c r="AG1068" s="49"/>
      <c r="AH1068" s="49"/>
      <c r="AI1068" s="49"/>
      <c r="AJ1068" s="226"/>
      <c r="AK1068" s="49"/>
      <c r="AL1068" s="113">
        <f t="shared" si="453"/>
        <v>-32</v>
      </c>
      <c r="AM1068" s="113">
        <f t="shared" si="454"/>
        <v>-160</v>
      </c>
      <c r="AN1068" s="218"/>
      <c r="AO1068" s="49"/>
      <c r="AP1068" s="49"/>
      <c r="AQ1068" s="84" t="s">
        <v>142</v>
      </c>
      <c r="AR1068" s="49" t="s">
        <v>3213</v>
      </c>
      <c r="AS1068" s="55">
        <v>-0.02</v>
      </c>
      <c r="AT1068" s="55">
        <f t="shared" si="455"/>
        <v>9.9999999999999985E-3</v>
      </c>
      <c r="AU1068" s="54">
        <f t="shared" si="456"/>
        <v>79.999999999999986</v>
      </c>
      <c r="AV1068" s="56">
        <f t="shared" si="457"/>
        <v>15.999999999999998</v>
      </c>
      <c r="AW1068" s="57" t="s">
        <v>101</v>
      </c>
      <c r="AX1068" s="151"/>
      <c r="AY1068" s="151"/>
      <c r="AZ1068" s="151"/>
      <c r="BA1068" s="151"/>
      <c r="BB1068" s="153"/>
      <c r="BC1068" s="153"/>
      <c r="BD1068" s="151"/>
      <c r="BE1068" s="152"/>
      <c r="BF1068" s="151"/>
      <c r="BG1068" s="94">
        <f>SUM($AV$1035:AV1068)</f>
        <v>0.99999999999462652</v>
      </c>
      <c r="BH1068" s="95">
        <f>SUM($AU$1035:AU1068)</f>
        <v>668.99999999999557</v>
      </c>
      <c r="BI1068" s="80">
        <f>SUMIFS($AU$1035:AU1220,$Q$1035:Q1220,"F")</f>
        <v>112.00000000000057</v>
      </c>
      <c r="BJ1068" s="80">
        <f>SUMIFS($AU$1035:AU1220,$Q$1035:Q1220,"S")</f>
        <v>-15.999999999994088</v>
      </c>
      <c r="BK1068" s="87">
        <f>SUMIFS($AU$1035:AU1220,$P$1035:P1220,"W")</f>
        <v>-960.00000000003297</v>
      </c>
      <c r="BL1068" s="87">
        <f>SUMIFS($AU$1035:AU1220,$P$1035:P1220,"R")</f>
        <v>1024.0000000000007</v>
      </c>
      <c r="BM1068" s="87">
        <f>SUMIFS($AU$1035:AU1220,$AQ$1035:AQ1220,"M")</f>
        <v>-899.79999999984489</v>
      </c>
      <c r="BN1068" s="87">
        <f>SUMIFS($AU$1035:AU1220,$AQ$1035:AQ1220,"H")</f>
        <v>1583.9999999998265</v>
      </c>
      <c r="BO1068" s="87">
        <f>SUMIFS($AU$1035:AU1220,$AQ$1035:AQ1220,"D")</f>
        <v>-479.9999999999896</v>
      </c>
      <c r="BP1068" s="87">
        <f>SUMIFS($AS$1035:AS1308,$AO$1035:AO1308,"W")</f>
        <v>0</v>
      </c>
      <c r="BQ1068" s="87">
        <f>SUMIFS($AU$1035:AU1220,$Q$1035:Q1220,"O")</f>
        <v>-1079.7999999999552</v>
      </c>
      <c r="BR1068" s="87">
        <f>SUMIFS($AU$1035:AU1220,$AA$1035:AA1220,"*")</f>
        <v>-499.79999999992333</v>
      </c>
      <c r="BS1068" s="87">
        <f>SUMIFS($AU$1035:AU1220,$AB$1035:AB1220,"*")</f>
        <v>-724.00000000009095</v>
      </c>
      <c r="BT1068" s="87">
        <f>SUMIFS($AU$1035:AU1220,$AC$1035:AC1220,"*")</f>
        <v>112.00000000000097</v>
      </c>
      <c r="BU1068" s="87">
        <f>SUMIFS($AU$1035:AU1220,$AA$1035:AA1220,"*",$AB$1035:AB1220,"*")</f>
        <v>47.999999999934744</v>
      </c>
      <c r="BV1068" s="87">
        <f>SUMIFS($AU$1035:AU1220,$AA$1035:AA1220,"*",$AC$1035:AC1220,"*")</f>
        <v>-335.99999999999977</v>
      </c>
      <c r="BW1068" s="87">
        <f>SUMIFS($AU$1035:AU1220,$AB$1035:AB1220,"*",$AC$1035:AC1220,"*")</f>
        <v>-143.99999999999966</v>
      </c>
      <c r="BX1068" s="87">
        <f>SUMIFS($AV$1035:AV1220,$Q$1035:Q1220,"F")</f>
        <v>34.153846153846246</v>
      </c>
      <c r="BY1068" s="87">
        <f>SUMIFS($AV$1035:AV1220,$Q$1035:Q1220,"S")</f>
        <v>20.914285714286223</v>
      </c>
      <c r="BZ1068" s="87">
        <f>SUMIFS($AV$1035:AV1220,$Q$1035:Q1220,"O")</f>
        <v>-445.13333333327751</v>
      </c>
    </row>
    <row r="1069" spans="1:78" ht="15.75" customHeight="1">
      <c r="A1069" s="45" t="s">
        <v>3000</v>
      </c>
      <c r="B1069" s="59"/>
      <c r="C1069" s="46"/>
      <c r="D1069" s="46"/>
      <c r="E1069" s="66"/>
      <c r="F1069" s="47"/>
      <c r="G1069" s="48"/>
      <c r="H1069" s="49"/>
      <c r="I1069" s="49"/>
      <c r="J1069" s="49"/>
      <c r="K1069" s="50"/>
      <c r="L1069" s="49"/>
      <c r="M1069" s="49"/>
      <c r="N1069" s="49"/>
      <c r="O1069" s="50"/>
      <c r="P1069" s="50"/>
      <c r="Q1069" s="50"/>
      <c r="R1069" s="50"/>
      <c r="S1069" s="50"/>
      <c r="T1069" s="50"/>
      <c r="U1069" s="50"/>
      <c r="V1069" s="50"/>
      <c r="W1069" s="50"/>
      <c r="X1069" s="50"/>
      <c r="Y1069" s="51"/>
      <c r="Z1069" s="52"/>
      <c r="AA1069" s="52"/>
      <c r="AB1069" s="52"/>
      <c r="AC1069" s="52"/>
      <c r="AD1069" s="231"/>
      <c r="AE1069" s="49"/>
      <c r="AF1069" s="84"/>
      <c r="AG1069" s="49"/>
      <c r="AH1069" s="49"/>
      <c r="AI1069" s="49"/>
      <c r="AJ1069" s="226"/>
      <c r="AK1069" s="49"/>
      <c r="AL1069" s="113">
        <f t="shared" si="453"/>
        <v>0</v>
      </c>
      <c r="AM1069" s="113">
        <f t="shared" si="454"/>
        <v>0</v>
      </c>
      <c r="AN1069" s="218"/>
      <c r="AO1069" s="49"/>
      <c r="AP1069" s="49"/>
      <c r="AQ1069" s="84" t="str">
        <f>UPPER(RIGHT(Journal_Live[[#This Row],[DURATION ]]))</f>
        <v/>
      </c>
      <c r="AR1069" s="49"/>
      <c r="AS1069" s="55"/>
      <c r="AT1069" s="55">
        <f t="shared" si="455"/>
        <v>0</v>
      </c>
      <c r="AU1069" s="54">
        <f t="shared" si="456"/>
        <v>0</v>
      </c>
      <c r="AV1069" s="56">
        <f t="shared" si="457"/>
        <v>0</v>
      </c>
      <c r="AW1069" s="57"/>
      <c r="AX1069" s="151" t="s">
        <v>3214</v>
      </c>
      <c r="AY1069" s="225" t="s">
        <v>3215</v>
      </c>
      <c r="AZ1069" s="225" t="s">
        <v>3216</v>
      </c>
      <c r="BA1069" s="225" t="s">
        <v>3217</v>
      </c>
      <c r="BB1069" s="225" t="s">
        <v>3218</v>
      </c>
      <c r="BC1069" s="225" t="s">
        <v>3219</v>
      </c>
      <c r="BD1069" s="225" t="s">
        <v>3220</v>
      </c>
      <c r="BE1069" s="152"/>
      <c r="BF1069" s="151"/>
      <c r="BG1069" s="94">
        <f>SUM($AV$1035:AV1069)</f>
        <v>0.99999999999462652</v>
      </c>
      <c r="BH1069" s="95">
        <f>SUM($AU$1035:AU1069)</f>
        <v>668.99999999999557</v>
      </c>
      <c r="BI1069" s="80">
        <f>SUMIFS($AU$1035:AU1221,$Q$1035:Q1221,"F")</f>
        <v>112.00000000000057</v>
      </c>
      <c r="BJ1069" s="80">
        <f>SUMIFS($AU$1035:AU1221,$Q$1035:Q1221,"S")</f>
        <v>-15.999999999994088</v>
      </c>
      <c r="BK1069" s="87">
        <f>SUMIFS($AU$1035:AU1221,$P$1035:P1221,"W")</f>
        <v>-960.00000000003297</v>
      </c>
      <c r="BL1069" s="87">
        <f>SUMIFS($AU$1035:AU1221,$P$1035:P1221,"R")</f>
        <v>1024.0000000000007</v>
      </c>
      <c r="BM1069" s="87">
        <f>SUMIFS($AU$1035:AU1221,$AQ$1035:AQ1221,"M")</f>
        <v>-899.79999999984489</v>
      </c>
      <c r="BN1069" s="87">
        <f>SUMIFS($AU$1035:AU1221,$AQ$1035:AQ1221,"H")</f>
        <v>1583.9999999998265</v>
      </c>
      <c r="BO1069" s="87">
        <f>SUMIFS($AU$1035:AU1221,$AQ$1035:AQ1221,"D")</f>
        <v>-479.9999999999896</v>
      </c>
      <c r="BP1069" s="87">
        <f>SUMIFS($AS$1035:AS1309,$AO$1035:AO1309,"W")</f>
        <v>0</v>
      </c>
      <c r="BQ1069" s="87">
        <f>SUMIFS($AU$1035:AU1221,$Q$1035:Q1221,"O")</f>
        <v>-1079.7999999999552</v>
      </c>
      <c r="BR1069" s="87">
        <f>SUMIFS($AU$1035:AU1221,$AA$1035:AA1221,"*")</f>
        <v>-499.79999999992333</v>
      </c>
      <c r="BS1069" s="87">
        <f>SUMIFS($AU$1035:AU1221,$AB$1035:AB1221,"*")</f>
        <v>-724.00000000009095</v>
      </c>
      <c r="BT1069" s="87">
        <f>SUMIFS($AU$1035:AU1221,$AC$1035:AC1221,"*")</f>
        <v>112.00000000000097</v>
      </c>
      <c r="BU1069" s="87">
        <f>SUMIFS($AU$1035:AU1221,$AA$1035:AA1221,"*",$AB$1035:AB1221,"*")</f>
        <v>47.999999999934744</v>
      </c>
      <c r="BV1069" s="87">
        <f>SUMIFS($AU$1035:AU1221,$AA$1035:AA1221,"*",$AC$1035:AC1221,"*")</f>
        <v>-335.99999999999977</v>
      </c>
      <c r="BW1069" s="87">
        <f>SUMIFS($AU$1035:AU1221,$AB$1035:AB1221,"*",$AC$1035:AC1221,"*")</f>
        <v>-143.99999999999966</v>
      </c>
      <c r="BX1069" s="87">
        <f>SUMIFS($AV$1035:AV1221,$Q$1035:Q1221,"F")</f>
        <v>34.153846153846246</v>
      </c>
      <c r="BY1069" s="87">
        <f>SUMIFS($AV$1035:AV1221,$Q$1035:Q1221,"S")</f>
        <v>20.914285714286223</v>
      </c>
      <c r="BZ1069" s="87">
        <f>SUMIFS($AV$1035:AV1221,$Q$1035:Q1221,"O")</f>
        <v>-445.13333333327751</v>
      </c>
    </row>
    <row r="1070" spans="1:78" ht="15.75" customHeight="1">
      <c r="A1070" s="45" t="s">
        <v>3000</v>
      </c>
      <c r="B1070" s="59"/>
      <c r="C1070" s="46"/>
      <c r="D1070" s="46"/>
      <c r="E1070" s="66"/>
      <c r="F1070" s="47"/>
      <c r="G1070" s="48"/>
      <c r="H1070" s="49"/>
      <c r="I1070" s="49"/>
      <c r="J1070" s="49"/>
      <c r="K1070" s="50"/>
      <c r="L1070" s="49"/>
      <c r="M1070" s="49"/>
      <c r="N1070" s="49"/>
      <c r="O1070" s="50"/>
      <c r="P1070" s="50"/>
      <c r="Q1070" s="50"/>
      <c r="R1070" s="50"/>
      <c r="S1070" s="50"/>
      <c r="T1070" s="50"/>
      <c r="U1070" s="50"/>
      <c r="V1070" s="50"/>
      <c r="W1070" s="50"/>
      <c r="X1070" s="50"/>
      <c r="Y1070" s="51"/>
      <c r="Z1070" s="52"/>
      <c r="AA1070" s="52"/>
      <c r="AB1070" s="52"/>
      <c r="AC1070" s="52"/>
      <c r="AD1070" s="231"/>
      <c r="AE1070" s="49"/>
      <c r="AF1070" s="84"/>
      <c r="AG1070" s="49"/>
      <c r="AH1070" s="49"/>
      <c r="AI1070" s="49"/>
      <c r="AJ1070" s="226"/>
      <c r="AK1070" s="49"/>
      <c r="AL1070" s="113">
        <f t="shared" si="453"/>
        <v>0</v>
      </c>
      <c r="AM1070" s="113">
        <f t="shared" si="454"/>
        <v>0</v>
      </c>
      <c r="AN1070" s="218"/>
      <c r="AO1070" s="49"/>
      <c r="AP1070" s="49"/>
      <c r="AQ1070" s="84" t="str">
        <f>UPPER(RIGHT(Journal_Live[[#This Row],[DURATION ]]))</f>
        <v/>
      </c>
      <c r="AR1070" s="49"/>
      <c r="AS1070" s="55"/>
      <c r="AT1070" s="55">
        <f t="shared" si="455"/>
        <v>0</v>
      </c>
      <c r="AU1070" s="54">
        <f t="shared" si="456"/>
        <v>0</v>
      </c>
      <c r="AV1070" s="56">
        <f t="shared" si="457"/>
        <v>0</v>
      </c>
      <c r="AW1070" s="57"/>
      <c r="AX1070" s="151" t="s">
        <v>3221</v>
      </c>
      <c r="AY1070" s="151" t="s">
        <v>3222</v>
      </c>
      <c r="AZ1070" s="151"/>
      <c r="BA1070" s="151"/>
      <c r="BB1070" s="153"/>
      <c r="BC1070" s="153"/>
      <c r="BD1070" s="151"/>
      <c r="BE1070" s="152"/>
      <c r="BF1070" s="151"/>
      <c r="BG1070" s="94">
        <f>SUM($AV$1035:AV1070)</f>
        <v>0.99999999999462652</v>
      </c>
      <c r="BH1070" s="95">
        <f>SUM($AU$1035:AU1070)</f>
        <v>668.99999999999557</v>
      </c>
      <c r="BI1070" s="80">
        <f>SUMIFS($AU$1035:AU1222,$Q$1035:Q1222,"F")</f>
        <v>112.00000000000057</v>
      </c>
      <c r="BJ1070" s="80">
        <f>SUMIFS($AU$1035:AU1222,$Q$1035:Q1222,"S")</f>
        <v>-15.999999999994088</v>
      </c>
      <c r="BK1070" s="87">
        <f>SUMIFS($AU$1035:AU1222,$P$1035:P1222,"W")</f>
        <v>-960.00000000003297</v>
      </c>
      <c r="BL1070" s="87">
        <f>SUMIFS($AU$1035:AU1222,$P$1035:P1222,"R")</f>
        <v>1024.0000000000007</v>
      </c>
      <c r="BM1070" s="87">
        <f>SUMIFS($AU$1035:AU1222,$AQ$1035:AQ1222,"M")</f>
        <v>-899.79999999984489</v>
      </c>
      <c r="BN1070" s="87">
        <f>SUMIFS($AU$1035:AU1222,$AQ$1035:AQ1222,"H")</f>
        <v>1583.9999999998265</v>
      </c>
      <c r="BO1070" s="87">
        <f>SUMIFS($AU$1035:AU1222,$AQ$1035:AQ1222,"D")</f>
        <v>-479.9999999999896</v>
      </c>
      <c r="BP1070" s="87">
        <f>SUMIFS($AS$1035:AS1310,$AO$1035:AO1310,"W")</f>
        <v>0</v>
      </c>
      <c r="BQ1070" s="87">
        <f>SUMIFS($AU$1035:AU1222,$Q$1035:Q1222,"O")</f>
        <v>-1079.7999999999552</v>
      </c>
      <c r="BR1070" s="87">
        <f>SUMIFS($AU$1035:AU1222,$AA$1035:AA1222,"*")</f>
        <v>-499.79999999992333</v>
      </c>
      <c r="BS1070" s="87">
        <f>SUMIFS($AU$1035:AU1222,$AB$1035:AB1222,"*")</f>
        <v>-724.00000000009095</v>
      </c>
      <c r="BT1070" s="87">
        <f>SUMIFS($AU$1035:AU1222,$AC$1035:AC1222,"*")</f>
        <v>112.00000000000097</v>
      </c>
      <c r="BU1070" s="87">
        <f>SUMIFS($AU$1035:AU1222,$AA$1035:AA1222,"*",$AB$1035:AB1222,"*")</f>
        <v>47.999999999934744</v>
      </c>
      <c r="BV1070" s="87">
        <f>SUMIFS($AU$1035:AU1222,$AA$1035:AA1222,"*",$AC$1035:AC1222,"*")</f>
        <v>-335.99999999999977</v>
      </c>
      <c r="BW1070" s="87">
        <f>SUMIFS($AU$1035:AU1222,$AB$1035:AB1222,"*",$AC$1035:AC1222,"*")</f>
        <v>-143.99999999999966</v>
      </c>
      <c r="BX1070" s="87">
        <f>SUMIFS($AV$1035:AV1222,$Q$1035:Q1222,"F")</f>
        <v>34.153846153846246</v>
      </c>
      <c r="BY1070" s="87">
        <f>SUMIFS($AV$1035:AV1222,$Q$1035:Q1222,"S")</f>
        <v>20.914285714286223</v>
      </c>
      <c r="BZ1070" s="87">
        <f>SUMIFS($AV$1035:AV1222,$Q$1035:Q1222,"O")</f>
        <v>-445.13333333327751</v>
      </c>
    </row>
    <row r="1071" spans="1:78" ht="15.75" customHeight="1">
      <c r="A1071" s="45" t="s">
        <v>3000</v>
      </c>
      <c r="B1071" s="59">
        <v>45525</v>
      </c>
      <c r="C1071" s="46" t="s">
        <v>687</v>
      </c>
      <c r="D1071" s="46" t="s">
        <v>98</v>
      </c>
      <c r="E1071" s="66" t="s">
        <v>3223</v>
      </c>
      <c r="F1071" s="47"/>
      <c r="G1071" s="48" t="s">
        <v>2945</v>
      </c>
      <c r="H1071" s="49"/>
      <c r="I1071" s="49"/>
      <c r="J1071" s="49"/>
      <c r="K1071" s="50"/>
      <c r="L1071" s="49">
        <v>1</v>
      </c>
      <c r="M1071" s="49"/>
      <c r="N1071" s="49"/>
      <c r="O1071" s="50" t="s">
        <v>476</v>
      </c>
      <c r="P1071" s="50"/>
      <c r="Q1071" s="50" t="s">
        <v>198</v>
      </c>
      <c r="R1071" s="50">
        <v>2</v>
      </c>
      <c r="S1071" s="50">
        <v>0</v>
      </c>
      <c r="T1071" s="50">
        <v>2</v>
      </c>
      <c r="U1071" s="50" t="s">
        <v>102</v>
      </c>
      <c r="V1071" s="50" t="s">
        <v>2898</v>
      </c>
      <c r="W1071" s="50" t="s">
        <v>155</v>
      </c>
      <c r="X1071" s="50"/>
      <c r="Y1071" s="51">
        <f>IF(ISBLANK(O1071),"",(IF(O1071=UPPER("IB"),0.005,0.01)))</f>
        <v>0.01</v>
      </c>
      <c r="Z1071" s="52">
        <f>IF(ISBLANK(O1071),"",IF(O1071="IB",8.63*200,IF(O1071="IR",16*100,IF(O1071="YT",20*100,IF(O1071="YT-XT",24*200,IF(O1071="TED",80*100,IF(O1071="XT",29*200)))))))</f>
        <v>2000</v>
      </c>
      <c r="AA1071" s="52" t="s">
        <v>1208</v>
      </c>
      <c r="AB1071" s="52"/>
      <c r="AC1071" s="52"/>
      <c r="AD1071" s="231">
        <v>96.49</v>
      </c>
      <c r="AE1071" s="49"/>
      <c r="AF1071" s="84"/>
      <c r="AG1071" s="49"/>
      <c r="AH1071" s="49"/>
      <c r="AI1071" s="49"/>
      <c r="AJ1071" s="226"/>
      <c r="AK1071" s="49"/>
      <c r="AL1071" s="113">
        <f t="shared" si="453"/>
        <v>-40</v>
      </c>
      <c r="AM1071" s="113">
        <f t="shared" si="454"/>
        <v>-80</v>
      </c>
      <c r="AN1071" s="218"/>
      <c r="AO1071" s="49"/>
      <c r="AP1071" s="49"/>
      <c r="AQ1071" s="84" t="s">
        <v>350</v>
      </c>
      <c r="AR1071" s="49"/>
      <c r="AS1071" s="55">
        <v>96.504999999999995</v>
      </c>
      <c r="AT1071" s="55">
        <f t="shared" si="455"/>
        <v>-1.5000000000000568E-2</v>
      </c>
      <c r="AU1071" s="54">
        <f t="shared" si="456"/>
        <v>-60.000000000002274</v>
      </c>
      <c r="AV1071" s="56">
        <f t="shared" si="457"/>
        <v>-30.000000000001137</v>
      </c>
      <c r="AW1071" s="57" t="s">
        <v>121</v>
      </c>
      <c r="AX1071" s="151"/>
      <c r="AY1071" s="151"/>
      <c r="AZ1071" s="151"/>
      <c r="BA1071" s="151"/>
      <c r="BB1071" s="153"/>
      <c r="BC1071" s="153"/>
      <c r="BD1071" s="151"/>
      <c r="BE1071" s="152"/>
      <c r="BF1071" s="151"/>
      <c r="BG1071" s="94">
        <f>SUM($AV$1035:AV1071)</f>
        <v>-29.000000000006509</v>
      </c>
      <c r="BH1071" s="95">
        <f>SUM($AU$1035:AU1071)</f>
        <v>608.99999999999329</v>
      </c>
      <c r="BI1071" s="80">
        <f>SUMIFS($AU$1035:AU1223,$Q$1035:Q1223,"F")</f>
        <v>112.00000000000057</v>
      </c>
      <c r="BJ1071" s="80">
        <f>SUMIFS($AU$1035:AU1223,$Q$1035:Q1223,"S")</f>
        <v>-15.999999999994088</v>
      </c>
      <c r="BK1071" s="87">
        <f>SUMIFS($AU$1035:AU1223,$P$1035:P1223,"W")</f>
        <v>-960.00000000003297</v>
      </c>
      <c r="BL1071" s="87">
        <f>SUMIFS($AU$1035:AU1223,$P$1035:P1223,"R")</f>
        <v>1024.0000000000007</v>
      </c>
      <c r="BM1071" s="87">
        <f>SUMIFS($AU$1035:AU1223,$AQ$1035:AQ1223,"M")</f>
        <v>-899.79999999984489</v>
      </c>
      <c r="BN1071" s="87">
        <f>SUMIFS($AU$1035:AU1223,$AQ$1035:AQ1223,"H")</f>
        <v>1583.9999999998265</v>
      </c>
      <c r="BO1071" s="87">
        <f>SUMIFS($AU$1035:AU1223,$AQ$1035:AQ1223,"D")</f>
        <v>-479.9999999999896</v>
      </c>
      <c r="BP1071" s="87">
        <f>SUMIFS($AS$1035:AS1311,$AO$1035:AO1311,"W")</f>
        <v>0</v>
      </c>
      <c r="BQ1071" s="87">
        <f>SUMIFS($AU$1035:AU1223,$Q$1035:Q1223,"O")</f>
        <v>-1079.7999999999552</v>
      </c>
      <c r="BR1071" s="87">
        <f>SUMIFS($AU$1035:AU1223,$AA$1035:AA1223,"*")</f>
        <v>-499.79999999992333</v>
      </c>
      <c r="BS1071" s="87">
        <f>SUMIFS($AU$1035:AU1223,$AB$1035:AB1223,"*")</f>
        <v>-724.00000000009095</v>
      </c>
      <c r="BT1071" s="87">
        <f>SUMIFS($AU$1035:AU1223,$AC$1035:AC1223,"*")</f>
        <v>112.00000000000097</v>
      </c>
      <c r="BU1071" s="87">
        <f>SUMIFS($AU$1035:AU1223,$AA$1035:AA1223,"*",$AB$1035:AB1223,"*")</f>
        <v>47.999999999934744</v>
      </c>
      <c r="BV1071" s="87">
        <f>SUMIFS($AU$1035:AU1223,$AA$1035:AA1223,"*",$AC$1035:AC1223,"*")</f>
        <v>-335.99999999999977</v>
      </c>
      <c r="BW1071" s="87">
        <f>SUMIFS($AU$1035:AU1223,$AB$1035:AB1223,"*",$AC$1035:AC1223,"*")</f>
        <v>-143.99999999999966</v>
      </c>
      <c r="BX1071" s="87">
        <f>SUMIFS($AV$1035:AV1223,$Q$1035:Q1223,"F")</f>
        <v>34.153846153846246</v>
      </c>
      <c r="BY1071" s="87">
        <f>SUMIFS($AV$1035:AV1223,$Q$1035:Q1223,"S")</f>
        <v>20.914285714286223</v>
      </c>
      <c r="BZ1071" s="87">
        <f>SUMIFS($AV$1035:AV1223,$Q$1035:Q1223,"O")</f>
        <v>-445.13333333327751</v>
      </c>
    </row>
    <row r="1072" spans="1:78" ht="15.75" customHeight="1">
      <c r="A1072" s="45" t="s">
        <v>3000</v>
      </c>
      <c r="B1072" s="59">
        <v>45525</v>
      </c>
      <c r="C1072" s="46" t="s">
        <v>687</v>
      </c>
      <c r="D1072" s="46" t="s">
        <v>98</v>
      </c>
      <c r="E1072" s="66" t="s">
        <v>3223</v>
      </c>
      <c r="F1072" s="47"/>
      <c r="G1072" s="114" t="s">
        <v>3224</v>
      </c>
      <c r="H1072" s="49"/>
      <c r="I1072" s="49"/>
      <c r="J1072" s="49"/>
      <c r="K1072" s="50"/>
      <c r="L1072" s="49">
        <v>1</v>
      </c>
      <c r="M1072" s="49"/>
      <c r="N1072" s="49"/>
      <c r="O1072" s="50" t="s">
        <v>100</v>
      </c>
      <c r="P1072" s="50" t="s">
        <v>101</v>
      </c>
      <c r="Q1072" s="50" t="s">
        <v>198</v>
      </c>
      <c r="R1072" s="50">
        <v>1</v>
      </c>
      <c r="S1072" s="50">
        <v>0</v>
      </c>
      <c r="T1072" s="50">
        <v>1</v>
      </c>
      <c r="U1072" s="50" t="s">
        <v>22</v>
      </c>
      <c r="V1072" s="50" t="s">
        <v>2898</v>
      </c>
      <c r="W1072" s="50" t="s">
        <v>3086</v>
      </c>
      <c r="X1072" s="50"/>
      <c r="Y1072" s="51">
        <f>IF(ISBLANK(O1072),"",(IF(O1072=UPPER("IB"),0.005,0.01)))</f>
        <v>0.01</v>
      </c>
      <c r="Z1072" s="52">
        <f>IF(ISBLANK(O1072),"",IF(O1072="IB",8.63*200,IF(O1072="IR",16*100,IF(O1072="YT",20*100,IF(O1072="YT-XT",24*200,IF(O1072="TED",80*100,IF(O1072="XT",29*200)))))))</f>
        <v>1600</v>
      </c>
      <c r="AA1072" s="52" t="s">
        <v>1208</v>
      </c>
      <c r="AB1072" s="52"/>
      <c r="AC1072" s="52"/>
      <c r="AD1072" s="231">
        <v>96.43</v>
      </c>
      <c r="AE1072" s="49"/>
      <c r="AF1072" s="84"/>
      <c r="AG1072" s="49"/>
      <c r="AH1072" s="49"/>
      <c r="AI1072" s="49"/>
      <c r="AJ1072" s="226"/>
      <c r="AK1072" s="49"/>
      <c r="AL1072" s="113">
        <f t="shared" si="453"/>
        <v>-32</v>
      </c>
      <c r="AM1072" s="113">
        <f t="shared" si="454"/>
        <v>-32</v>
      </c>
      <c r="AN1072" s="218"/>
      <c r="AO1072" s="49"/>
      <c r="AP1072" s="49"/>
      <c r="AQ1072" s="84" t="s">
        <v>350</v>
      </c>
      <c r="AR1072" s="49"/>
      <c r="AS1072" s="55">
        <v>96.4</v>
      </c>
      <c r="AT1072" s="55">
        <f t="shared" si="455"/>
        <v>-3.0000000000001137E-2</v>
      </c>
      <c r="AU1072" s="54">
        <f t="shared" si="456"/>
        <v>-48.000000000001819</v>
      </c>
      <c r="AV1072" s="56">
        <f t="shared" si="457"/>
        <v>-48.000000000001819</v>
      </c>
      <c r="AW1072" s="57" t="s">
        <v>121</v>
      </c>
      <c r="AX1072" s="151"/>
      <c r="AY1072" s="151"/>
      <c r="AZ1072" s="151"/>
      <c r="BA1072" s="151"/>
      <c r="BB1072" s="153"/>
      <c r="BC1072" s="153"/>
      <c r="BD1072" s="151"/>
      <c r="BE1072" s="152"/>
      <c r="BF1072" s="151"/>
      <c r="BG1072" s="94">
        <f>SUM($AV$1035:AV1072)</f>
        <v>-77.000000000008328</v>
      </c>
      <c r="BH1072" s="95">
        <f>SUM($AU$1035:AU1072)</f>
        <v>560.99999999999147</v>
      </c>
      <c r="BI1072" s="80">
        <f>SUMIFS($AU$1035:AU1224,$Q$1035:Q1224,"F")</f>
        <v>112.00000000000057</v>
      </c>
      <c r="BJ1072" s="80">
        <f>SUMIFS($AU$1035:AU1224,$Q$1035:Q1224,"S")</f>
        <v>-15.999999999994088</v>
      </c>
      <c r="BK1072" s="87">
        <f>SUMIFS($AU$1035:AU1224,$P$1035:P1224,"W")</f>
        <v>-960.00000000003297</v>
      </c>
      <c r="BL1072" s="87">
        <f>SUMIFS($AU$1035:AU1224,$P$1035:P1224,"R")</f>
        <v>1024.0000000000007</v>
      </c>
      <c r="BM1072" s="87">
        <f>SUMIFS($AU$1035:AU1224,$AQ$1035:AQ1224,"M")</f>
        <v>-899.79999999984489</v>
      </c>
      <c r="BN1072" s="87">
        <f>SUMIFS($AU$1035:AU1224,$AQ$1035:AQ1224,"H")</f>
        <v>1583.9999999998265</v>
      </c>
      <c r="BO1072" s="87">
        <f>SUMIFS($AU$1035:AU1224,$AQ$1035:AQ1224,"D")</f>
        <v>-479.9999999999896</v>
      </c>
      <c r="BP1072" s="87">
        <f>SUMIFS($AS$1035:AS1312,$AO$1035:AO1312,"W")</f>
        <v>0</v>
      </c>
      <c r="BQ1072" s="87">
        <f>SUMIFS($AU$1035:AU1224,$Q$1035:Q1224,"O")</f>
        <v>-1079.7999999999552</v>
      </c>
      <c r="BR1072" s="87">
        <f>SUMIFS($AU$1035:AU1224,$AA$1035:AA1224,"*")</f>
        <v>-499.79999999992333</v>
      </c>
      <c r="BS1072" s="87">
        <f>SUMIFS($AU$1035:AU1224,$AB$1035:AB1224,"*")</f>
        <v>-724.00000000009095</v>
      </c>
      <c r="BT1072" s="87">
        <f>SUMIFS($AU$1035:AU1224,$AC$1035:AC1224,"*")</f>
        <v>112.00000000000097</v>
      </c>
      <c r="BU1072" s="87">
        <f>SUMIFS($AU$1035:AU1224,$AA$1035:AA1224,"*",$AB$1035:AB1224,"*")</f>
        <v>47.999999999934744</v>
      </c>
      <c r="BV1072" s="87">
        <f>SUMIFS($AU$1035:AU1224,$AA$1035:AA1224,"*",$AC$1035:AC1224,"*")</f>
        <v>-335.99999999999977</v>
      </c>
      <c r="BW1072" s="87">
        <f>SUMIFS($AU$1035:AU1224,$AB$1035:AB1224,"*",$AC$1035:AC1224,"*")</f>
        <v>-143.99999999999966</v>
      </c>
      <c r="BX1072" s="87">
        <f>SUMIFS($AV$1035:AV1224,$Q$1035:Q1224,"F")</f>
        <v>34.153846153846246</v>
      </c>
      <c r="BY1072" s="87">
        <f>SUMIFS($AV$1035:AV1224,$Q$1035:Q1224,"S")</f>
        <v>20.914285714286223</v>
      </c>
      <c r="BZ1072" s="87">
        <f>SUMIFS($AV$1035:AV1224,$Q$1035:Q1224,"O")</f>
        <v>-445.13333333327751</v>
      </c>
    </row>
    <row r="1073" spans="1:78" ht="15.75" customHeight="1">
      <c r="A1073" s="45" t="s">
        <v>3000</v>
      </c>
      <c r="B1073" s="59"/>
      <c r="C1073" s="46"/>
      <c r="D1073" s="46"/>
      <c r="E1073" s="66"/>
      <c r="F1073" s="47"/>
      <c r="G1073" s="48"/>
      <c r="H1073" s="49"/>
      <c r="I1073" s="49"/>
      <c r="J1073" s="49"/>
      <c r="K1073" s="50"/>
      <c r="L1073" s="49"/>
      <c r="M1073" s="49"/>
      <c r="N1073" s="49"/>
      <c r="O1073" s="50"/>
      <c r="P1073" s="50"/>
      <c r="Q1073" s="50"/>
      <c r="R1073" s="50"/>
      <c r="S1073" s="50"/>
      <c r="T1073" s="50"/>
      <c r="U1073" s="50"/>
      <c r="V1073" s="50"/>
      <c r="W1073" s="50"/>
      <c r="X1073" s="50"/>
      <c r="Y1073" s="51"/>
      <c r="Z1073" s="52"/>
      <c r="AA1073" s="52"/>
      <c r="AB1073" s="52"/>
      <c r="AC1073" s="52"/>
      <c r="AD1073" s="231"/>
      <c r="AE1073" s="49"/>
      <c r="AF1073" s="84"/>
      <c r="AG1073" s="49"/>
      <c r="AH1073" s="49"/>
      <c r="AI1073" s="49"/>
      <c r="AJ1073" s="226"/>
      <c r="AK1073" s="49"/>
      <c r="AL1073" s="113">
        <f t="shared" si="453"/>
        <v>0</v>
      </c>
      <c r="AM1073" s="113">
        <f t="shared" si="454"/>
        <v>0</v>
      </c>
      <c r="AN1073" s="218"/>
      <c r="AO1073" s="49"/>
      <c r="AP1073" s="49"/>
      <c r="AQ1073" s="84" t="str">
        <f>UPPER(RIGHT(Journal_Live[[#This Row],[DURATION ]]))</f>
        <v/>
      </c>
      <c r="AR1073" s="49"/>
      <c r="AS1073" s="55"/>
      <c r="AT1073" s="55">
        <f t="shared" si="455"/>
        <v>0</v>
      </c>
      <c r="AU1073" s="54">
        <f t="shared" si="456"/>
        <v>0</v>
      </c>
      <c r="AV1073" s="56">
        <f t="shared" si="457"/>
        <v>0</v>
      </c>
      <c r="AW1073" s="57"/>
      <c r="AX1073" s="151" t="s">
        <v>3225</v>
      </c>
      <c r="AY1073" s="151" t="s">
        <v>3226</v>
      </c>
      <c r="AZ1073" s="151" t="s">
        <v>3227</v>
      </c>
      <c r="BA1073" s="151" t="s">
        <v>3228</v>
      </c>
      <c r="BB1073" s="153"/>
      <c r="BC1073" s="153"/>
      <c r="BD1073" s="151"/>
      <c r="BE1073" s="152"/>
      <c r="BF1073" s="151"/>
      <c r="BG1073" s="94">
        <f>SUM($AV$1035:AV1073)</f>
        <v>-77.000000000008328</v>
      </c>
      <c r="BH1073" s="95">
        <f>SUM($AU$1035:AU1073)</f>
        <v>560.99999999999147</v>
      </c>
      <c r="BI1073" s="80">
        <f>SUMIFS($AU$1035:AU1225,$Q$1035:Q1225,"F")</f>
        <v>112.00000000000057</v>
      </c>
      <c r="BJ1073" s="80">
        <f>SUMIFS($AU$1035:AU1225,$Q$1035:Q1225,"S")</f>
        <v>-15.999999999994088</v>
      </c>
      <c r="BK1073" s="87">
        <f>SUMIFS($AU$1035:AU1225,$P$1035:P1225,"W")</f>
        <v>-960.00000000003297</v>
      </c>
      <c r="BL1073" s="87">
        <f>SUMIFS($AU$1035:AU1225,$P$1035:P1225,"R")</f>
        <v>1024.0000000000007</v>
      </c>
      <c r="BM1073" s="87">
        <f>SUMIFS($AU$1035:AU1225,$AQ$1035:AQ1225,"M")</f>
        <v>-899.79999999984489</v>
      </c>
      <c r="BN1073" s="87">
        <f>SUMIFS($AU$1035:AU1225,$AQ$1035:AQ1225,"H")</f>
        <v>1583.9999999998265</v>
      </c>
      <c r="BO1073" s="87">
        <f>SUMIFS($AU$1035:AU1225,$AQ$1035:AQ1225,"D")</f>
        <v>-479.9999999999896</v>
      </c>
      <c r="BP1073" s="87">
        <f>SUMIFS($AS$1035:AS1313,$AO$1035:AO1313,"W")</f>
        <v>0</v>
      </c>
      <c r="BQ1073" s="87">
        <f>SUMIFS($AU$1035:AU1225,$Q$1035:Q1225,"O")</f>
        <v>-1079.7999999999552</v>
      </c>
      <c r="BR1073" s="87">
        <f>SUMIFS($AU$1035:AU1225,$AA$1035:AA1225,"*")</f>
        <v>-499.79999999992333</v>
      </c>
      <c r="BS1073" s="87">
        <f>SUMIFS($AU$1035:AU1225,$AB$1035:AB1225,"*")</f>
        <v>-724.00000000009095</v>
      </c>
      <c r="BT1073" s="87">
        <f>SUMIFS($AU$1035:AU1225,$AC$1035:AC1225,"*")</f>
        <v>112.00000000000097</v>
      </c>
      <c r="BU1073" s="87">
        <f>SUMIFS($AU$1035:AU1225,$AA$1035:AA1225,"*",$AB$1035:AB1225,"*")</f>
        <v>47.999999999934744</v>
      </c>
      <c r="BV1073" s="87">
        <f>SUMIFS($AU$1035:AU1225,$AA$1035:AA1225,"*",$AC$1035:AC1225,"*")</f>
        <v>-335.99999999999977</v>
      </c>
      <c r="BW1073" s="87">
        <f>SUMIFS($AU$1035:AU1225,$AB$1035:AB1225,"*",$AC$1035:AC1225,"*")</f>
        <v>-143.99999999999966</v>
      </c>
      <c r="BX1073" s="87">
        <f>SUMIFS($AV$1035:AV1225,$Q$1035:Q1225,"F")</f>
        <v>34.153846153846246</v>
      </c>
      <c r="BY1073" s="87">
        <f>SUMIFS($AV$1035:AV1225,$Q$1035:Q1225,"S")</f>
        <v>20.914285714286223</v>
      </c>
      <c r="BZ1073" s="87">
        <f>SUMIFS($AV$1035:AV1225,$Q$1035:Q1225,"O")</f>
        <v>-445.13333333327751</v>
      </c>
    </row>
    <row r="1074" spans="1:78" ht="15.75" customHeight="1">
      <c r="A1074" s="45" t="s">
        <v>3000</v>
      </c>
      <c r="B1074" s="59">
        <v>45527</v>
      </c>
      <c r="C1074" s="46" t="s">
        <v>3229</v>
      </c>
      <c r="D1074" s="46" t="s">
        <v>115</v>
      </c>
      <c r="E1074" s="66" t="s">
        <v>3230</v>
      </c>
      <c r="F1074" s="47"/>
      <c r="G1074" s="48"/>
      <c r="H1074" s="49"/>
      <c r="I1074" s="49"/>
      <c r="J1074" s="49"/>
      <c r="K1074" s="50"/>
      <c r="L1074" s="49"/>
      <c r="M1074" s="49"/>
      <c r="N1074" s="49"/>
      <c r="O1074" s="50"/>
      <c r="P1074" s="50"/>
      <c r="Q1074" s="50"/>
      <c r="R1074" s="50"/>
      <c r="S1074" s="50"/>
      <c r="T1074" s="50"/>
      <c r="U1074" s="50"/>
      <c r="V1074" s="50"/>
      <c r="W1074" s="50"/>
      <c r="X1074" s="50"/>
      <c r="Y1074" s="51"/>
      <c r="Z1074" s="52"/>
      <c r="AA1074" s="52"/>
      <c r="AB1074" s="52"/>
      <c r="AC1074" s="52"/>
      <c r="AD1074" s="231"/>
      <c r="AE1074" s="49"/>
      <c r="AF1074" s="84"/>
      <c r="AG1074" s="49"/>
      <c r="AH1074" s="49"/>
      <c r="AI1074" s="49"/>
      <c r="AJ1074" s="226"/>
      <c r="AK1074" s="49"/>
      <c r="AL1074" s="113">
        <f t="shared" si="431"/>
        <v>0</v>
      </c>
      <c r="AM1074" s="113">
        <f t="shared" si="432"/>
        <v>0</v>
      </c>
      <c r="AN1074" s="218"/>
      <c r="AO1074" s="49"/>
      <c r="AP1074" s="49"/>
      <c r="AQ1074" s="84" t="str">
        <f>UPPER(RIGHT(Journal_Live[[#This Row],[DURATION ]]))</f>
        <v/>
      </c>
      <c r="AR1074" s="49"/>
      <c r="AS1074" s="55"/>
      <c r="AT1074" s="55">
        <f t="shared" si="433"/>
        <v>0</v>
      </c>
      <c r="AU1074" s="54">
        <f t="shared" si="434"/>
        <v>0</v>
      </c>
      <c r="AV1074" s="56">
        <f t="shared" si="435"/>
        <v>0</v>
      </c>
      <c r="AW1074" s="57"/>
      <c r="AX1074" s="151"/>
      <c r="AY1074" s="151"/>
      <c r="AZ1074" s="151"/>
      <c r="BA1074" s="151"/>
      <c r="BB1074" s="153"/>
      <c r="BC1074" s="153"/>
      <c r="BD1074" s="151"/>
      <c r="BE1074" s="152"/>
      <c r="BF1074" s="151"/>
      <c r="BG1074" s="94">
        <f>SUM($AV$1035:AV1074)</f>
        <v>-77.000000000008328</v>
      </c>
      <c r="BH1074" s="95">
        <f>SUM($AU$1035:AU1074)</f>
        <v>560.99999999999147</v>
      </c>
      <c r="BI1074" s="80">
        <f>SUMIFS($AU$1035:AU1226,$Q$1035:Q1226,"F")</f>
        <v>112.00000000000057</v>
      </c>
      <c r="BJ1074" s="80">
        <f>SUMIFS($AU$1035:AU1226,$Q$1035:Q1226,"S")</f>
        <v>-15.999999999994088</v>
      </c>
      <c r="BK1074" s="87">
        <f>SUMIFS($AU$1035:AU1226,$P$1035:P1226,"W")</f>
        <v>-960.00000000003297</v>
      </c>
      <c r="BL1074" s="87">
        <f>SUMIFS($AU$1035:AU1226,$P$1035:P1226,"R")</f>
        <v>1024.0000000000007</v>
      </c>
      <c r="BM1074" s="87">
        <f>SUMIFS($AU$1035:AU1226,$AQ$1035:AQ1226,"M")</f>
        <v>-899.79999999984489</v>
      </c>
      <c r="BN1074" s="87">
        <f>SUMIFS($AU$1035:AU1226,$AQ$1035:AQ1226,"H")</f>
        <v>1583.9999999998265</v>
      </c>
      <c r="BO1074" s="87">
        <f>SUMIFS($AU$1035:AU1226,$AQ$1035:AQ1226,"D")</f>
        <v>-479.9999999999896</v>
      </c>
      <c r="BP1074" s="87">
        <f>SUMIFS($AS$1035:AS1314,$AO$1035:AO1314,"W")</f>
        <v>0</v>
      </c>
      <c r="BQ1074" s="87">
        <f>SUMIFS($AU$1035:AU1226,$Q$1035:Q1226,"O")</f>
        <v>-1079.7999999999552</v>
      </c>
      <c r="BR1074" s="87">
        <f>SUMIFS($AU$1035:AU1226,$AA$1035:AA1226,"*")</f>
        <v>-499.79999999992333</v>
      </c>
      <c r="BS1074" s="87">
        <f>SUMIFS($AU$1035:AU1226,$AB$1035:AB1226,"*")</f>
        <v>-724.00000000009095</v>
      </c>
      <c r="BT1074" s="87">
        <f>SUMIFS($AU$1035:AU1226,$AC$1035:AC1226,"*")</f>
        <v>112.00000000000097</v>
      </c>
      <c r="BU1074" s="87">
        <f>SUMIFS($AU$1035:AU1226,$AA$1035:AA1226,"*",$AB$1035:AB1226,"*")</f>
        <v>47.999999999934744</v>
      </c>
      <c r="BV1074" s="87">
        <f>SUMIFS($AU$1035:AU1226,$AA$1035:AA1226,"*",$AC$1035:AC1226,"*")</f>
        <v>-335.99999999999977</v>
      </c>
      <c r="BW1074" s="87">
        <f>SUMIFS($AU$1035:AU1226,$AB$1035:AB1226,"*",$AC$1035:AC1226,"*")</f>
        <v>-143.99999999999966</v>
      </c>
      <c r="BX1074" s="87">
        <f>SUMIFS($AV$1035:AV1226,$Q$1035:Q1226,"F")</f>
        <v>34.153846153846246</v>
      </c>
      <c r="BY1074" s="87">
        <f>SUMIFS($AV$1035:AV1226,$Q$1035:Q1226,"S")</f>
        <v>20.914285714286223</v>
      </c>
      <c r="BZ1074" s="87">
        <f>SUMIFS($AV$1035:AV1226,$Q$1035:Q1226,"O")</f>
        <v>-445.13333333327751</v>
      </c>
    </row>
    <row r="1075" spans="1:78" ht="15.75" customHeight="1">
      <c r="A1075" s="45" t="s">
        <v>3000</v>
      </c>
      <c r="B1075" s="59">
        <v>45527</v>
      </c>
      <c r="C1075" s="46" t="s">
        <v>406</v>
      </c>
      <c r="D1075" s="46" t="s">
        <v>115</v>
      </c>
      <c r="E1075" s="66" t="s">
        <v>3231</v>
      </c>
      <c r="F1075" s="47" t="s">
        <v>3232</v>
      </c>
      <c r="G1075" s="114" t="s">
        <v>3233</v>
      </c>
      <c r="H1075" s="49"/>
      <c r="I1075" s="49"/>
      <c r="J1075" s="49"/>
      <c r="K1075" s="50"/>
      <c r="L1075" s="49"/>
      <c r="M1075" s="49">
        <v>1</v>
      </c>
      <c r="N1075" s="49"/>
      <c r="O1075" s="50" t="s">
        <v>100</v>
      </c>
      <c r="P1075" s="50" t="s">
        <v>101</v>
      </c>
      <c r="Q1075" s="50" t="s">
        <v>127</v>
      </c>
      <c r="R1075" s="50">
        <v>12</v>
      </c>
      <c r="S1075" s="50">
        <v>0</v>
      </c>
      <c r="T1075" s="50">
        <v>7</v>
      </c>
      <c r="U1075" s="50" t="s">
        <v>102</v>
      </c>
      <c r="V1075" s="50" t="s">
        <v>2906</v>
      </c>
      <c r="W1075" s="50" t="s">
        <v>155</v>
      </c>
      <c r="X1075" s="50" t="s">
        <v>3125</v>
      </c>
      <c r="Y1075" s="51">
        <f>IF(ISBLANK(O1075),"",(IF(O1075=UPPER("IB"),0.005,0.01)))</f>
        <v>0.01</v>
      </c>
      <c r="Z1075" s="52">
        <f>IF(ISBLANK(O1075),"",IF(O1075="IB",8.63*200,IF(O1075="IR",16*100,IF(O1075="YT",20*100,IF(O1075="YT-XT",24*200,IF(O1075="TED",80*100,IF(O1075="XT",29*200)))))))</f>
        <v>1600</v>
      </c>
      <c r="AA1075" s="52" t="s">
        <v>3234</v>
      </c>
      <c r="AB1075" s="52" t="s">
        <v>3185</v>
      </c>
      <c r="AC1075" s="52" t="s">
        <v>1281</v>
      </c>
      <c r="AD1075" s="231">
        <f>((-0.07*9)+(-0.08*3))/12</f>
        <v>-7.2500000000000009E-2</v>
      </c>
      <c r="AE1075" s="49"/>
      <c r="AF1075" s="84"/>
      <c r="AG1075" s="49"/>
      <c r="AH1075" s="49" t="s">
        <v>3235</v>
      </c>
      <c r="AI1075" s="49"/>
      <c r="AJ1075" s="226" t="s">
        <v>3236</v>
      </c>
      <c r="AK1075" s="49"/>
      <c r="AL1075" s="113">
        <f t="shared" si="431"/>
        <v>-32</v>
      </c>
      <c r="AM1075" s="113">
        <f t="shared" si="432"/>
        <v>-384</v>
      </c>
      <c r="AN1075" s="218" t="s">
        <v>3237</v>
      </c>
      <c r="AO1075" s="49"/>
      <c r="AP1075" s="49" t="s">
        <v>310</v>
      </c>
      <c r="AQ1075" s="84" t="s">
        <v>101</v>
      </c>
      <c r="AR1075" s="49"/>
      <c r="AS1075" s="55">
        <v>-7.0000000000000007E-2</v>
      </c>
      <c r="AT1075" s="55">
        <f t="shared" si="433"/>
        <v>-2.5000000000000022E-3</v>
      </c>
      <c r="AU1075" s="54">
        <f t="shared" si="434"/>
        <v>-48.000000000000043</v>
      </c>
      <c r="AV1075" s="56">
        <f t="shared" si="435"/>
        <v>-4.0000000000000036</v>
      </c>
      <c r="AW1075" s="57" t="s">
        <v>121</v>
      </c>
      <c r="AX1075" s="151"/>
      <c r="AY1075" s="151"/>
      <c r="AZ1075" s="151"/>
      <c r="BA1075" s="151"/>
      <c r="BB1075" s="153"/>
      <c r="BC1075" s="153"/>
      <c r="BD1075" s="151"/>
      <c r="BE1075" s="152"/>
      <c r="BF1075" s="151"/>
      <c r="BG1075" s="94">
        <f>SUM($AV$1035:AV1075)</f>
        <v>-81.000000000008328</v>
      </c>
      <c r="BH1075" s="95">
        <f>SUM($AU$1035:AU1075)</f>
        <v>512.99999999999147</v>
      </c>
      <c r="BI1075" s="80">
        <f>SUMIFS($AU$1035:AU1227,$Q$1035:Q1227,"F")</f>
        <v>112.00000000000057</v>
      </c>
      <c r="BJ1075" s="80">
        <f>SUMIFS($AU$1035:AU1227,$Q$1035:Q1227,"S")</f>
        <v>-15.999999999994088</v>
      </c>
      <c r="BK1075" s="87">
        <f>SUMIFS($AU$1035:AU1227,$P$1035:P1227,"W")</f>
        <v>-960.00000000003297</v>
      </c>
      <c r="BL1075" s="87">
        <f>SUMIFS($AU$1035:AU1227,$P$1035:P1227,"R")</f>
        <v>1024.0000000000007</v>
      </c>
      <c r="BM1075" s="87">
        <f>SUMIFS($AU$1035:AU1227,$AQ$1035:AQ1227,"M")</f>
        <v>-899.79999999984489</v>
      </c>
      <c r="BN1075" s="87">
        <f>SUMIFS($AU$1035:AU1227,$AQ$1035:AQ1227,"H")</f>
        <v>1583.9999999998265</v>
      </c>
      <c r="BO1075" s="87">
        <f>SUMIFS($AU$1035:AU1227,$AQ$1035:AQ1227,"D")</f>
        <v>-479.9999999999896</v>
      </c>
      <c r="BP1075" s="87">
        <f>SUMIFS($AS$1035:AS1315,$AO$1035:AO1315,"W")</f>
        <v>0</v>
      </c>
      <c r="BQ1075" s="87">
        <f>SUMIFS($AU$1035:AU1227,$Q$1035:Q1227,"O")</f>
        <v>-1079.7999999999552</v>
      </c>
      <c r="BR1075" s="87">
        <f>SUMIFS($AU$1035:AU1227,$AA$1035:AA1227,"*")</f>
        <v>-499.79999999992333</v>
      </c>
      <c r="BS1075" s="87">
        <f>SUMIFS($AU$1035:AU1227,$AB$1035:AB1227,"*")</f>
        <v>-724.00000000009095</v>
      </c>
      <c r="BT1075" s="87">
        <f>SUMIFS($AU$1035:AU1227,$AC$1035:AC1227,"*")</f>
        <v>112.00000000000097</v>
      </c>
      <c r="BU1075" s="87">
        <f>SUMIFS($AU$1035:AU1227,$AA$1035:AA1227,"*",$AB$1035:AB1227,"*")</f>
        <v>47.999999999934744</v>
      </c>
      <c r="BV1075" s="87">
        <f>SUMIFS($AU$1035:AU1227,$AA$1035:AA1227,"*",$AC$1035:AC1227,"*")</f>
        <v>-335.99999999999977</v>
      </c>
      <c r="BW1075" s="87">
        <f>SUMIFS($AU$1035:AU1227,$AB$1035:AB1227,"*",$AC$1035:AC1227,"*")</f>
        <v>-143.99999999999966</v>
      </c>
      <c r="BX1075" s="87">
        <f>SUMIFS($AV$1035:AV1227,$Q$1035:Q1227,"F")</f>
        <v>34.153846153846246</v>
      </c>
      <c r="BY1075" s="87">
        <f>SUMIFS($AV$1035:AV1227,$Q$1035:Q1227,"S")</f>
        <v>20.914285714286223</v>
      </c>
      <c r="BZ1075" s="87">
        <f>SUMIFS($AV$1035:AV1227,$Q$1035:Q1227,"O")</f>
        <v>-445.13333333327751</v>
      </c>
    </row>
    <row r="1076" spans="1:78" ht="15.75" customHeight="1">
      <c r="A1076" s="45" t="s">
        <v>3000</v>
      </c>
      <c r="B1076" s="59">
        <v>45527</v>
      </c>
      <c r="C1076" s="46" t="s">
        <v>2099</v>
      </c>
      <c r="D1076" s="46" t="s">
        <v>115</v>
      </c>
      <c r="E1076" s="66"/>
      <c r="F1076" s="47"/>
      <c r="G1076" s="170" t="s">
        <v>3238</v>
      </c>
      <c r="H1076" s="49"/>
      <c r="I1076" s="49"/>
      <c r="J1076" s="49"/>
      <c r="K1076" s="50"/>
      <c r="L1076" s="49"/>
      <c r="M1076" s="49">
        <v>1</v>
      </c>
      <c r="N1076" s="49"/>
      <c r="O1076" s="50" t="s">
        <v>100</v>
      </c>
      <c r="P1076" s="50" t="s">
        <v>101</v>
      </c>
      <c r="Q1076" s="50" t="s">
        <v>102</v>
      </c>
      <c r="R1076" s="50">
        <v>7</v>
      </c>
      <c r="S1076" s="50">
        <v>3</v>
      </c>
      <c r="T1076" s="50">
        <v>7</v>
      </c>
      <c r="U1076" s="50" t="s">
        <v>22</v>
      </c>
      <c r="V1076" s="50" t="s">
        <v>2898</v>
      </c>
      <c r="W1076" s="50" t="s">
        <v>155</v>
      </c>
      <c r="X1076" s="50" t="s">
        <v>3002</v>
      </c>
      <c r="Y1076" s="51">
        <f>IF(ISBLANK(O1076),"",(IF(O1076=UPPER("IB"),0.005,0.01)))</f>
        <v>0.01</v>
      </c>
      <c r="Z1076" s="52">
        <f>IF(ISBLANK(O1076),"",IF(O1076="IB",8.63*200,IF(O1076="IR",16*100,IF(O1076="YT",20*100,IF(O1076="YT-XT",24*200,IF(O1076="TED",80*100,IF(O1076="XT",29*200)))))))</f>
        <v>1600</v>
      </c>
      <c r="AA1076" s="52" t="s">
        <v>1994</v>
      </c>
      <c r="AB1076" s="52"/>
      <c r="AC1076" s="52" t="s">
        <v>3239</v>
      </c>
      <c r="AD1076" s="231">
        <v>-0.33</v>
      </c>
      <c r="AE1076" s="49"/>
      <c r="AF1076" s="84"/>
      <c r="AG1076" s="49"/>
      <c r="AH1076" s="49"/>
      <c r="AI1076" s="49"/>
      <c r="AJ1076" s="226"/>
      <c r="AK1076" s="49"/>
      <c r="AL1076" s="113">
        <f t="shared" si="431"/>
        <v>-32</v>
      </c>
      <c r="AM1076" s="113">
        <f t="shared" si="432"/>
        <v>-128</v>
      </c>
      <c r="AN1076" s="218" t="s">
        <v>3240</v>
      </c>
      <c r="AO1076" s="49"/>
      <c r="AP1076" s="49" t="s">
        <v>670</v>
      </c>
      <c r="AQ1076" s="84" t="s">
        <v>101</v>
      </c>
      <c r="AR1076" s="49"/>
      <c r="AS1076" s="55">
        <f>((-0.36*3)+(-0.38*4))/7</f>
        <v>-0.37142857142857144</v>
      </c>
      <c r="AT1076" s="55">
        <f t="shared" si="433"/>
        <v>-4.1428571428571426E-2</v>
      </c>
      <c r="AU1076" s="54">
        <f t="shared" si="434"/>
        <v>-463.99999999999994</v>
      </c>
      <c r="AV1076" s="56">
        <f t="shared" si="435"/>
        <v>-66.285714285714278</v>
      </c>
      <c r="AW1076" s="57" t="s">
        <v>121</v>
      </c>
      <c r="AX1076" s="151" t="s">
        <v>3241</v>
      </c>
      <c r="AY1076" s="151" t="s">
        <v>3242</v>
      </c>
      <c r="AZ1076" s="151" t="s">
        <v>3243</v>
      </c>
      <c r="BA1076" s="151"/>
      <c r="BB1076" s="153"/>
      <c r="BC1076" s="153"/>
      <c r="BD1076" s="151"/>
      <c r="BE1076" s="152"/>
      <c r="BF1076" s="151"/>
      <c r="BG1076" s="94">
        <f>SUM($AV$1035:AV1076)</f>
        <v>-147.28571428572261</v>
      </c>
      <c r="BH1076" s="95">
        <f>SUM($AU$1035:AU1076)</f>
        <v>48.99999999999153</v>
      </c>
      <c r="BI1076" s="80">
        <f>SUMIFS($AU$1035:AU1228,$Q$1035:Q1228,"F")</f>
        <v>112.00000000000057</v>
      </c>
      <c r="BJ1076" s="80">
        <f>SUMIFS($AU$1035:AU1228,$Q$1035:Q1228,"S")</f>
        <v>-15.999999999994088</v>
      </c>
      <c r="BK1076" s="87">
        <f>SUMIFS($AU$1035:AU1228,$P$1035:P1228,"W")</f>
        <v>-960.00000000003297</v>
      </c>
      <c r="BL1076" s="87">
        <f>SUMIFS($AU$1035:AU1228,$P$1035:P1228,"R")</f>
        <v>1024.0000000000007</v>
      </c>
      <c r="BM1076" s="87">
        <f>SUMIFS($AU$1035:AU1228,$AQ$1035:AQ1228,"M")</f>
        <v>-899.79999999984489</v>
      </c>
      <c r="BN1076" s="87">
        <f>SUMIFS($AU$1035:AU1228,$AQ$1035:AQ1228,"H")</f>
        <v>1583.9999999998265</v>
      </c>
      <c r="BO1076" s="87">
        <f>SUMIFS($AU$1035:AU1228,$AQ$1035:AQ1228,"D")</f>
        <v>-479.9999999999896</v>
      </c>
      <c r="BP1076" s="87">
        <f>SUMIFS($AS$1035:AS1316,$AO$1035:AO1316,"W")</f>
        <v>0</v>
      </c>
      <c r="BQ1076" s="87">
        <f>SUMIFS($AU$1035:AU1228,$Q$1035:Q1228,"O")</f>
        <v>-1079.7999999999552</v>
      </c>
      <c r="BR1076" s="87">
        <f>SUMIFS($AU$1035:AU1228,$AA$1035:AA1228,"*")</f>
        <v>-499.79999999992333</v>
      </c>
      <c r="BS1076" s="87">
        <f>SUMIFS($AU$1035:AU1228,$AB$1035:AB1228,"*")</f>
        <v>-724.00000000009095</v>
      </c>
      <c r="BT1076" s="87">
        <f>SUMIFS($AU$1035:AU1228,$AC$1035:AC1228,"*")</f>
        <v>112.00000000000097</v>
      </c>
      <c r="BU1076" s="87">
        <f>SUMIFS($AU$1035:AU1228,$AA$1035:AA1228,"*",$AB$1035:AB1228,"*")</f>
        <v>47.999999999934744</v>
      </c>
      <c r="BV1076" s="87">
        <f>SUMIFS($AU$1035:AU1228,$AA$1035:AA1228,"*",$AC$1035:AC1228,"*")</f>
        <v>-335.99999999999977</v>
      </c>
      <c r="BW1076" s="87">
        <f>SUMIFS($AU$1035:AU1228,$AB$1035:AB1228,"*",$AC$1035:AC1228,"*")</f>
        <v>-143.99999999999966</v>
      </c>
      <c r="BX1076" s="87">
        <f>SUMIFS($AV$1035:AV1228,$Q$1035:Q1228,"F")</f>
        <v>34.153846153846246</v>
      </c>
      <c r="BY1076" s="87">
        <f>SUMIFS($AV$1035:AV1228,$Q$1035:Q1228,"S")</f>
        <v>20.914285714286223</v>
      </c>
      <c r="BZ1076" s="87">
        <f>SUMIFS($AV$1035:AV1228,$Q$1035:Q1228,"O")</f>
        <v>-445.13333333327751</v>
      </c>
    </row>
    <row r="1077" spans="1:78" ht="15.75" customHeight="1">
      <c r="A1077" s="45" t="s">
        <v>3000</v>
      </c>
      <c r="B1077" s="59">
        <v>45530</v>
      </c>
      <c r="C1077" s="46" t="s">
        <v>2355</v>
      </c>
      <c r="D1077" s="46" t="s">
        <v>176</v>
      </c>
      <c r="E1077" s="66"/>
      <c r="F1077" s="47"/>
      <c r="G1077" s="114" t="s">
        <v>3244</v>
      </c>
      <c r="H1077" s="49"/>
      <c r="I1077" s="49"/>
      <c r="J1077" s="49"/>
      <c r="K1077" s="50"/>
      <c r="L1077" s="49"/>
      <c r="M1077" s="49">
        <v>1</v>
      </c>
      <c r="N1077" s="49"/>
      <c r="O1077" s="50" t="s">
        <v>100</v>
      </c>
      <c r="P1077" s="50" t="s">
        <v>101</v>
      </c>
      <c r="Q1077" s="50" t="s">
        <v>127</v>
      </c>
      <c r="R1077" s="50">
        <v>8</v>
      </c>
      <c r="S1077" s="50">
        <v>0</v>
      </c>
      <c r="T1077" s="50">
        <v>8</v>
      </c>
      <c r="U1077" s="50" t="s">
        <v>22</v>
      </c>
      <c r="V1077" s="50" t="s">
        <v>2906</v>
      </c>
      <c r="W1077" s="50" t="s">
        <v>155</v>
      </c>
      <c r="X1077" s="50" t="s">
        <v>3009</v>
      </c>
      <c r="Y1077" s="51">
        <f>IF(ISBLANK(O1077),"",(IF(O1077=UPPER("IB"),0.005,0.01)))</f>
        <v>0.01</v>
      </c>
      <c r="Z1077" s="52">
        <f>IF(ISBLANK(O1077),"",IF(O1077="IB",8.63*200,IF(O1077="IR",16*100,IF(O1077="YT",20*100,IF(O1077="YT-XT",24*200,IF(O1077="TED",80*100,IF(O1077="XT",29*200)))))))</f>
        <v>1600</v>
      </c>
      <c r="AA1077" s="52" t="s">
        <v>3245</v>
      </c>
      <c r="AB1077" s="52"/>
      <c r="AC1077" s="52"/>
      <c r="AD1077" s="231">
        <v>-0.13</v>
      </c>
      <c r="AE1077" s="49"/>
      <c r="AF1077" s="84"/>
      <c r="AG1077" s="49"/>
      <c r="AH1077" s="49"/>
      <c r="AI1077" s="49"/>
      <c r="AJ1077" s="226"/>
      <c r="AK1077" s="49"/>
      <c r="AL1077" s="113">
        <f t="shared" si="431"/>
        <v>-32</v>
      </c>
      <c r="AM1077" s="113">
        <f t="shared" si="432"/>
        <v>-256</v>
      </c>
      <c r="AN1077" s="218"/>
      <c r="AO1077" s="49"/>
      <c r="AP1077" s="49" t="s">
        <v>670</v>
      </c>
      <c r="AQ1077" s="84" t="s">
        <v>101</v>
      </c>
      <c r="AR1077" s="49"/>
      <c r="AS1077" s="55">
        <v>-0.16</v>
      </c>
      <c r="AT1077" s="55">
        <f t="shared" si="433"/>
        <v>-0.03</v>
      </c>
      <c r="AU1077" s="54">
        <f t="shared" si="434"/>
        <v>-384</v>
      </c>
      <c r="AV1077" s="56">
        <f t="shared" si="435"/>
        <v>-48</v>
      </c>
      <c r="AW1077" s="57" t="s">
        <v>121</v>
      </c>
      <c r="AX1077" s="151"/>
      <c r="AY1077" s="151"/>
      <c r="AZ1077" s="151"/>
      <c r="BA1077" s="151"/>
      <c r="BB1077" s="153"/>
      <c r="BC1077" s="153"/>
      <c r="BD1077" s="151"/>
      <c r="BE1077" s="152"/>
      <c r="BF1077" s="151"/>
      <c r="BG1077" s="94">
        <f>SUM($AV$1035:AV1077)</f>
        <v>-195.28571428572261</v>
      </c>
      <c r="BH1077" s="95">
        <f>SUM($AU$1035:AU1077)</f>
        <v>-335.00000000000847</v>
      </c>
      <c r="BI1077" s="80">
        <f>SUMIFS($AU$1035:AU1229,$Q$1035:Q1229,"F")</f>
        <v>112.00000000000057</v>
      </c>
      <c r="BJ1077" s="80">
        <f>SUMIFS($AU$1035:AU1229,$Q$1035:Q1229,"S")</f>
        <v>-15.999999999994088</v>
      </c>
      <c r="BK1077" s="87">
        <f>SUMIFS($AU$1035:AU1229,$P$1035:P1229,"W")</f>
        <v>-960.00000000003297</v>
      </c>
      <c r="BL1077" s="87">
        <f>SUMIFS($AU$1035:AU1229,$P$1035:P1229,"R")</f>
        <v>1024.0000000000007</v>
      </c>
      <c r="BM1077" s="87">
        <f>SUMIFS($AU$1035:AU1229,$AQ$1035:AQ1229,"M")</f>
        <v>-899.79999999984489</v>
      </c>
      <c r="BN1077" s="87">
        <f>SUMIFS($AU$1035:AU1229,$AQ$1035:AQ1229,"H")</f>
        <v>1583.9999999998265</v>
      </c>
      <c r="BO1077" s="87">
        <f>SUMIFS($AU$1035:AU1229,$AQ$1035:AQ1229,"D")</f>
        <v>-479.9999999999896</v>
      </c>
      <c r="BP1077" s="87">
        <f>SUMIFS($AS$1035:AS1317,$AO$1035:AO1317,"W")</f>
        <v>0</v>
      </c>
      <c r="BQ1077" s="87">
        <f>SUMIFS($AU$1035:AU1229,$Q$1035:Q1229,"O")</f>
        <v>-1079.7999999999552</v>
      </c>
      <c r="BR1077" s="87">
        <f>SUMIFS($AU$1035:AU1229,$AA$1035:AA1229,"*")</f>
        <v>-499.79999999992333</v>
      </c>
      <c r="BS1077" s="87">
        <f>SUMIFS($AU$1035:AU1229,$AB$1035:AB1229,"*")</f>
        <v>-724.00000000009095</v>
      </c>
      <c r="BT1077" s="87">
        <f>SUMIFS($AU$1035:AU1229,$AC$1035:AC1229,"*")</f>
        <v>112.00000000000097</v>
      </c>
      <c r="BU1077" s="87">
        <f>SUMIFS($AU$1035:AU1229,$AA$1035:AA1229,"*",$AB$1035:AB1229,"*")</f>
        <v>47.999999999934744</v>
      </c>
      <c r="BV1077" s="87">
        <f>SUMIFS($AU$1035:AU1229,$AA$1035:AA1229,"*",$AC$1035:AC1229,"*")</f>
        <v>-335.99999999999977</v>
      </c>
      <c r="BW1077" s="87">
        <f>SUMIFS($AU$1035:AU1229,$AB$1035:AB1229,"*",$AC$1035:AC1229,"*")</f>
        <v>-143.99999999999966</v>
      </c>
      <c r="BX1077" s="87">
        <f>SUMIFS($AV$1035:AV1229,$Q$1035:Q1229,"F")</f>
        <v>34.153846153846246</v>
      </c>
      <c r="BY1077" s="87">
        <f>SUMIFS($AV$1035:AV1229,$Q$1035:Q1229,"S")</f>
        <v>20.914285714286223</v>
      </c>
      <c r="BZ1077" s="87">
        <f>SUMIFS($AV$1035:AV1229,$Q$1035:Q1229,"O")</f>
        <v>-445.13333333327751</v>
      </c>
    </row>
    <row r="1078" spans="1:78" ht="15.75" customHeight="1">
      <c r="A1078" s="45" t="s">
        <v>3000</v>
      </c>
      <c r="B1078" s="59">
        <v>45531</v>
      </c>
      <c r="C1078" s="46" t="s">
        <v>373</v>
      </c>
      <c r="D1078" s="46" t="s">
        <v>98</v>
      </c>
      <c r="E1078" s="66"/>
      <c r="F1078" s="47"/>
      <c r="G1078" s="114" t="s">
        <v>1716</v>
      </c>
      <c r="H1078" s="49"/>
      <c r="I1078" s="49"/>
      <c r="J1078" s="49"/>
      <c r="K1078" s="50"/>
      <c r="L1078" s="49"/>
      <c r="M1078" s="49">
        <v>1</v>
      </c>
      <c r="N1078" s="49"/>
      <c r="O1078" s="50" t="s">
        <v>100</v>
      </c>
      <c r="P1078" s="50" t="s">
        <v>101</v>
      </c>
      <c r="Q1078" s="50" t="s">
        <v>102</v>
      </c>
      <c r="R1078" s="50">
        <v>7</v>
      </c>
      <c r="S1078" s="50">
        <v>2</v>
      </c>
      <c r="T1078" s="50">
        <v>3</v>
      </c>
      <c r="U1078" s="50" t="s">
        <v>102</v>
      </c>
      <c r="V1078" s="50" t="s">
        <v>2906</v>
      </c>
      <c r="W1078" s="50" t="s">
        <v>155</v>
      </c>
      <c r="X1078" s="50" t="s">
        <v>3026</v>
      </c>
      <c r="Y1078" s="51">
        <f>IF(ISBLANK(O1078),"",(IF(O1078=UPPER("IB"),0.005,0.01)))</f>
        <v>0.01</v>
      </c>
      <c r="Z1078" s="52">
        <f>IF(ISBLANK(O1078),"",IF(O1078="IB",8.63*200,IF(O1078="IR",16*100,IF(O1078="YT",20*100,IF(O1078="YT-XT",24*200,IF(O1078="TED",80*100,IF(O1078="XT",29*200)))))))</f>
        <v>1600</v>
      </c>
      <c r="AA1078" s="52"/>
      <c r="AB1078" s="52" t="s">
        <v>3246</v>
      </c>
      <c r="AC1078" s="52" t="s">
        <v>3247</v>
      </c>
      <c r="AD1078" s="231">
        <f>((-0.29*3)+(-0.31*4))/7</f>
        <v>-0.30142857142857143</v>
      </c>
      <c r="AE1078" s="49"/>
      <c r="AF1078" s="84"/>
      <c r="AG1078" s="49"/>
      <c r="AH1078" s="49"/>
      <c r="AI1078" s="49"/>
      <c r="AJ1078" s="226"/>
      <c r="AK1078" s="49"/>
      <c r="AL1078" s="113">
        <f t="shared" ref="AL1078:AL1087" si="458">-0.02*Z1078</f>
        <v>-32</v>
      </c>
      <c r="AM1078" s="113">
        <f t="shared" ref="AM1078:AM1087" si="459">AL1078*(R1078-S1078)</f>
        <v>-160</v>
      </c>
      <c r="AN1078" s="218" t="s">
        <v>3240</v>
      </c>
      <c r="AO1078" s="49"/>
      <c r="AP1078" s="49" t="s">
        <v>310</v>
      </c>
      <c r="AQ1078" s="84" t="s">
        <v>101</v>
      </c>
      <c r="AR1078" s="49"/>
      <c r="AS1078" s="55">
        <f>((-0.29*2)+(-0.32*5))/7</f>
        <v>-0.31142857142857144</v>
      </c>
      <c r="AT1078" s="55">
        <f t="shared" ref="AT1078:AT1087" si="460">IF(ISBLANK(AS1078),,IF(U1078="S",AD1078-AS1078,AS1078-AD1078))</f>
        <v>1.0000000000000009E-2</v>
      </c>
      <c r="AU1078" s="54">
        <f t="shared" ref="AU1078:AU1087" si="461">AV1078*R1078</f>
        <v>112.0000000000001</v>
      </c>
      <c r="AV1078" s="56">
        <f t="shared" ref="AV1078:AV1087" si="462">IF(ISBLANK(AS1078),,(AT1078*Z1078))</f>
        <v>16.000000000000014</v>
      </c>
      <c r="AW1078" s="57" t="s">
        <v>101</v>
      </c>
      <c r="AX1078" s="151"/>
      <c r="AY1078" s="151"/>
      <c r="AZ1078" s="151"/>
      <c r="BA1078" s="151"/>
      <c r="BB1078" s="153"/>
      <c r="BC1078" s="153"/>
      <c r="BD1078" s="151"/>
      <c r="BE1078" s="152"/>
      <c r="BF1078" s="151"/>
      <c r="BG1078" s="94">
        <f>SUM($AV$1035:AV1078)</f>
        <v>-179.28571428572258</v>
      </c>
      <c r="BH1078" s="95">
        <f>SUM($AU$1035:AU1078)</f>
        <v>-223.00000000000836</v>
      </c>
      <c r="BI1078" s="80">
        <f>SUMIFS($AU$1035:AU1225,$Q$1035:Q1225,"F")</f>
        <v>112.00000000000057</v>
      </c>
      <c r="BJ1078" s="80">
        <f>SUMIFS($AU$1035:AU1225,$Q$1035:Q1225,"S")</f>
        <v>-15.999999999994088</v>
      </c>
      <c r="BK1078" s="87">
        <f>SUMIFS($AU$1035:AU1225,$P$1035:P1225,"W")</f>
        <v>-960.00000000003297</v>
      </c>
      <c r="BL1078" s="87">
        <f>SUMIFS($AU$1035:AU1225,$P$1035:P1225,"R")</f>
        <v>1024.0000000000007</v>
      </c>
      <c r="BM1078" s="87">
        <f>SUMIFS($AU$1035:AU1225,$AQ$1035:AQ1225,"M")</f>
        <v>-899.79999999984489</v>
      </c>
      <c r="BN1078" s="87">
        <f>SUMIFS($AU$1035:AU1225,$AQ$1035:AQ1225,"H")</f>
        <v>1583.9999999998265</v>
      </c>
      <c r="BO1078" s="87">
        <f>SUMIFS($AU$1035:AU1225,$AQ$1035:AQ1225,"D")</f>
        <v>-479.9999999999896</v>
      </c>
      <c r="BP1078" s="87">
        <f>SUMIFS($AS$1035:AS1313,$AO$1035:AO1313,"W")</f>
        <v>0</v>
      </c>
      <c r="BQ1078" s="87">
        <f>SUMIFS($AU$1035:AU1225,$Q$1035:Q1225,"O")</f>
        <v>-1079.7999999999552</v>
      </c>
      <c r="BR1078" s="87">
        <f>SUMIFS($AU$1035:AU1225,$AA$1035:AA1225,"*")</f>
        <v>-499.79999999992333</v>
      </c>
      <c r="BS1078" s="87">
        <f>SUMIFS($AU$1035:AU1225,$AB$1035:AB1225,"*")</f>
        <v>-724.00000000009095</v>
      </c>
      <c r="BT1078" s="87">
        <f>SUMIFS($AU$1035:AU1225,$AC$1035:AC1225,"*")</f>
        <v>112.00000000000097</v>
      </c>
      <c r="BU1078" s="87">
        <f>SUMIFS($AU$1035:AU1225,$AA$1035:AA1225,"*",$AB$1035:AB1225,"*")</f>
        <v>47.999999999934744</v>
      </c>
      <c r="BV1078" s="87">
        <f>SUMIFS($AU$1035:AU1225,$AA$1035:AA1225,"*",$AC$1035:AC1225,"*")</f>
        <v>-335.99999999999977</v>
      </c>
      <c r="BW1078" s="87">
        <f>SUMIFS($AU$1035:AU1225,$AB$1035:AB1225,"*",$AC$1035:AC1225,"*")</f>
        <v>-143.99999999999966</v>
      </c>
      <c r="BX1078" s="87">
        <f>SUMIFS($AV$1035:AV1225,$Q$1035:Q1225,"F")</f>
        <v>34.153846153846246</v>
      </c>
      <c r="BY1078" s="87">
        <f>SUMIFS($AV$1035:AV1225,$Q$1035:Q1225,"S")</f>
        <v>20.914285714286223</v>
      </c>
      <c r="BZ1078" s="87">
        <f>SUMIFS($AV$1035:AV1225,$Q$1035:Q1225,"O")</f>
        <v>-445.13333333327751</v>
      </c>
    </row>
    <row r="1079" spans="1:78" ht="15.75" customHeight="1">
      <c r="A1079" s="45" t="s">
        <v>3000</v>
      </c>
      <c r="B1079" s="59">
        <v>45532</v>
      </c>
      <c r="C1079" s="46" t="s">
        <v>888</v>
      </c>
      <c r="D1079" s="46" t="s">
        <v>186</v>
      </c>
      <c r="E1079" s="66" t="s">
        <v>3248</v>
      </c>
      <c r="F1079" s="47"/>
      <c r="G1079" s="48"/>
      <c r="H1079" s="49">
        <v>1</v>
      </c>
      <c r="I1079" s="49"/>
      <c r="J1079" s="49"/>
      <c r="K1079" s="50" t="s">
        <v>142</v>
      </c>
      <c r="L1079" s="49"/>
      <c r="M1079" s="49"/>
      <c r="N1079" s="49"/>
      <c r="O1079" s="50"/>
      <c r="P1079" s="50"/>
      <c r="Q1079" s="50"/>
      <c r="R1079" s="50"/>
      <c r="S1079" s="50"/>
      <c r="T1079" s="50"/>
      <c r="U1079" s="50"/>
      <c r="V1079" s="50"/>
      <c r="W1079" s="50"/>
      <c r="X1079" s="50"/>
      <c r="Y1079" s="50"/>
      <c r="Z1079" s="50"/>
      <c r="AA1079" s="52"/>
      <c r="AB1079" s="52"/>
      <c r="AC1079" s="52"/>
      <c r="AD1079" s="231"/>
      <c r="AE1079" s="49"/>
      <c r="AF1079" s="84"/>
      <c r="AG1079" s="49"/>
      <c r="AH1079" s="49"/>
      <c r="AI1079" s="49"/>
      <c r="AJ1079" s="226"/>
      <c r="AK1079" s="49"/>
      <c r="AL1079" s="113">
        <f t="shared" si="458"/>
        <v>0</v>
      </c>
      <c r="AM1079" s="113">
        <f t="shared" si="459"/>
        <v>0</v>
      </c>
      <c r="AN1079" s="218"/>
      <c r="AO1079" s="49"/>
      <c r="AP1079" s="49"/>
      <c r="AQ1079" s="84" t="str">
        <f>UPPER(RIGHT(Journal_Live[[#This Row],[DURATION ]]))</f>
        <v/>
      </c>
      <c r="AR1079" s="49"/>
      <c r="AS1079" s="55"/>
      <c r="AT1079" s="55">
        <f t="shared" si="460"/>
        <v>0</v>
      </c>
      <c r="AU1079" s="54">
        <f t="shared" si="461"/>
        <v>0</v>
      </c>
      <c r="AV1079" s="56">
        <f t="shared" si="462"/>
        <v>0</v>
      </c>
      <c r="AW1079" s="57"/>
      <c r="AX1079" s="151"/>
      <c r="AY1079" s="151"/>
      <c r="AZ1079" s="151"/>
      <c r="BA1079" s="151"/>
      <c r="BB1079" s="153"/>
      <c r="BC1079" s="153"/>
      <c r="BD1079" s="151"/>
      <c r="BE1079" s="152"/>
      <c r="BF1079" s="151"/>
      <c r="BG1079" s="94">
        <f>SUM($AV$1035:AV1079)</f>
        <v>-179.28571428572258</v>
      </c>
      <c r="BH1079" s="95">
        <f>SUM($AU$1035:AU1079)</f>
        <v>-223.00000000000836</v>
      </c>
      <c r="BI1079" s="80">
        <f>SUMIFS($AU$1035:AU1226,$Q$1035:Q1226,"F")</f>
        <v>112.00000000000057</v>
      </c>
      <c r="BJ1079" s="80">
        <f>SUMIFS($AU$1035:AU1226,$Q$1035:Q1226,"S")</f>
        <v>-15.999999999994088</v>
      </c>
      <c r="BK1079" s="87">
        <f>SUMIFS($AU$1035:AU1226,$P$1035:P1226,"W")</f>
        <v>-960.00000000003297</v>
      </c>
      <c r="BL1079" s="87">
        <f>SUMIFS($AU$1035:AU1226,$P$1035:P1226,"R")</f>
        <v>1024.0000000000007</v>
      </c>
      <c r="BM1079" s="87">
        <f>SUMIFS($AU$1035:AU1226,$AQ$1035:AQ1226,"M")</f>
        <v>-899.79999999984489</v>
      </c>
      <c r="BN1079" s="87">
        <f>SUMIFS($AU$1035:AU1226,$AQ$1035:AQ1226,"H")</f>
        <v>1583.9999999998265</v>
      </c>
      <c r="BO1079" s="87">
        <f>SUMIFS($AU$1035:AU1226,$AQ$1035:AQ1226,"D")</f>
        <v>-479.9999999999896</v>
      </c>
      <c r="BP1079" s="87">
        <f>SUMIFS($AS$1035:AS1314,$AO$1035:AO1314,"W")</f>
        <v>0</v>
      </c>
      <c r="BQ1079" s="87">
        <f>SUMIFS($AU$1035:AU1226,$Q$1035:Q1226,"O")</f>
        <v>-1079.7999999999552</v>
      </c>
      <c r="BR1079" s="87">
        <f>SUMIFS($AU$1035:AU1226,$AA$1035:AA1226,"*")</f>
        <v>-499.79999999992333</v>
      </c>
      <c r="BS1079" s="87">
        <f>SUMIFS($AU$1035:AU1226,$AB$1035:AB1226,"*")</f>
        <v>-724.00000000009095</v>
      </c>
      <c r="BT1079" s="87">
        <f>SUMIFS($AU$1035:AU1226,$AC$1035:AC1226,"*")</f>
        <v>112.00000000000097</v>
      </c>
      <c r="BU1079" s="87">
        <f>SUMIFS($AU$1035:AU1226,$AA$1035:AA1226,"*",$AB$1035:AB1226,"*")</f>
        <v>47.999999999934744</v>
      </c>
      <c r="BV1079" s="87">
        <f>SUMIFS($AU$1035:AU1226,$AA$1035:AA1226,"*",$AC$1035:AC1226,"*")</f>
        <v>-335.99999999999977</v>
      </c>
      <c r="BW1079" s="87">
        <f>SUMIFS($AU$1035:AU1226,$AB$1035:AB1226,"*",$AC$1035:AC1226,"*")</f>
        <v>-143.99999999999966</v>
      </c>
      <c r="BX1079" s="87">
        <f>SUMIFS($AV$1035:AV1226,$Q$1035:Q1226,"F")</f>
        <v>34.153846153846246</v>
      </c>
      <c r="BY1079" s="87">
        <f>SUMIFS($AV$1035:AV1226,$Q$1035:Q1226,"S")</f>
        <v>20.914285714286223</v>
      </c>
      <c r="BZ1079" s="87">
        <f>SUMIFS($AV$1035:AV1226,$Q$1035:Q1226,"O")</f>
        <v>-445.13333333327751</v>
      </c>
    </row>
    <row r="1080" spans="1:78" ht="15.75" customHeight="1">
      <c r="A1080" s="45" t="s">
        <v>3000</v>
      </c>
      <c r="B1080" s="59">
        <v>45532</v>
      </c>
      <c r="C1080" s="46" t="s">
        <v>147</v>
      </c>
      <c r="D1080" s="46" t="s">
        <v>186</v>
      </c>
      <c r="E1080" s="66"/>
      <c r="F1080" s="47"/>
      <c r="G1080" s="114" t="s">
        <v>3203</v>
      </c>
      <c r="H1080" s="49"/>
      <c r="I1080" s="49"/>
      <c r="J1080" s="49"/>
      <c r="K1080" s="50"/>
      <c r="L1080" s="49"/>
      <c r="M1080" s="49">
        <v>1</v>
      </c>
      <c r="N1080" s="49"/>
      <c r="O1080" s="50" t="s">
        <v>100</v>
      </c>
      <c r="P1080" s="50" t="s">
        <v>101</v>
      </c>
      <c r="Q1080" s="50" t="s">
        <v>102</v>
      </c>
      <c r="R1080" s="50">
        <v>3</v>
      </c>
      <c r="S1080" s="50">
        <v>0</v>
      </c>
      <c r="T1080" s="50">
        <v>3</v>
      </c>
      <c r="U1080" s="50" t="s">
        <v>22</v>
      </c>
      <c r="V1080" s="50" t="s">
        <v>2906</v>
      </c>
      <c r="W1080" s="50" t="s">
        <v>155</v>
      </c>
      <c r="X1080" s="50" t="s">
        <v>3009</v>
      </c>
      <c r="Y1080" s="51">
        <f>IF(ISBLANK(O1080),"",(IF(O1080=UPPER("IB"),0.005,0.01)))</f>
        <v>0.01</v>
      </c>
      <c r="Z1080" s="52">
        <f>IF(ISBLANK(O1080),"",IF(O1080="IB",8.63*200,IF(O1080="IR",16*100,IF(O1080="YT",20*100,IF(O1080="YT-XT",24*200,IF(O1080="TED",80*100,IF(O1080="XT",29*200)))))))</f>
        <v>1600</v>
      </c>
      <c r="AA1080" s="52" t="s">
        <v>3249</v>
      </c>
      <c r="AB1080" s="52"/>
      <c r="AC1080" s="52" t="s">
        <v>3250</v>
      </c>
      <c r="AD1080" s="231">
        <v>-0.05</v>
      </c>
      <c r="AE1080" s="49"/>
      <c r="AF1080" s="84"/>
      <c r="AG1080" s="49"/>
      <c r="AH1080" s="49"/>
      <c r="AI1080" s="49"/>
      <c r="AJ1080" s="226"/>
      <c r="AK1080" s="49"/>
      <c r="AL1080" s="113">
        <f t="shared" si="458"/>
        <v>-32</v>
      </c>
      <c r="AM1080" s="113">
        <f t="shared" si="459"/>
        <v>-96</v>
      </c>
      <c r="AN1080" s="218"/>
      <c r="AO1080" s="49"/>
      <c r="AP1080" s="49" t="s">
        <v>3251</v>
      </c>
      <c r="AQ1080" s="84" t="s">
        <v>155</v>
      </c>
      <c r="AR1080" s="74">
        <v>45537</v>
      </c>
      <c r="AS1080" s="55">
        <v>-0.04</v>
      </c>
      <c r="AT1080" s="55">
        <f t="shared" si="460"/>
        <v>1.0000000000000002E-2</v>
      </c>
      <c r="AU1080" s="54">
        <f t="shared" si="461"/>
        <v>48.000000000000014</v>
      </c>
      <c r="AV1080" s="56">
        <f t="shared" si="462"/>
        <v>16.000000000000004</v>
      </c>
      <c r="AW1080" s="57" t="s">
        <v>101</v>
      </c>
      <c r="AX1080" s="151"/>
      <c r="AY1080" s="151"/>
      <c r="AZ1080" s="151"/>
      <c r="BA1080" s="151"/>
      <c r="BB1080" s="153"/>
      <c r="BC1080" s="153"/>
      <c r="BD1080" s="151"/>
      <c r="BE1080" s="152"/>
      <c r="BF1080" s="151"/>
      <c r="BG1080" s="94">
        <f>SUM($AV$1035:AV1080)</f>
        <v>-163.28571428572258</v>
      </c>
      <c r="BH1080" s="95">
        <f>SUM($AU$1035:AU1080)</f>
        <v>-175.00000000000836</v>
      </c>
      <c r="BI1080" s="80">
        <f>SUMIFS($AU$1035:AU1227,$Q$1035:Q1227,"F")</f>
        <v>112.00000000000057</v>
      </c>
      <c r="BJ1080" s="80">
        <f>SUMIFS($AU$1035:AU1227,$Q$1035:Q1227,"S")</f>
        <v>-15.999999999994088</v>
      </c>
      <c r="BK1080" s="87">
        <f>SUMIFS($AU$1035:AU1227,$P$1035:P1227,"W")</f>
        <v>-960.00000000003297</v>
      </c>
      <c r="BL1080" s="87">
        <f>SUMIFS($AU$1035:AU1227,$P$1035:P1227,"R")</f>
        <v>1024.0000000000007</v>
      </c>
      <c r="BM1080" s="87">
        <f>SUMIFS($AU$1035:AU1227,$AQ$1035:AQ1227,"M")</f>
        <v>-899.79999999984489</v>
      </c>
      <c r="BN1080" s="87">
        <f>SUMIFS($AU$1035:AU1227,$AQ$1035:AQ1227,"H")</f>
        <v>1583.9999999998265</v>
      </c>
      <c r="BO1080" s="87">
        <f>SUMIFS($AU$1035:AU1227,$AQ$1035:AQ1227,"D")</f>
        <v>-479.9999999999896</v>
      </c>
      <c r="BP1080" s="87">
        <f>SUMIFS($AS$1035:AS1315,$AO$1035:AO1315,"W")</f>
        <v>0</v>
      </c>
      <c r="BQ1080" s="87">
        <f>SUMIFS($AU$1035:AU1227,$Q$1035:Q1227,"O")</f>
        <v>-1079.7999999999552</v>
      </c>
      <c r="BR1080" s="87">
        <f>SUMIFS($AU$1035:AU1227,$AA$1035:AA1227,"*")</f>
        <v>-499.79999999992333</v>
      </c>
      <c r="BS1080" s="87">
        <f>SUMIFS($AU$1035:AU1227,$AB$1035:AB1227,"*")</f>
        <v>-724.00000000009095</v>
      </c>
      <c r="BT1080" s="87">
        <f>SUMIFS($AU$1035:AU1227,$AC$1035:AC1227,"*")</f>
        <v>112.00000000000097</v>
      </c>
      <c r="BU1080" s="87">
        <f>SUMIFS($AU$1035:AU1227,$AA$1035:AA1227,"*",$AB$1035:AB1227,"*")</f>
        <v>47.999999999934744</v>
      </c>
      <c r="BV1080" s="87">
        <f>SUMIFS($AU$1035:AU1227,$AA$1035:AA1227,"*",$AC$1035:AC1227,"*")</f>
        <v>-335.99999999999977</v>
      </c>
      <c r="BW1080" s="87">
        <f>SUMIFS($AU$1035:AU1227,$AB$1035:AB1227,"*",$AC$1035:AC1227,"*")</f>
        <v>-143.99999999999966</v>
      </c>
      <c r="BX1080" s="87">
        <f>SUMIFS($AV$1035:AV1227,$Q$1035:Q1227,"F")</f>
        <v>34.153846153846246</v>
      </c>
      <c r="BY1080" s="87">
        <f>SUMIFS($AV$1035:AV1227,$Q$1035:Q1227,"S")</f>
        <v>20.914285714286223</v>
      </c>
      <c r="BZ1080" s="87">
        <f>SUMIFS($AV$1035:AV1227,$Q$1035:Q1227,"O")</f>
        <v>-445.13333333327751</v>
      </c>
    </row>
    <row r="1081" spans="1:78" ht="15.75" customHeight="1">
      <c r="A1081" s="45" t="s">
        <v>3000</v>
      </c>
      <c r="B1081" s="59">
        <v>45532</v>
      </c>
      <c r="C1081" s="46" t="s">
        <v>3252</v>
      </c>
      <c r="D1081" s="46" t="s">
        <v>186</v>
      </c>
      <c r="E1081" s="66"/>
      <c r="F1081" s="47"/>
      <c r="G1081" s="114" t="s">
        <v>2694</v>
      </c>
      <c r="H1081" s="49"/>
      <c r="I1081" s="49"/>
      <c r="J1081" s="49"/>
      <c r="K1081" s="50"/>
      <c r="L1081" s="49"/>
      <c r="M1081" s="49">
        <v>1</v>
      </c>
      <c r="N1081" s="49"/>
      <c r="O1081" s="50" t="s">
        <v>100</v>
      </c>
      <c r="P1081" s="50" t="s">
        <v>101</v>
      </c>
      <c r="Q1081" s="50" t="s">
        <v>102</v>
      </c>
      <c r="R1081" s="50">
        <v>7</v>
      </c>
      <c r="S1081" s="50">
        <v>0</v>
      </c>
      <c r="T1081" s="50">
        <v>7</v>
      </c>
      <c r="U1081" s="50" t="s">
        <v>22</v>
      </c>
      <c r="V1081" s="50" t="s">
        <v>2898</v>
      </c>
      <c r="W1081" s="50" t="s">
        <v>155</v>
      </c>
      <c r="X1081" s="50" t="s">
        <v>3002</v>
      </c>
      <c r="Y1081" s="51">
        <f>IF(ISBLANK(O1081),"",(IF(O1081=UPPER("IB"),0.005,0.01)))</f>
        <v>0.01</v>
      </c>
      <c r="Z1081" s="52">
        <f>IF(ISBLANK(O1081),"",IF(O1081="IB",8.63*200,IF(O1081="IR",16*100,IF(O1081="YT",20*100,IF(O1081="YT-XT",24*200,IF(O1081="TED",80*100,IF(O1081="XT",29*200)))))))</f>
        <v>1600</v>
      </c>
      <c r="AA1081" s="52" t="s">
        <v>3253</v>
      </c>
      <c r="AB1081" s="52" t="s">
        <v>3254</v>
      </c>
      <c r="AC1081" s="52"/>
      <c r="AD1081" s="231">
        <v>-0.13</v>
      </c>
      <c r="AE1081" s="49"/>
      <c r="AF1081" s="84"/>
      <c r="AG1081" s="49"/>
      <c r="AH1081" s="49"/>
      <c r="AI1081" s="49"/>
      <c r="AJ1081" s="226"/>
      <c r="AK1081" s="49"/>
      <c r="AL1081" s="113">
        <f t="shared" si="458"/>
        <v>-32</v>
      </c>
      <c r="AM1081" s="113">
        <f t="shared" si="459"/>
        <v>-224</v>
      </c>
      <c r="AN1081" s="218"/>
      <c r="AO1081" s="49"/>
      <c r="AP1081" s="49" t="s">
        <v>297</v>
      </c>
      <c r="AQ1081" s="84" t="s">
        <v>155</v>
      </c>
      <c r="AR1081" s="49"/>
      <c r="AS1081" s="55">
        <v>-0.12</v>
      </c>
      <c r="AT1081" s="55">
        <f t="shared" si="460"/>
        <v>1.0000000000000009E-2</v>
      </c>
      <c r="AU1081" s="54">
        <f t="shared" si="461"/>
        <v>112.0000000000001</v>
      </c>
      <c r="AV1081" s="56">
        <f t="shared" si="462"/>
        <v>16.000000000000014</v>
      </c>
      <c r="AW1081" s="57" t="s">
        <v>101</v>
      </c>
      <c r="AX1081" s="151" t="s">
        <v>3255</v>
      </c>
      <c r="AY1081" s="151"/>
      <c r="AZ1081" s="151"/>
      <c r="BA1081" s="151"/>
      <c r="BB1081" s="153"/>
      <c r="BC1081" s="153"/>
      <c r="BD1081" s="151"/>
      <c r="BE1081" s="152"/>
      <c r="BF1081" s="151"/>
      <c r="BG1081" s="94">
        <f>SUM($AV$1035:AV1081)</f>
        <v>-147.28571428572258</v>
      </c>
      <c r="BH1081" s="95">
        <f>SUM($AU$1035:AU1081)</f>
        <v>-63.000000000008257</v>
      </c>
      <c r="BI1081" s="80">
        <f>SUMIFS($AU$1035:AU1228,$Q$1035:Q1228,"F")</f>
        <v>112.00000000000057</v>
      </c>
      <c r="BJ1081" s="80">
        <f>SUMIFS($AU$1035:AU1228,$Q$1035:Q1228,"S")</f>
        <v>-15.999999999994088</v>
      </c>
      <c r="BK1081" s="87">
        <f>SUMIFS($AU$1035:AU1228,$P$1035:P1228,"W")</f>
        <v>-960.00000000003297</v>
      </c>
      <c r="BL1081" s="87">
        <f>SUMIFS($AU$1035:AU1228,$P$1035:P1228,"R")</f>
        <v>1024.0000000000007</v>
      </c>
      <c r="BM1081" s="87">
        <f>SUMIFS($AU$1035:AU1228,$AQ$1035:AQ1228,"M")</f>
        <v>-899.79999999984489</v>
      </c>
      <c r="BN1081" s="87">
        <f>SUMIFS($AU$1035:AU1228,$AQ$1035:AQ1228,"H")</f>
        <v>1583.9999999998265</v>
      </c>
      <c r="BO1081" s="87">
        <f>SUMIFS($AU$1035:AU1228,$AQ$1035:AQ1228,"D")</f>
        <v>-479.9999999999896</v>
      </c>
      <c r="BP1081" s="87">
        <f>SUMIFS($AS$1035:AS1316,$AO$1035:AO1316,"W")</f>
        <v>0</v>
      </c>
      <c r="BQ1081" s="87">
        <f>SUMIFS($AU$1035:AU1228,$Q$1035:Q1228,"O")</f>
        <v>-1079.7999999999552</v>
      </c>
      <c r="BR1081" s="87">
        <f>SUMIFS($AU$1035:AU1228,$AA$1035:AA1228,"*")</f>
        <v>-499.79999999992333</v>
      </c>
      <c r="BS1081" s="87">
        <f>SUMIFS($AU$1035:AU1228,$AB$1035:AB1228,"*")</f>
        <v>-724.00000000009095</v>
      </c>
      <c r="BT1081" s="87">
        <f>SUMIFS($AU$1035:AU1228,$AC$1035:AC1228,"*")</f>
        <v>112.00000000000097</v>
      </c>
      <c r="BU1081" s="87">
        <f>SUMIFS($AU$1035:AU1228,$AA$1035:AA1228,"*",$AB$1035:AB1228,"*")</f>
        <v>47.999999999934744</v>
      </c>
      <c r="BV1081" s="87">
        <f>SUMIFS($AU$1035:AU1228,$AA$1035:AA1228,"*",$AC$1035:AC1228,"*")</f>
        <v>-335.99999999999977</v>
      </c>
      <c r="BW1081" s="87">
        <f>SUMIFS($AU$1035:AU1228,$AB$1035:AB1228,"*",$AC$1035:AC1228,"*")</f>
        <v>-143.99999999999966</v>
      </c>
      <c r="BX1081" s="87">
        <f>SUMIFS($AV$1035:AV1228,$Q$1035:Q1228,"F")</f>
        <v>34.153846153846246</v>
      </c>
      <c r="BY1081" s="87">
        <f>SUMIFS($AV$1035:AV1228,$Q$1035:Q1228,"S")</f>
        <v>20.914285714286223</v>
      </c>
      <c r="BZ1081" s="87">
        <f>SUMIFS($AV$1035:AV1228,$Q$1035:Q1228,"O")</f>
        <v>-445.13333333327751</v>
      </c>
    </row>
    <row r="1082" spans="1:78" ht="15.75" customHeight="1">
      <c r="A1082" s="45" t="s">
        <v>3000</v>
      </c>
      <c r="B1082" s="59">
        <v>45532</v>
      </c>
      <c r="C1082" s="46" t="s">
        <v>3256</v>
      </c>
      <c r="D1082" s="46" t="s">
        <v>186</v>
      </c>
      <c r="E1082" s="66"/>
      <c r="F1082" s="47"/>
      <c r="G1082" s="114" t="s">
        <v>3257</v>
      </c>
      <c r="H1082" s="49"/>
      <c r="I1082" s="49"/>
      <c r="J1082" s="49"/>
      <c r="K1082" s="50"/>
      <c r="L1082" s="49"/>
      <c r="M1082" s="49">
        <v>1</v>
      </c>
      <c r="N1082" s="49"/>
      <c r="O1082" s="50" t="s">
        <v>196</v>
      </c>
      <c r="P1082" s="50" t="s">
        <v>197</v>
      </c>
      <c r="Q1082" s="50" t="s">
        <v>198</v>
      </c>
      <c r="R1082" s="50">
        <v>6</v>
      </c>
      <c r="S1082" s="50">
        <v>4</v>
      </c>
      <c r="T1082" s="50">
        <v>6</v>
      </c>
      <c r="U1082" s="50" t="s">
        <v>102</v>
      </c>
      <c r="V1082" s="50" t="s">
        <v>2898</v>
      </c>
      <c r="W1082" s="50" t="s">
        <v>155</v>
      </c>
      <c r="X1082" s="50"/>
      <c r="Y1082" s="51">
        <f>IF(ISBLANK(O1082),"",(IF(O1082=UPPER("IB"),0.005,0.01)))</f>
        <v>0.01</v>
      </c>
      <c r="Z1082" s="52">
        <f>IF(ISBLANK(O1082),"",IF(O1082="IB",8.63*200,IF(O1082="IR",16*100,IF(O1082="YT",20*100,IF(O1082="YT-XT",24*200,IF(O1082="TED",80*100,IF(O1082="XT",29*200)))))))</f>
        <v>5800</v>
      </c>
      <c r="AA1082" s="52"/>
      <c r="AB1082" s="52" t="s">
        <v>3258</v>
      </c>
      <c r="AC1082" s="52"/>
      <c r="AD1082" s="231">
        <v>5.0000000000000001E-3</v>
      </c>
      <c r="AE1082" s="49"/>
      <c r="AF1082" s="84"/>
      <c r="AG1082" s="49"/>
      <c r="AH1082" s="49"/>
      <c r="AI1082" s="49"/>
      <c r="AJ1082" s="226"/>
      <c r="AK1082" s="49"/>
      <c r="AL1082" s="113">
        <f t="shared" si="458"/>
        <v>-116</v>
      </c>
      <c r="AM1082" s="113">
        <f t="shared" si="459"/>
        <v>-232</v>
      </c>
      <c r="AN1082" s="218"/>
      <c r="AO1082" s="49"/>
      <c r="AP1082" s="49"/>
      <c r="AQ1082" s="84" t="s">
        <v>101</v>
      </c>
      <c r="AR1082" s="74">
        <v>45541</v>
      </c>
      <c r="AS1082" s="55">
        <f>((0.005*2)+(0.01*4))/6</f>
        <v>8.3333333333333332E-3</v>
      </c>
      <c r="AT1082" s="55">
        <f t="shared" si="460"/>
        <v>-3.3333333333333331E-3</v>
      </c>
      <c r="AU1082" s="54">
        <f t="shared" si="461"/>
        <v>-116</v>
      </c>
      <c r="AV1082" s="56">
        <f t="shared" si="462"/>
        <v>-19.333333333333332</v>
      </c>
      <c r="AW1082" s="57" t="s">
        <v>121</v>
      </c>
      <c r="AX1082" s="151"/>
      <c r="AY1082" s="151"/>
      <c r="AZ1082" s="151"/>
      <c r="BA1082" s="151"/>
      <c r="BB1082" s="153"/>
      <c r="BC1082" s="153"/>
      <c r="BD1082" s="151"/>
      <c r="BE1082" s="152"/>
      <c r="BF1082" s="151"/>
      <c r="BG1082" s="94">
        <f>SUM($AV$1035:AV1082)</f>
        <v>-166.61904761905592</v>
      </c>
      <c r="BH1082" s="95">
        <f>SUM($AU$1035:AU1082)</f>
        <v>-179.00000000000824</v>
      </c>
      <c r="BI1082" s="80">
        <f>SUMIFS($AU$1035:AU1229,$Q$1035:Q1229,"F")</f>
        <v>112.00000000000057</v>
      </c>
      <c r="BJ1082" s="80">
        <f>SUMIFS($AU$1035:AU1229,$Q$1035:Q1229,"S")</f>
        <v>-15.999999999994088</v>
      </c>
      <c r="BK1082" s="87">
        <f>SUMIFS($AU$1035:AU1229,$P$1035:P1229,"W")</f>
        <v>-960.00000000003297</v>
      </c>
      <c r="BL1082" s="87">
        <f>SUMIFS($AU$1035:AU1229,$P$1035:P1229,"R")</f>
        <v>1024.0000000000007</v>
      </c>
      <c r="BM1082" s="87">
        <f>SUMIFS($AU$1035:AU1229,$AQ$1035:AQ1229,"M")</f>
        <v>-899.79999999984489</v>
      </c>
      <c r="BN1082" s="87">
        <f>SUMIFS($AU$1035:AU1229,$AQ$1035:AQ1229,"H")</f>
        <v>1583.9999999998265</v>
      </c>
      <c r="BO1082" s="87">
        <f>SUMIFS($AU$1035:AU1229,$AQ$1035:AQ1229,"D")</f>
        <v>-479.9999999999896</v>
      </c>
      <c r="BP1082" s="87">
        <f>SUMIFS($AS$1035:AS1317,$AO$1035:AO1317,"W")</f>
        <v>0</v>
      </c>
      <c r="BQ1082" s="87">
        <f>SUMIFS($AU$1035:AU1229,$Q$1035:Q1229,"O")</f>
        <v>-1079.7999999999552</v>
      </c>
      <c r="BR1082" s="87">
        <f>SUMIFS($AU$1035:AU1229,$AA$1035:AA1229,"*")</f>
        <v>-499.79999999992333</v>
      </c>
      <c r="BS1082" s="87">
        <f>SUMIFS($AU$1035:AU1229,$AB$1035:AB1229,"*")</f>
        <v>-724.00000000009095</v>
      </c>
      <c r="BT1082" s="87">
        <f>SUMIFS($AU$1035:AU1229,$AC$1035:AC1229,"*")</f>
        <v>112.00000000000097</v>
      </c>
      <c r="BU1082" s="87">
        <f>SUMIFS($AU$1035:AU1229,$AA$1035:AA1229,"*",$AB$1035:AB1229,"*")</f>
        <v>47.999999999934744</v>
      </c>
      <c r="BV1082" s="87">
        <f>SUMIFS($AU$1035:AU1229,$AA$1035:AA1229,"*",$AC$1035:AC1229,"*")</f>
        <v>-335.99999999999977</v>
      </c>
      <c r="BW1082" s="87">
        <f>SUMIFS($AU$1035:AU1229,$AB$1035:AB1229,"*",$AC$1035:AC1229,"*")</f>
        <v>-143.99999999999966</v>
      </c>
      <c r="BX1082" s="87">
        <f>SUMIFS($AV$1035:AV1229,$Q$1035:Q1229,"F")</f>
        <v>34.153846153846246</v>
      </c>
      <c r="BY1082" s="87">
        <f>SUMIFS($AV$1035:AV1229,$Q$1035:Q1229,"S")</f>
        <v>20.914285714286223</v>
      </c>
      <c r="BZ1082" s="87">
        <f>SUMIFS($AV$1035:AV1229,$Q$1035:Q1229,"O")</f>
        <v>-445.13333333327751</v>
      </c>
    </row>
    <row r="1083" spans="1:78" ht="15.75" customHeight="1">
      <c r="A1083" s="45" t="s">
        <v>3000</v>
      </c>
      <c r="B1083" s="59">
        <v>45533</v>
      </c>
      <c r="C1083" s="46" t="s">
        <v>3259</v>
      </c>
      <c r="D1083" s="46" t="s">
        <v>107</v>
      </c>
      <c r="E1083" s="66"/>
      <c r="F1083" s="47"/>
      <c r="G1083" s="114" t="s">
        <v>1708</v>
      </c>
      <c r="H1083" s="49"/>
      <c r="I1083" s="49"/>
      <c r="J1083" s="49"/>
      <c r="K1083" s="50"/>
      <c r="L1083" s="49"/>
      <c r="M1083" s="49">
        <v>1</v>
      </c>
      <c r="N1083" s="49"/>
      <c r="O1083" s="50" t="s">
        <v>100</v>
      </c>
      <c r="P1083" s="50" t="s">
        <v>101</v>
      </c>
      <c r="Q1083" s="50" t="s">
        <v>198</v>
      </c>
      <c r="R1083" s="50">
        <v>2</v>
      </c>
      <c r="S1083" s="50">
        <v>0</v>
      </c>
      <c r="T1083" s="50">
        <v>2</v>
      </c>
      <c r="U1083" s="50" t="s">
        <v>22</v>
      </c>
      <c r="V1083" s="50" t="s">
        <v>2906</v>
      </c>
      <c r="W1083" s="50" t="s">
        <v>155</v>
      </c>
      <c r="X1083" s="50"/>
      <c r="Y1083" s="51">
        <f>IF(ISBLANK(O1083),"",(IF(O1083=UPPER("IB"),0.005,0.01)))</f>
        <v>0.01</v>
      </c>
      <c r="Z1083" s="52">
        <f>IF(ISBLANK(O1083),"",IF(O1083="IB",8.63*200,IF(O1083="IR",16*100,IF(O1083="YT",20*100,IF(O1083="YT-XT",24*200,IF(O1083="TED",80*100,IF(O1083="XT",29*200)))))))</f>
        <v>1600</v>
      </c>
      <c r="AA1083" s="52" t="s">
        <v>3260</v>
      </c>
      <c r="AB1083" s="52" t="s">
        <v>3261</v>
      </c>
      <c r="AC1083" s="52"/>
      <c r="AD1083" s="231">
        <v>95.635000000000005</v>
      </c>
      <c r="AE1083" s="49"/>
      <c r="AF1083" s="84"/>
      <c r="AG1083" s="49"/>
      <c r="AH1083" s="49"/>
      <c r="AI1083" s="49"/>
      <c r="AJ1083" s="226"/>
      <c r="AK1083" s="49"/>
      <c r="AL1083" s="113">
        <f t="shared" si="458"/>
        <v>-32</v>
      </c>
      <c r="AM1083" s="113">
        <f t="shared" si="459"/>
        <v>-64</v>
      </c>
      <c r="AN1083" s="218" t="s">
        <v>3240</v>
      </c>
      <c r="AO1083" s="49"/>
      <c r="AP1083" s="49" t="s">
        <v>2967</v>
      </c>
      <c r="AQ1083" s="84" t="s">
        <v>155</v>
      </c>
      <c r="AR1083" s="49"/>
      <c r="AS1083" s="55">
        <v>95.63</v>
      </c>
      <c r="AT1083" s="55">
        <f t="shared" si="460"/>
        <v>-5.0000000000096634E-3</v>
      </c>
      <c r="AU1083" s="54">
        <f t="shared" si="461"/>
        <v>-16.000000000030923</v>
      </c>
      <c r="AV1083" s="56">
        <f t="shared" si="462"/>
        <v>-8.0000000000154614</v>
      </c>
      <c r="AW1083" s="57" t="s">
        <v>121</v>
      </c>
      <c r="AX1083" s="151"/>
      <c r="AY1083" s="151"/>
      <c r="AZ1083" s="151"/>
      <c r="BA1083" s="151"/>
      <c r="BB1083" s="153"/>
      <c r="BC1083" s="153"/>
      <c r="BD1083" s="151"/>
      <c r="BE1083" s="152"/>
      <c r="BF1083" s="151"/>
      <c r="BG1083" s="94">
        <f>SUM($AV$1035:AV1083)</f>
        <v>-174.61904761907138</v>
      </c>
      <c r="BH1083" s="95">
        <f>SUM($AU$1035:AU1083)</f>
        <v>-195.00000000003917</v>
      </c>
      <c r="BI1083" s="80">
        <f>SUMIFS($AU$1035:AU1225,$Q$1035:Q1225,"F")</f>
        <v>112.00000000000057</v>
      </c>
      <c r="BJ1083" s="80">
        <f>SUMIFS($AU$1035:AU1225,$Q$1035:Q1225,"S")</f>
        <v>-15.999999999994088</v>
      </c>
      <c r="BK1083" s="87">
        <f>SUMIFS($AU$1035:AU1225,$P$1035:P1225,"W")</f>
        <v>-960.00000000003297</v>
      </c>
      <c r="BL1083" s="87">
        <f>SUMIFS($AU$1035:AU1225,$P$1035:P1225,"R")</f>
        <v>1024.0000000000007</v>
      </c>
      <c r="BM1083" s="87">
        <f>SUMIFS($AU$1035:AU1225,$AQ$1035:AQ1225,"M")</f>
        <v>-899.79999999984489</v>
      </c>
      <c r="BN1083" s="87">
        <f>SUMIFS($AU$1035:AU1225,$AQ$1035:AQ1225,"H")</f>
        <v>1583.9999999998265</v>
      </c>
      <c r="BO1083" s="87">
        <f>SUMIFS($AU$1035:AU1225,$AQ$1035:AQ1225,"D")</f>
        <v>-479.9999999999896</v>
      </c>
      <c r="BP1083" s="87">
        <f>SUMIFS($AS$1035:AS1313,$AO$1035:AO1313,"W")</f>
        <v>0</v>
      </c>
      <c r="BQ1083" s="87">
        <f>SUMIFS($AU$1035:AU1225,$Q$1035:Q1225,"O")</f>
        <v>-1079.7999999999552</v>
      </c>
      <c r="BR1083" s="87">
        <f>SUMIFS($AU$1035:AU1225,$AA$1035:AA1225,"*")</f>
        <v>-499.79999999992333</v>
      </c>
      <c r="BS1083" s="87">
        <f>SUMIFS($AU$1035:AU1225,$AB$1035:AB1225,"*")</f>
        <v>-724.00000000009095</v>
      </c>
      <c r="BT1083" s="87">
        <f>SUMIFS($AU$1035:AU1225,$AC$1035:AC1225,"*")</f>
        <v>112.00000000000097</v>
      </c>
      <c r="BU1083" s="87">
        <f>SUMIFS($AU$1035:AU1225,$AA$1035:AA1225,"*",$AB$1035:AB1225,"*")</f>
        <v>47.999999999934744</v>
      </c>
      <c r="BV1083" s="87">
        <f>SUMIFS($AU$1035:AU1225,$AA$1035:AA1225,"*",$AC$1035:AC1225,"*")</f>
        <v>-335.99999999999977</v>
      </c>
      <c r="BW1083" s="87">
        <f>SUMIFS($AU$1035:AU1225,$AB$1035:AB1225,"*",$AC$1035:AC1225,"*")</f>
        <v>-143.99999999999966</v>
      </c>
      <c r="BX1083" s="87">
        <f>SUMIFS($AV$1035:AV1225,$Q$1035:Q1225,"F")</f>
        <v>34.153846153846246</v>
      </c>
      <c r="BY1083" s="87">
        <f>SUMIFS($AV$1035:AV1225,$Q$1035:Q1225,"S")</f>
        <v>20.914285714286223</v>
      </c>
      <c r="BZ1083" s="87">
        <f>SUMIFS($AV$1035:AV1225,$Q$1035:Q1225,"O")</f>
        <v>-445.13333333327751</v>
      </c>
    </row>
    <row r="1084" spans="1:78" ht="15.75" customHeight="1">
      <c r="A1084" s="45" t="s">
        <v>3000</v>
      </c>
      <c r="B1084" s="59">
        <v>45533</v>
      </c>
      <c r="C1084" s="46" t="s">
        <v>3259</v>
      </c>
      <c r="D1084" s="46" t="s">
        <v>107</v>
      </c>
      <c r="E1084" s="66"/>
      <c r="F1084" s="47"/>
      <c r="G1084" s="114" t="s">
        <v>227</v>
      </c>
      <c r="H1084" s="49"/>
      <c r="I1084" s="49"/>
      <c r="J1084" s="49"/>
      <c r="K1084" s="50"/>
      <c r="L1084" s="49"/>
      <c r="M1084" s="49">
        <v>1</v>
      </c>
      <c r="N1084" s="49"/>
      <c r="O1084" s="50" t="s">
        <v>100</v>
      </c>
      <c r="P1084" s="50" t="s">
        <v>101</v>
      </c>
      <c r="Q1084" s="50" t="s">
        <v>102</v>
      </c>
      <c r="R1084" s="50">
        <v>4</v>
      </c>
      <c r="S1084" s="50">
        <v>1</v>
      </c>
      <c r="T1084" s="50">
        <v>1</v>
      </c>
      <c r="U1084" s="50" t="s">
        <v>102</v>
      </c>
      <c r="V1084" s="50" t="s">
        <v>2906</v>
      </c>
      <c r="W1084" s="50" t="s">
        <v>3086</v>
      </c>
      <c r="X1084" s="50" t="s">
        <v>3026</v>
      </c>
      <c r="Y1084" s="51">
        <f>IF(ISBLANK(O1084),"",(IF(O1084=UPPER("IB"),0.005,0.01)))</f>
        <v>0.01</v>
      </c>
      <c r="Z1084" s="52">
        <f>IF(ISBLANK(O1084),"",IF(O1084="IB",8.63*200,IF(O1084="IR",16*100,IF(O1084="YT",20*100,IF(O1084="YT-XT",24*200,IF(O1084="TED",80*100,IF(O1084="XT",29*200)))))))</f>
        <v>1600</v>
      </c>
      <c r="AA1084" s="52" t="s">
        <v>3262</v>
      </c>
      <c r="AB1084" s="52" t="s">
        <v>3263</v>
      </c>
      <c r="AC1084" s="52"/>
      <c r="AD1084" s="231">
        <f>((-0.2*1)+(-0.16*3))/4</f>
        <v>-0.16999999999999998</v>
      </c>
      <c r="AE1084" s="49"/>
      <c r="AF1084" s="84"/>
      <c r="AG1084" s="49"/>
      <c r="AH1084" s="49"/>
      <c r="AI1084" s="49"/>
      <c r="AJ1084" s="226"/>
      <c r="AK1084" s="49"/>
      <c r="AL1084" s="113">
        <f t="shared" si="458"/>
        <v>-32</v>
      </c>
      <c r="AM1084" s="113">
        <f t="shared" si="459"/>
        <v>-96</v>
      </c>
      <c r="AN1084" s="218"/>
      <c r="AO1084" s="49"/>
      <c r="AP1084" s="49"/>
      <c r="AQ1084" s="84" t="s">
        <v>155</v>
      </c>
      <c r="AR1084" s="49"/>
      <c r="AS1084" s="55">
        <f>((-0.17)+(-0.15*3))/4</f>
        <v>-0.155</v>
      </c>
      <c r="AT1084" s="55">
        <f t="shared" si="460"/>
        <v>-1.4999999999999986E-2</v>
      </c>
      <c r="AU1084" s="54">
        <f t="shared" si="461"/>
        <v>-95.999999999999915</v>
      </c>
      <c r="AV1084" s="56">
        <f t="shared" si="462"/>
        <v>-23.999999999999979</v>
      </c>
      <c r="AW1084" s="57" t="s">
        <v>121</v>
      </c>
      <c r="AX1084" s="151"/>
      <c r="AY1084" s="151"/>
      <c r="AZ1084" s="151"/>
      <c r="BA1084" s="151"/>
      <c r="BB1084" s="153"/>
      <c r="BC1084" s="153"/>
      <c r="BD1084" s="151"/>
      <c r="BE1084" s="152"/>
      <c r="BF1084" s="151"/>
      <c r="BG1084" s="94">
        <f>SUM($AV$1035:AV1084)</f>
        <v>-198.61904761907135</v>
      </c>
      <c r="BH1084" s="95">
        <f>SUM($AU$1035:AU1084)</f>
        <v>-291.00000000003911</v>
      </c>
      <c r="BI1084" s="80">
        <f>SUMIFS($AU$1035:AU1226,$Q$1035:Q1226,"F")</f>
        <v>112.00000000000057</v>
      </c>
      <c r="BJ1084" s="80">
        <f>SUMIFS($AU$1035:AU1226,$Q$1035:Q1226,"S")</f>
        <v>-15.999999999994088</v>
      </c>
      <c r="BK1084" s="87">
        <f>SUMIFS($AU$1035:AU1226,$P$1035:P1226,"W")</f>
        <v>-960.00000000003297</v>
      </c>
      <c r="BL1084" s="87">
        <f>SUMIFS($AU$1035:AU1226,$P$1035:P1226,"R")</f>
        <v>1024.0000000000007</v>
      </c>
      <c r="BM1084" s="87">
        <f>SUMIFS($AU$1035:AU1226,$AQ$1035:AQ1226,"M")</f>
        <v>-899.79999999984489</v>
      </c>
      <c r="BN1084" s="87">
        <f>SUMIFS($AU$1035:AU1226,$AQ$1035:AQ1226,"H")</f>
        <v>1583.9999999998265</v>
      </c>
      <c r="BO1084" s="87">
        <f>SUMIFS($AU$1035:AU1226,$AQ$1035:AQ1226,"D")</f>
        <v>-479.9999999999896</v>
      </c>
      <c r="BP1084" s="87">
        <f>SUMIFS($AS$1035:AS1314,$AO$1035:AO1314,"W")</f>
        <v>0</v>
      </c>
      <c r="BQ1084" s="87">
        <f>SUMIFS($AU$1035:AU1226,$Q$1035:Q1226,"O")</f>
        <v>-1079.7999999999552</v>
      </c>
      <c r="BR1084" s="87">
        <f>SUMIFS($AU$1035:AU1226,$AA$1035:AA1226,"*")</f>
        <v>-499.79999999992333</v>
      </c>
      <c r="BS1084" s="87">
        <f>SUMIFS($AU$1035:AU1226,$AB$1035:AB1226,"*")</f>
        <v>-724.00000000009095</v>
      </c>
      <c r="BT1084" s="87">
        <f>SUMIFS($AU$1035:AU1226,$AC$1035:AC1226,"*")</f>
        <v>112.00000000000097</v>
      </c>
      <c r="BU1084" s="87">
        <f>SUMIFS($AU$1035:AU1226,$AA$1035:AA1226,"*",$AB$1035:AB1226,"*")</f>
        <v>47.999999999934744</v>
      </c>
      <c r="BV1084" s="87">
        <f>SUMIFS($AU$1035:AU1226,$AA$1035:AA1226,"*",$AC$1035:AC1226,"*")</f>
        <v>-335.99999999999977</v>
      </c>
      <c r="BW1084" s="87">
        <f>SUMIFS($AU$1035:AU1226,$AB$1035:AB1226,"*",$AC$1035:AC1226,"*")</f>
        <v>-143.99999999999966</v>
      </c>
      <c r="BX1084" s="87">
        <f>SUMIFS($AV$1035:AV1226,$Q$1035:Q1226,"F")</f>
        <v>34.153846153846246</v>
      </c>
      <c r="BY1084" s="87">
        <f>SUMIFS($AV$1035:AV1226,$Q$1035:Q1226,"S")</f>
        <v>20.914285714286223</v>
      </c>
      <c r="BZ1084" s="87">
        <f>SUMIFS($AV$1035:AV1226,$Q$1035:Q1226,"O")</f>
        <v>-445.13333333327751</v>
      </c>
    </row>
    <row r="1085" spans="1:78" ht="15.75" customHeight="1">
      <c r="A1085" s="45" t="s">
        <v>3000</v>
      </c>
      <c r="B1085" s="59">
        <v>45533</v>
      </c>
      <c r="C1085" s="46" t="s">
        <v>871</v>
      </c>
      <c r="D1085" s="46" t="s">
        <v>107</v>
      </c>
      <c r="E1085" s="66" t="s">
        <v>3264</v>
      </c>
      <c r="F1085" s="47"/>
      <c r="G1085" s="48"/>
      <c r="H1085" s="49">
        <v>1</v>
      </c>
      <c r="I1085" s="49"/>
      <c r="J1085" s="49"/>
      <c r="K1085" s="50" t="s">
        <v>142</v>
      </c>
      <c r="L1085" s="49"/>
      <c r="M1085" s="49"/>
      <c r="N1085" s="49"/>
      <c r="O1085" s="50"/>
      <c r="P1085" s="50"/>
      <c r="Q1085" s="50"/>
      <c r="R1085" s="50"/>
      <c r="S1085" s="50"/>
      <c r="T1085" s="50"/>
      <c r="U1085" s="50"/>
      <c r="V1085" s="50"/>
      <c r="W1085" s="50"/>
      <c r="X1085" s="50"/>
      <c r="Y1085" s="50"/>
      <c r="Z1085" s="50"/>
      <c r="AA1085" s="52"/>
      <c r="AB1085" s="52"/>
      <c r="AC1085" s="52"/>
      <c r="AD1085" s="231"/>
      <c r="AE1085" s="49"/>
      <c r="AF1085" s="84"/>
      <c r="AG1085" s="49"/>
      <c r="AH1085" s="49"/>
      <c r="AI1085" s="49"/>
      <c r="AJ1085" s="226"/>
      <c r="AK1085" s="49"/>
      <c r="AL1085" s="113">
        <f t="shared" si="458"/>
        <v>0</v>
      </c>
      <c r="AM1085" s="113">
        <f t="shared" si="459"/>
        <v>0</v>
      </c>
      <c r="AN1085" s="218"/>
      <c r="AO1085" s="49"/>
      <c r="AP1085" s="49"/>
      <c r="AQ1085" s="84" t="str">
        <f>UPPER(RIGHT(Journal_Live[[#This Row],[DURATION ]]))</f>
        <v/>
      </c>
      <c r="AR1085" s="49"/>
      <c r="AS1085" s="55"/>
      <c r="AT1085" s="55">
        <f t="shared" si="460"/>
        <v>0</v>
      </c>
      <c r="AU1085" s="54">
        <f t="shared" si="461"/>
        <v>0</v>
      </c>
      <c r="AV1085" s="56">
        <f t="shared" si="462"/>
        <v>0</v>
      </c>
      <c r="AW1085" s="57"/>
      <c r="AX1085" s="151" t="s">
        <v>3265</v>
      </c>
      <c r="AY1085" s="151" t="s">
        <v>3266</v>
      </c>
      <c r="AZ1085" s="151" t="s">
        <v>3267</v>
      </c>
      <c r="BA1085" s="151"/>
      <c r="BB1085" s="153"/>
      <c r="BC1085" s="153"/>
      <c r="BD1085" s="151"/>
      <c r="BE1085" s="152"/>
      <c r="BF1085" s="151"/>
      <c r="BG1085" s="94">
        <f>SUM($AV$1035:AV1085)</f>
        <v>-198.61904761907135</v>
      </c>
      <c r="BH1085" s="95">
        <f>SUM($AU$1035:AU1085)</f>
        <v>-291.00000000003911</v>
      </c>
      <c r="BI1085" s="80">
        <f>SUMIFS($AU$1035:AU1227,$Q$1035:Q1227,"F")</f>
        <v>112.00000000000057</v>
      </c>
      <c r="BJ1085" s="80">
        <f>SUMIFS($AU$1035:AU1227,$Q$1035:Q1227,"S")</f>
        <v>-15.999999999994088</v>
      </c>
      <c r="BK1085" s="87">
        <f>SUMIFS($AU$1035:AU1227,$P$1035:P1227,"W")</f>
        <v>-960.00000000003297</v>
      </c>
      <c r="BL1085" s="87">
        <f>SUMIFS($AU$1035:AU1227,$P$1035:P1227,"R")</f>
        <v>1024.0000000000007</v>
      </c>
      <c r="BM1085" s="87">
        <f>SUMIFS($AU$1035:AU1227,$AQ$1035:AQ1227,"M")</f>
        <v>-899.79999999984489</v>
      </c>
      <c r="BN1085" s="87">
        <f>SUMIFS($AU$1035:AU1227,$AQ$1035:AQ1227,"H")</f>
        <v>1583.9999999998265</v>
      </c>
      <c r="BO1085" s="87">
        <f>SUMIFS($AU$1035:AU1227,$AQ$1035:AQ1227,"D")</f>
        <v>-479.9999999999896</v>
      </c>
      <c r="BP1085" s="87">
        <f>SUMIFS($AS$1035:AS1315,$AO$1035:AO1315,"W")</f>
        <v>0</v>
      </c>
      <c r="BQ1085" s="87">
        <f>SUMIFS($AU$1035:AU1227,$Q$1035:Q1227,"O")</f>
        <v>-1079.7999999999552</v>
      </c>
      <c r="BR1085" s="87">
        <f>SUMIFS($AU$1035:AU1227,$AA$1035:AA1227,"*")</f>
        <v>-499.79999999992333</v>
      </c>
      <c r="BS1085" s="87">
        <f>SUMIFS($AU$1035:AU1227,$AB$1035:AB1227,"*")</f>
        <v>-724.00000000009095</v>
      </c>
      <c r="BT1085" s="87">
        <f>SUMIFS($AU$1035:AU1227,$AC$1035:AC1227,"*")</f>
        <v>112.00000000000097</v>
      </c>
      <c r="BU1085" s="87">
        <f>SUMIFS($AU$1035:AU1227,$AA$1035:AA1227,"*",$AB$1035:AB1227,"*")</f>
        <v>47.999999999934744</v>
      </c>
      <c r="BV1085" s="87">
        <f>SUMIFS($AU$1035:AU1227,$AA$1035:AA1227,"*",$AC$1035:AC1227,"*")</f>
        <v>-335.99999999999977</v>
      </c>
      <c r="BW1085" s="87">
        <f>SUMIFS($AU$1035:AU1227,$AB$1035:AB1227,"*",$AC$1035:AC1227,"*")</f>
        <v>-143.99999999999966</v>
      </c>
      <c r="BX1085" s="87">
        <f>SUMIFS($AV$1035:AV1227,$Q$1035:Q1227,"F")</f>
        <v>34.153846153846246</v>
      </c>
      <c r="BY1085" s="87">
        <f>SUMIFS($AV$1035:AV1227,$Q$1035:Q1227,"S")</f>
        <v>20.914285714286223</v>
      </c>
      <c r="BZ1085" s="87">
        <f>SUMIFS($AV$1035:AV1227,$Q$1035:Q1227,"O")</f>
        <v>-445.13333333327751</v>
      </c>
    </row>
    <row r="1086" spans="1:78" ht="15.75" customHeight="1">
      <c r="A1086" s="45" t="s">
        <v>3000</v>
      </c>
      <c r="B1086" s="59">
        <v>45534</v>
      </c>
      <c r="C1086" s="46" t="s">
        <v>194</v>
      </c>
      <c r="D1086" s="46" t="s">
        <v>115</v>
      </c>
      <c r="E1086" s="66" t="s">
        <v>3268</v>
      </c>
      <c r="F1086" s="47"/>
      <c r="G1086" s="48"/>
      <c r="H1086" s="49"/>
      <c r="I1086" s="49"/>
      <c r="J1086" s="49">
        <v>1</v>
      </c>
      <c r="K1086" s="50" t="s">
        <v>155</v>
      </c>
      <c r="L1086" s="49"/>
      <c r="M1086" s="49"/>
      <c r="N1086" s="49"/>
      <c r="O1086" s="50"/>
      <c r="P1086" s="50"/>
      <c r="Q1086" s="50"/>
      <c r="R1086" s="50"/>
      <c r="S1086" s="50"/>
      <c r="T1086" s="50"/>
      <c r="U1086" s="50"/>
      <c r="V1086" s="50"/>
      <c r="W1086" s="50"/>
      <c r="X1086" s="50"/>
      <c r="Y1086" s="50"/>
      <c r="Z1086" s="50"/>
      <c r="AA1086" s="52"/>
      <c r="AB1086" s="52"/>
      <c r="AC1086" s="52"/>
      <c r="AD1086" s="231"/>
      <c r="AE1086" s="49"/>
      <c r="AF1086" s="84"/>
      <c r="AG1086" s="49"/>
      <c r="AH1086" s="49"/>
      <c r="AI1086" s="49"/>
      <c r="AJ1086" s="226"/>
      <c r="AK1086" s="49"/>
      <c r="AL1086" s="113">
        <f t="shared" si="458"/>
        <v>0</v>
      </c>
      <c r="AM1086" s="113">
        <f t="shared" si="459"/>
        <v>0</v>
      </c>
      <c r="AN1086" s="218"/>
      <c r="AO1086" s="49"/>
      <c r="AP1086" s="49"/>
      <c r="AQ1086" s="84" t="str">
        <f>UPPER(RIGHT(Journal_Live[[#This Row],[DURATION ]]))</f>
        <v/>
      </c>
      <c r="AR1086" s="49"/>
      <c r="AS1086" s="55"/>
      <c r="AT1086" s="55">
        <f t="shared" si="460"/>
        <v>0</v>
      </c>
      <c r="AU1086" s="54">
        <f t="shared" si="461"/>
        <v>0</v>
      </c>
      <c r="AV1086" s="56">
        <f t="shared" si="462"/>
        <v>0</v>
      </c>
      <c r="AW1086" s="57"/>
      <c r="AX1086" s="151"/>
      <c r="AY1086" s="151"/>
      <c r="AZ1086" s="151"/>
      <c r="BA1086" s="151"/>
      <c r="BB1086" s="153"/>
      <c r="BC1086" s="153"/>
      <c r="BD1086" s="151"/>
      <c r="BE1086" s="152"/>
      <c r="BF1086" s="151"/>
      <c r="BG1086" s="94">
        <f>SUM($AV$1035:AV1086)</f>
        <v>-198.61904761907135</v>
      </c>
      <c r="BH1086" s="95">
        <f>SUM($AU$1035:AU1086)</f>
        <v>-291.00000000003911</v>
      </c>
      <c r="BI1086" s="80">
        <f>SUMIFS($AU$1035:AU1228,$Q$1035:Q1228,"F")</f>
        <v>112.00000000000057</v>
      </c>
      <c r="BJ1086" s="80">
        <f>SUMIFS($AU$1035:AU1228,$Q$1035:Q1228,"S")</f>
        <v>-15.999999999994088</v>
      </c>
      <c r="BK1086" s="87">
        <f>SUMIFS($AU$1035:AU1228,$P$1035:P1228,"W")</f>
        <v>-960.00000000003297</v>
      </c>
      <c r="BL1086" s="87">
        <f>SUMIFS($AU$1035:AU1228,$P$1035:P1228,"R")</f>
        <v>1024.0000000000007</v>
      </c>
      <c r="BM1086" s="87">
        <f>SUMIFS($AU$1035:AU1228,$AQ$1035:AQ1228,"M")</f>
        <v>-899.79999999984489</v>
      </c>
      <c r="BN1086" s="87">
        <f>SUMIFS($AU$1035:AU1228,$AQ$1035:AQ1228,"H")</f>
        <v>1583.9999999998265</v>
      </c>
      <c r="BO1086" s="87">
        <f>SUMIFS($AU$1035:AU1228,$AQ$1035:AQ1228,"D")</f>
        <v>-479.9999999999896</v>
      </c>
      <c r="BP1086" s="87">
        <f>SUMIFS($AS$1035:AS1316,$AO$1035:AO1316,"W")</f>
        <v>0</v>
      </c>
      <c r="BQ1086" s="87">
        <f>SUMIFS($AU$1035:AU1228,$Q$1035:Q1228,"O")</f>
        <v>-1079.7999999999552</v>
      </c>
      <c r="BR1086" s="87">
        <f>SUMIFS($AU$1035:AU1228,$AA$1035:AA1228,"*")</f>
        <v>-499.79999999992333</v>
      </c>
      <c r="BS1086" s="87">
        <f>SUMIFS($AU$1035:AU1228,$AB$1035:AB1228,"*")</f>
        <v>-724.00000000009095</v>
      </c>
      <c r="BT1086" s="87">
        <f>SUMIFS($AU$1035:AU1228,$AC$1035:AC1228,"*")</f>
        <v>112.00000000000097</v>
      </c>
      <c r="BU1086" s="87">
        <f>SUMIFS($AU$1035:AU1228,$AA$1035:AA1228,"*",$AB$1035:AB1228,"*")</f>
        <v>47.999999999934744</v>
      </c>
      <c r="BV1086" s="87">
        <f>SUMIFS($AU$1035:AU1228,$AA$1035:AA1228,"*",$AC$1035:AC1228,"*")</f>
        <v>-335.99999999999977</v>
      </c>
      <c r="BW1086" s="87">
        <f>SUMIFS($AU$1035:AU1228,$AB$1035:AB1228,"*",$AC$1035:AC1228,"*")</f>
        <v>-143.99999999999966</v>
      </c>
      <c r="BX1086" s="87">
        <f>SUMIFS($AV$1035:AV1228,$Q$1035:Q1228,"F")</f>
        <v>34.153846153846246</v>
      </c>
      <c r="BY1086" s="87">
        <f>SUMIFS($AV$1035:AV1228,$Q$1035:Q1228,"S")</f>
        <v>20.914285714286223</v>
      </c>
      <c r="BZ1086" s="87">
        <f>SUMIFS($AV$1035:AV1228,$Q$1035:Q1228,"O")</f>
        <v>-445.13333333327751</v>
      </c>
    </row>
    <row r="1087" spans="1:78" ht="15.75" customHeight="1">
      <c r="A1087" s="45" t="s">
        <v>3000</v>
      </c>
      <c r="B1087" s="59">
        <v>45534</v>
      </c>
      <c r="C1087" s="46" t="s">
        <v>2822</v>
      </c>
      <c r="D1087" s="46" t="s">
        <v>115</v>
      </c>
      <c r="E1087" s="66"/>
      <c r="F1087" s="47"/>
      <c r="G1087" s="114" t="s">
        <v>227</v>
      </c>
      <c r="H1087" s="49"/>
      <c r="I1087" s="49"/>
      <c r="J1087" s="49"/>
      <c r="K1087" s="50"/>
      <c r="L1087" s="49"/>
      <c r="M1087" s="49">
        <v>1</v>
      </c>
      <c r="N1087" s="49"/>
      <c r="O1087" s="50" t="s">
        <v>100</v>
      </c>
      <c r="P1087" s="50" t="s">
        <v>101</v>
      </c>
      <c r="Q1087" s="50" t="s">
        <v>102</v>
      </c>
      <c r="R1087" s="50">
        <v>5</v>
      </c>
      <c r="S1087" s="50">
        <v>2</v>
      </c>
      <c r="T1087" s="50">
        <v>1</v>
      </c>
      <c r="U1087" s="50" t="s">
        <v>102</v>
      </c>
      <c r="V1087" s="50" t="s">
        <v>2906</v>
      </c>
      <c r="W1087" s="50" t="s">
        <v>3086</v>
      </c>
      <c r="X1087" s="50" t="s">
        <v>3026</v>
      </c>
      <c r="Y1087" s="51">
        <f>IF(ISBLANK(O1087),"",(IF(O1087=UPPER("IB"),0.005,0.01)))</f>
        <v>0.01</v>
      </c>
      <c r="Z1087" s="52">
        <f>IF(ISBLANK(O1087),"",IF(O1087="IB",8.63*200,IF(O1087="IR",16*100,IF(O1087="YT",20*100,IF(O1087="YT-XT",24*200,IF(O1087="TED",80*100,IF(O1087="XT",29*200)))))))</f>
        <v>1600</v>
      </c>
      <c r="AA1087" s="52"/>
      <c r="AB1087" s="52" t="s">
        <v>3263</v>
      </c>
      <c r="AC1087" s="52"/>
      <c r="AD1087" s="231">
        <v>-0.17</v>
      </c>
      <c r="AE1087" s="49"/>
      <c r="AF1087" s="84"/>
      <c r="AG1087" s="49"/>
      <c r="AH1087" s="49"/>
      <c r="AI1087" s="49"/>
      <c r="AJ1087" s="226"/>
      <c r="AK1087" s="49"/>
      <c r="AL1087" s="113">
        <f t="shared" si="458"/>
        <v>-32</v>
      </c>
      <c r="AM1087" s="113">
        <f t="shared" si="459"/>
        <v>-96</v>
      </c>
      <c r="AN1087" s="218" t="s">
        <v>3269</v>
      </c>
      <c r="AO1087" s="49"/>
      <c r="AP1087" s="49"/>
      <c r="AQ1087" s="84" t="s">
        <v>155</v>
      </c>
      <c r="AR1087" s="74">
        <v>45539</v>
      </c>
      <c r="AS1087" s="55">
        <f>((-0.15*1)+(-0.16*1)+(-0.21*3))/5</f>
        <v>-0.188</v>
      </c>
      <c r="AT1087" s="55">
        <f t="shared" si="460"/>
        <v>1.7999999999999988E-2</v>
      </c>
      <c r="AU1087" s="54">
        <f t="shared" si="461"/>
        <v>143.99999999999991</v>
      </c>
      <c r="AV1087" s="56">
        <f t="shared" si="462"/>
        <v>28.799999999999983</v>
      </c>
      <c r="AW1087" s="57" t="s">
        <v>101</v>
      </c>
      <c r="AX1087" s="151"/>
      <c r="AY1087" s="151"/>
      <c r="AZ1087" s="151"/>
      <c r="BA1087" s="151"/>
      <c r="BB1087" s="153"/>
      <c r="BC1087" s="153"/>
      <c r="BD1087" s="151"/>
      <c r="BE1087" s="152"/>
      <c r="BF1087" s="151"/>
      <c r="BG1087" s="94">
        <f>SUM($AV$1035:AV1087)</f>
        <v>-169.81904761907137</v>
      </c>
      <c r="BH1087" s="95">
        <f>SUM($AU$1035:AU1087)</f>
        <v>-147.00000000003919</v>
      </c>
      <c r="BI1087" s="80">
        <f>SUMIFS($AU$1035:AU1229,$Q$1035:Q1229,"F")</f>
        <v>112.00000000000057</v>
      </c>
      <c r="BJ1087" s="80">
        <f>SUMIFS($AU$1035:AU1229,$Q$1035:Q1229,"S")</f>
        <v>-15.999999999994088</v>
      </c>
      <c r="BK1087" s="87">
        <f>SUMIFS($AU$1035:AU1229,$P$1035:P1229,"W")</f>
        <v>-960.00000000003297</v>
      </c>
      <c r="BL1087" s="87">
        <f>SUMIFS($AU$1035:AU1229,$P$1035:P1229,"R")</f>
        <v>1024.0000000000007</v>
      </c>
      <c r="BM1087" s="87">
        <f>SUMIFS($AU$1035:AU1229,$AQ$1035:AQ1229,"M")</f>
        <v>-899.79999999984489</v>
      </c>
      <c r="BN1087" s="87">
        <f>SUMIFS($AU$1035:AU1229,$AQ$1035:AQ1229,"H")</f>
        <v>1583.9999999998265</v>
      </c>
      <c r="BO1087" s="87">
        <f>SUMIFS($AU$1035:AU1229,$AQ$1035:AQ1229,"D")</f>
        <v>-479.9999999999896</v>
      </c>
      <c r="BP1087" s="87">
        <f>SUMIFS($AS$1035:AS1317,$AO$1035:AO1317,"W")</f>
        <v>0</v>
      </c>
      <c r="BQ1087" s="87">
        <f>SUMIFS($AU$1035:AU1229,$Q$1035:Q1229,"O")</f>
        <v>-1079.7999999999552</v>
      </c>
      <c r="BR1087" s="87">
        <f>SUMIFS($AU$1035:AU1229,$AA$1035:AA1229,"*")</f>
        <v>-499.79999999992333</v>
      </c>
      <c r="BS1087" s="87">
        <f>SUMIFS($AU$1035:AU1229,$AB$1035:AB1229,"*")</f>
        <v>-724.00000000009095</v>
      </c>
      <c r="BT1087" s="87">
        <f>SUMIFS($AU$1035:AU1229,$AC$1035:AC1229,"*")</f>
        <v>112.00000000000097</v>
      </c>
      <c r="BU1087" s="87">
        <f>SUMIFS($AU$1035:AU1229,$AA$1035:AA1229,"*",$AB$1035:AB1229,"*")</f>
        <v>47.999999999934744</v>
      </c>
      <c r="BV1087" s="87">
        <f>SUMIFS($AU$1035:AU1229,$AA$1035:AA1229,"*",$AC$1035:AC1229,"*")</f>
        <v>-335.99999999999977</v>
      </c>
      <c r="BW1087" s="87">
        <f>SUMIFS($AU$1035:AU1229,$AB$1035:AB1229,"*",$AC$1035:AC1229,"*")</f>
        <v>-143.99999999999966</v>
      </c>
      <c r="BX1087" s="87">
        <f>SUMIFS($AV$1035:AV1229,$Q$1035:Q1229,"F")</f>
        <v>34.153846153846246</v>
      </c>
      <c r="BY1087" s="87">
        <f>SUMIFS($AV$1035:AV1229,$Q$1035:Q1229,"S")</f>
        <v>20.914285714286223</v>
      </c>
      <c r="BZ1087" s="87">
        <f>SUMIFS($AV$1035:AV1229,$Q$1035:Q1229,"O")</f>
        <v>-445.13333333327751</v>
      </c>
    </row>
    <row r="1088" spans="1:78" ht="15.75" customHeight="1">
      <c r="A1088" s="45" t="s">
        <v>3000</v>
      </c>
      <c r="B1088" s="59"/>
      <c r="C1088" s="46"/>
      <c r="D1088" s="46"/>
      <c r="E1088" s="66"/>
      <c r="F1088" s="47"/>
      <c r="G1088" s="48"/>
      <c r="H1088" s="49"/>
      <c r="I1088" s="49"/>
      <c r="J1088" s="49"/>
      <c r="K1088" s="50"/>
      <c r="L1088" s="49"/>
      <c r="M1088" s="49"/>
      <c r="N1088" s="49"/>
      <c r="O1088" s="50"/>
      <c r="P1088" s="50"/>
      <c r="Q1088" s="50"/>
      <c r="R1088" s="50"/>
      <c r="S1088" s="50"/>
      <c r="T1088" s="50"/>
      <c r="U1088" s="50"/>
      <c r="V1088" s="50"/>
      <c r="W1088" s="50"/>
      <c r="X1088" s="50"/>
      <c r="Y1088" s="50"/>
      <c r="Z1088" s="50"/>
      <c r="AA1088" s="52"/>
      <c r="AB1088" s="52"/>
      <c r="AC1088" s="52"/>
      <c r="AD1088" s="231"/>
      <c r="AE1088" s="49"/>
      <c r="AF1088" s="84"/>
      <c r="AG1088" s="49"/>
      <c r="AH1088" s="49"/>
      <c r="AI1088" s="49"/>
      <c r="AJ1088" s="226"/>
      <c r="AK1088" s="49"/>
      <c r="AL1088" s="113">
        <f t="shared" si="431"/>
        <v>0</v>
      </c>
      <c r="AM1088" s="113">
        <f t="shared" si="432"/>
        <v>0</v>
      </c>
      <c r="AN1088" s="218"/>
      <c r="AO1088" s="49"/>
      <c r="AP1088" s="49"/>
      <c r="AQ1088" s="84" t="str">
        <f>UPPER(RIGHT(Journal_Live[[#This Row],[DURATION ]]))</f>
        <v/>
      </c>
      <c r="AR1088" s="49"/>
      <c r="AS1088" s="55"/>
      <c r="AT1088" s="55">
        <f t="shared" si="433"/>
        <v>0</v>
      </c>
      <c r="AU1088" s="54">
        <f t="shared" si="434"/>
        <v>0</v>
      </c>
      <c r="AV1088" s="56">
        <f t="shared" si="435"/>
        <v>0</v>
      </c>
      <c r="AW1088" s="57"/>
      <c r="AX1088" s="151" t="s">
        <v>3270</v>
      </c>
      <c r="AY1088" s="151" t="s">
        <v>3271</v>
      </c>
      <c r="AZ1088" s="151" t="s">
        <v>3272</v>
      </c>
      <c r="BA1088" s="151" t="s">
        <v>3273</v>
      </c>
      <c r="BB1088" s="153"/>
      <c r="BC1088" s="153"/>
      <c r="BD1088" s="151"/>
      <c r="BE1088" s="152"/>
      <c r="BF1088" s="151"/>
      <c r="BG1088" s="94">
        <f>SUM($AV$1035:AV1088)</f>
        <v>-169.81904761907137</v>
      </c>
      <c r="BH1088" s="95">
        <f>SUM($AU$1035:AU1088)</f>
        <v>-147.00000000003919</v>
      </c>
      <c r="BI1088" s="80">
        <f>SUMIFS($AU$1035:AU1230,$Q$1035:Q1230,"F")</f>
        <v>112.00000000000057</v>
      </c>
      <c r="BJ1088" s="80">
        <f>SUMIFS($AU$1035:AU1230,$Q$1035:Q1230,"S")</f>
        <v>-15.999999999994088</v>
      </c>
      <c r="BK1088" s="87">
        <f>SUMIFS($AU$1035:AU1230,$P$1035:P1230,"W")</f>
        <v>-960.00000000003297</v>
      </c>
      <c r="BL1088" s="87">
        <f>SUMIFS($AU$1035:AU1230,$P$1035:P1230,"R")</f>
        <v>1024.0000000000007</v>
      </c>
      <c r="BM1088" s="87">
        <f>SUMIFS($AU$1035:AU1230,$AQ$1035:AQ1230,"M")</f>
        <v>-899.79999999984489</v>
      </c>
      <c r="BN1088" s="87">
        <f>SUMIFS($AU$1035:AU1230,$AQ$1035:AQ1230,"H")</f>
        <v>1583.9999999998265</v>
      </c>
      <c r="BO1088" s="87">
        <f>SUMIFS($AU$1035:AU1230,$AQ$1035:AQ1230,"D")</f>
        <v>-479.9999999999896</v>
      </c>
      <c r="BP1088" s="87">
        <f>SUMIFS($AS$1035:AS1318,$AO$1035:AO1318,"W")</f>
        <v>0</v>
      </c>
      <c r="BQ1088" s="87">
        <f>SUMIFS($AU$1035:AU1230,$Q$1035:Q1230,"O")</f>
        <v>-1079.7999999999552</v>
      </c>
      <c r="BR1088" s="87">
        <f>SUMIFS($AU$1035:AU1230,$AA$1035:AA1230,"*")</f>
        <v>-499.79999999992333</v>
      </c>
      <c r="BS1088" s="87">
        <f>SUMIFS($AU$1035:AU1230,$AB$1035:AB1230,"*")</f>
        <v>-724.00000000009095</v>
      </c>
      <c r="BT1088" s="87">
        <f>SUMIFS($AU$1035:AU1230,$AC$1035:AC1230,"*")</f>
        <v>112.00000000000097</v>
      </c>
      <c r="BU1088" s="87">
        <f>SUMIFS($AU$1035:AU1230,$AA$1035:AA1230,"*",$AB$1035:AB1230,"*")</f>
        <v>47.999999999934744</v>
      </c>
      <c r="BV1088" s="87">
        <f>SUMIFS($AU$1035:AU1230,$AA$1035:AA1230,"*",$AC$1035:AC1230,"*")</f>
        <v>-335.99999999999977</v>
      </c>
      <c r="BW1088" s="87">
        <f>SUMIFS($AU$1035:AU1230,$AB$1035:AB1230,"*",$AC$1035:AC1230,"*")</f>
        <v>-143.99999999999966</v>
      </c>
      <c r="BX1088" s="87">
        <f>SUMIFS($AV$1035:AV1230,$Q$1035:Q1230,"F")</f>
        <v>34.153846153846246</v>
      </c>
      <c r="BY1088" s="87">
        <f>SUMIFS($AV$1035:AV1230,$Q$1035:Q1230,"S")</f>
        <v>20.914285714286223</v>
      </c>
      <c r="BZ1088" s="87">
        <f>SUMIFS($AV$1035:AV1230,$Q$1035:Q1230,"O")</f>
        <v>-445.13333333327751</v>
      </c>
    </row>
    <row r="1089" spans="1:78" ht="15.75" customHeight="1">
      <c r="A1089" s="45" t="s">
        <v>3000</v>
      </c>
      <c r="B1089" s="59">
        <v>45534</v>
      </c>
      <c r="C1089" s="46" t="s">
        <v>3252</v>
      </c>
      <c r="D1089" s="46" t="s">
        <v>115</v>
      </c>
      <c r="E1089" s="66"/>
      <c r="F1089" s="47"/>
      <c r="G1089" s="114" t="s">
        <v>2823</v>
      </c>
      <c r="H1089" s="49"/>
      <c r="I1089" s="49"/>
      <c r="J1089" s="49"/>
      <c r="K1089" s="50"/>
      <c r="L1089" s="49"/>
      <c r="M1089" s="49">
        <v>1</v>
      </c>
      <c r="N1089" s="49"/>
      <c r="O1089" s="50" t="s">
        <v>100</v>
      </c>
      <c r="P1089" s="50" t="s">
        <v>126</v>
      </c>
      <c r="Q1089" s="50" t="s">
        <v>102</v>
      </c>
      <c r="R1089" s="50">
        <v>15</v>
      </c>
      <c r="S1089" s="50">
        <v>0</v>
      </c>
      <c r="T1089" s="50">
        <v>7</v>
      </c>
      <c r="U1089" s="50" t="s">
        <v>22</v>
      </c>
      <c r="V1089" s="50" t="s">
        <v>2906</v>
      </c>
      <c r="W1089" s="50" t="s">
        <v>22</v>
      </c>
      <c r="X1089" s="50" t="s">
        <v>3002</v>
      </c>
      <c r="Y1089" s="51">
        <f>IF(ISBLANK(O1089),"",(IF(O1089=UPPER("IB"),0.005,0.01)))</f>
        <v>0.01</v>
      </c>
      <c r="Z1089" s="52">
        <f>IF(ISBLANK(O1089),"",IF(O1089="IB",8.63*200,IF(O1089="IR",16*100,IF(O1089="YT",20*100,IF(O1089="YT-XT",24*200,IF(O1089="TED",80*100,IF(O1089="XT",29*200)))))))</f>
        <v>1600</v>
      </c>
      <c r="AA1089" s="52"/>
      <c r="AB1089" s="52"/>
      <c r="AC1089" s="52" t="s">
        <v>3274</v>
      </c>
      <c r="AD1089" s="231">
        <f>((-0.17*11)+(-0.16*4))/15</f>
        <v>-0.16733333333333336</v>
      </c>
      <c r="AE1089" s="49"/>
      <c r="AF1089" s="84"/>
      <c r="AG1089" s="49"/>
      <c r="AH1089" s="49"/>
      <c r="AI1089" s="49"/>
      <c r="AJ1089" s="226"/>
      <c r="AK1089" s="49"/>
      <c r="AL1089" s="113">
        <f t="shared" si="416"/>
        <v>-32</v>
      </c>
      <c r="AM1089" s="113">
        <f t="shared" si="423"/>
        <v>-480</v>
      </c>
      <c r="AN1089" s="218"/>
      <c r="AO1089" s="49"/>
      <c r="AP1089" s="49" t="s">
        <v>265</v>
      </c>
      <c r="AQ1089" s="84" t="s">
        <v>155</v>
      </c>
      <c r="AR1089" s="74">
        <v>45538</v>
      </c>
      <c r="AS1089" s="55">
        <v>-0.16</v>
      </c>
      <c r="AT1089" s="55">
        <f t="shared" si="424"/>
        <v>7.3333333333333584E-3</v>
      </c>
      <c r="AU1089" s="54">
        <f t="shared" si="425"/>
        <v>176.0000000000006</v>
      </c>
      <c r="AV1089" s="56">
        <f t="shared" si="417"/>
        <v>11.733333333333373</v>
      </c>
      <c r="AW1089" s="57" t="s">
        <v>101</v>
      </c>
      <c r="AX1089" s="151"/>
      <c r="AY1089" s="151"/>
      <c r="AZ1089" s="151"/>
      <c r="BA1089" s="151"/>
      <c r="BB1089" s="153"/>
      <c r="BC1089" s="153"/>
      <c r="BD1089" s="151"/>
      <c r="BE1089" s="152"/>
      <c r="BF1089" s="151"/>
      <c r="BG1089" s="94">
        <f>SUM($AV$1035:AV1089)</f>
        <v>-158.08571428573799</v>
      </c>
      <c r="BH1089" s="95">
        <f>SUM($AU$1035:AU1089)</f>
        <v>28.999999999961403</v>
      </c>
      <c r="BI1089" s="80">
        <f>SUMIFS($AU$1035:AU1231,$Q$1035:Q1231,"F")</f>
        <v>112.00000000000057</v>
      </c>
      <c r="BJ1089" s="80">
        <f>SUMIFS($AU$1035:AU1231,$Q$1035:Q1231,"S")</f>
        <v>-15.999999999994088</v>
      </c>
      <c r="BK1089" s="87">
        <f>SUMIFS($AU$1035:AU1231,$P$1035:P1231,"W")</f>
        <v>-960.00000000003297</v>
      </c>
      <c r="BL1089" s="87">
        <f>SUMIFS($AU$1035:AU1231,$P$1035:P1231,"R")</f>
        <v>1024.0000000000007</v>
      </c>
      <c r="BM1089" s="87">
        <f>SUMIFS($AU$1035:AU1231,$AQ$1035:AQ1231,"M")</f>
        <v>-899.79999999984489</v>
      </c>
      <c r="BN1089" s="87">
        <f>SUMIFS($AU$1035:AU1231,$AQ$1035:AQ1231,"H")</f>
        <v>1583.9999999998265</v>
      </c>
      <c r="BO1089" s="87">
        <f>SUMIFS($AU$1035:AU1231,$AQ$1035:AQ1231,"D")</f>
        <v>-479.9999999999896</v>
      </c>
      <c r="BP1089" s="87">
        <f>SUMIFS($AS$1035:AS1319,$AO$1035:AO1319,"W")</f>
        <v>0</v>
      </c>
      <c r="BQ1089" s="87">
        <f>SUMIFS($AU$1035:AU1231,$Q$1035:Q1231,"O")</f>
        <v>-1079.7999999999552</v>
      </c>
      <c r="BR1089" s="87">
        <f>SUMIFS($AU$1035:AU1231,$AA$1035:AA1231,"*")</f>
        <v>-499.79999999992333</v>
      </c>
      <c r="BS1089" s="87">
        <f>SUMIFS($AU$1035:AU1231,$AB$1035:AB1231,"*")</f>
        <v>-724.00000000009095</v>
      </c>
      <c r="BT1089" s="87">
        <f>SUMIFS($AU$1035:AU1231,$AC$1035:AC1231,"*")</f>
        <v>112.00000000000097</v>
      </c>
      <c r="BU1089" s="87">
        <f>SUMIFS($AU$1035:AU1231,$AA$1035:AA1231,"*",$AB$1035:AB1231,"*")</f>
        <v>47.999999999934744</v>
      </c>
      <c r="BV1089" s="87">
        <f>SUMIFS($AU$1035:AU1231,$AA$1035:AA1231,"*",$AC$1035:AC1231,"*")</f>
        <v>-335.99999999999977</v>
      </c>
      <c r="BW1089" s="87">
        <f>SUMIFS($AU$1035:AU1231,$AB$1035:AB1231,"*",$AC$1035:AC1231,"*")</f>
        <v>-143.99999999999966</v>
      </c>
      <c r="BX1089" s="87">
        <f>SUMIFS($AV$1035:AV1231,$Q$1035:Q1231,"F")</f>
        <v>34.153846153846246</v>
      </c>
      <c r="BY1089" s="87">
        <f>SUMIFS($AV$1035:AV1231,$Q$1035:Q1231,"S")</f>
        <v>20.914285714286223</v>
      </c>
      <c r="BZ1089" s="87">
        <f>SUMIFS($AV$1035:AV1231,$Q$1035:Q1231,"O")</f>
        <v>-445.13333333327751</v>
      </c>
    </row>
    <row r="1090" spans="1:78" ht="15.75" customHeight="1">
      <c r="A1090" s="45" t="s">
        <v>3000</v>
      </c>
      <c r="B1090" s="59"/>
      <c r="C1090" s="46"/>
      <c r="D1090" s="46"/>
      <c r="E1090" s="66"/>
      <c r="F1090" s="47"/>
      <c r="G1090" s="48"/>
      <c r="H1090" s="49"/>
      <c r="I1090" s="49"/>
      <c r="J1090" s="49"/>
      <c r="K1090" s="50"/>
      <c r="L1090" s="49"/>
      <c r="M1090" s="49"/>
      <c r="N1090" s="49"/>
      <c r="O1090" s="50"/>
      <c r="P1090" s="50"/>
      <c r="Q1090" s="50"/>
      <c r="R1090" s="50"/>
      <c r="S1090" s="50"/>
      <c r="T1090" s="50"/>
      <c r="U1090" s="50"/>
      <c r="V1090" s="50"/>
      <c r="W1090" s="50"/>
      <c r="X1090" s="50"/>
      <c r="Y1090" s="50"/>
      <c r="Z1090" s="50"/>
      <c r="AA1090" s="52"/>
      <c r="AB1090" s="52"/>
      <c r="AC1090" s="52"/>
      <c r="AD1090" s="231"/>
      <c r="AE1090" s="49"/>
      <c r="AF1090" s="84"/>
      <c r="AG1090" s="49"/>
      <c r="AH1090" s="49"/>
      <c r="AI1090" s="49"/>
      <c r="AJ1090" s="226"/>
      <c r="AK1090" s="49"/>
      <c r="AL1090" s="113">
        <f t="shared" ref="AL1090:AL1133" si="463">-0.02*Z1090</f>
        <v>0</v>
      </c>
      <c r="AM1090" s="113">
        <f>AL1090*(R1090-S1090)</f>
        <v>0</v>
      </c>
      <c r="AN1090" s="218"/>
      <c r="AO1090" s="49"/>
      <c r="AP1090" s="49"/>
      <c r="AQ1090" s="84" t="str">
        <f>UPPER(RIGHT(Journal_Live[[#This Row],[DURATION ]]))</f>
        <v/>
      </c>
      <c r="AR1090" s="49"/>
      <c r="AS1090" s="55"/>
      <c r="AT1090" s="55">
        <f>IF(ISBLANK(AS1090),,IF(U1090="S",AD1090-AS1090,AS1090-AD1090))</f>
        <v>0</v>
      </c>
      <c r="AU1090" s="54">
        <f>AV1090*R1090</f>
        <v>0</v>
      </c>
      <c r="AV1090" s="56">
        <f t="shared" si="288"/>
        <v>0</v>
      </c>
      <c r="AW1090" s="57"/>
      <c r="AX1090" s="151"/>
      <c r="AY1090" s="151"/>
      <c r="AZ1090" s="151"/>
      <c r="BA1090" s="151"/>
      <c r="BB1090" s="153"/>
      <c r="BC1090" s="153"/>
      <c r="BD1090" s="151"/>
      <c r="BE1090" s="152"/>
      <c r="BF1090" s="151"/>
      <c r="BG1090" s="94">
        <f>SUM($AV$1035:AV1090)</f>
        <v>-158.08571428573799</v>
      </c>
      <c r="BH1090" s="95">
        <f>SUM($AU$1035:AU1090)</f>
        <v>28.999999999961403</v>
      </c>
      <c r="BI1090" s="80">
        <f>SUMIFS($AU$1035:AU1232,$Q$1035:Q1232,"F")</f>
        <v>112.00000000000057</v>
      </c>
      <c r="BJ1090" s="80">
        <f>SUMIFS($AU$1035:AU1232,$Q$1035:Q1232,"S")</f>
        <v>-15.999999999994088</v>
      </c>
      <c r="BK1090" s="87">
        <f>SUMIFS($AU$1035:AU1232,$P$1035:P1232,"W")</f>
        <v>-960.00000000003297</v>
      </c>
      <c r="BL1090" s="87">
        <f>SUMIFS($AU$1035:AU1232,$P$1035:P1232,"R")</f>
        <v>1024.0000000000007</v>
      </c>
      <c r="BM1090" s="87">
        <f>SUMIFS($AU$1035:AU1232,$AQ$1035:AQ1232,"M")</f>
        <v>-899.79999999984489</v>
      </c>
      <c r="BN1090" s="87">
        <f>SUMIFS($AU$1035:AU1232,$AQ$1035:AQ1232,"H")</f>
        <v>1583.9999999998265</v>
      </c>
      <c r="BO1090" s="87">
        <f>SUMIFS($AU$1035:AU1232,$AQ$1035:AQ1232,"D")</f>
        <v>-479.9999999999896</v>
      </c>
      <c r="BP1090" s="87">
        <f>SUMIFS($AS$1035:AS1320,$AO$1035:AO1320,"W")</f>
        <v>0</v>
      </c>
      <c r="BQ1090" s="87">
        <f>SUMIFS($AU$1035:AU1232,$Q$1035:Q1232,"O")</f>
        <v>-1079.7999999999552</v>
      </c>
      <c r="BR1090" s="87">
        <f>SUMIFS($AU$1035:AU1232,$AA$1035:AA1232,"*")</f>
        <v>-499.79999999992333</v>
      </c>
      <c r="BS1090" s="87">
        <f>SUMIFS($AU$1035:AU1232,$AB$1035:AB1232,"*")</f>
        <v>-724.00000000009095</v>
      </c>
      <c r="BT1090" s="87">
        <f>SUMIFS($AU$1035:AU1232,$AC$1035:AC1232,"*")</f>
        <v>112.00000000000097</v>
      </c>
      <c r="BU1090" s="87">
        <f>SUMIFS($AU$1035:AU1232,$AA$1035:AA1232,"*",$AB$1035:AB1232,"*")</f>
        <v>47.999999999934744</v>
      </c>
      <c r="BV1090" s="87">
        <f>SUMIFS($AU$1035:AU1232,$AA$1035:AA1232,"*",$AC$1035:AC1232,"*")</f>
        <v>-335.99999999999977</v>
      </c>
      <c r="BW1090" s="87">
        <f>SUMIFS($AU$1035:AU1232,$AB$1035:AB1232,"*",$AC$1035:AC1232,"*")</f>
        <v>-143.99999999999966</v>
      </c>
      <c r="BX1090" s="87">
        <f>SUMIFS($AV$1035:AV1232,$Q$1035:Q1232,"F")</f>
        <v>34.153846153846246</v>
      </c>
      <c r="BY1090" s="87">
        <f>SUMIFS($AV$1035:AV1232,$Q$1035:Q1232,"S")</f>
        <v>20.914285714286223</v>
      </c>
      <c r="BZ1090" s="87">
        <f>SUMIFS($AV$1035:AV1232,$Q$1035:Q1232,"O")</f>
        <v>-445.13333333327751</v>
      </c>
    </row>
    <row r="1091" spans="1:78" ht="15.75" customHeight="1">
      <c r="A1091" s="45" t="s">
        <v>3000</v>
      </c>
      <c r="B1091" s="59"/>
      <c r="C1091" s="46"/>
      <c r="D1091" s="46"/>
      <c r="E1091" s="66"/>
      <c r="F1091" s="47"/>
      <c r="G1091" s="48"/>
      <c r="H1091" s="49"/>
      <c r="I1091" s="49"/>
      <c r="J1091" s="49"/>
      <c r="K1091" s="50"/>
      <c r="L1091" s="49"/>
      <c r="M1091" s="49"/>
      <c r="N1091" s="49"/>
      <c r="O1091" s="50"/>
      <c r="P1091" s="50"/>
      <c r="Q1091" s="50"/>
      <c r="R1091" s="50"/>
      <c r="S1091" s="50"/>
      <c r="T1091" s="50"/>
      <c r="U1091" s="50"/>
      <c r="V1091" s="50"/>
      <c r="W1091" s="50"/>
      <c r="X1091" s="50"/>
      <c r="Y1091" s="50"/>
      <c r="Z1091" s="50"/>
      <c r="AA1091" s="52"/>
      <c r="AB1091" s="52"/>
      <c r="AC1091" s="52"/>
      <c r="AD1091" s="231"/>
      <c r="AE1091" s="49"/>
      <c r="AF1091" s="84"/>
      <c r="AG1091" s="49"/>
      <c r="AH1091" s="49"/>
      <c r="AI1091" s="49"/>
      <c r="AJ1091" s="226"/>
      <c r="AK1091" s="49"/>
      <c r="AL1091" s="113">
        <f t="shared" si="463"/>
        <v>0</v>
      </c>
      <c r="AM1091" s="113">
        <f>AL1091*(R1091-S1091)</f>
        <v>0</v>
      </c>
      <c r="AN1091" s="218"/>
      <c r="AO1091" s="49"/>
      <c r="AP1091" s="49"/>
      <c r="AQ1091" s="84" t="str">
        <f>UPPER(RIGHT(Journal_Live[[#This Row],[DURATION ]]))</f>
        <v/>
      </c>
      <c r="AR1091" s="49"/>
      <c r="AS1091" s="55"/>
      <c r="AT1091" s="55">
        <f>IF(ISBLANK(AS1091),,IF(U1091="S",AD1091-AS1091,AS1091-AD1091))</f>
        <v>0</v>
      </c>
      <c r="AU1091" s="54">
        <f>AV1091*R1091</f>
        <v>0</v>
      </c>
      <c r="AV1091" s="56">
        <f t="shared" ref="AV1091:AV1133" si="464">IF(ISBLANK(AS1091),,(AT1091*Z1091))</f>
        <v>0</v>
      </c>
      <c r="AW1091" s="57"/>
      <c r="AX1091" s="153"/>
      <c r="AY1091" s="153"/>
      <c r="AZ1091" s="153"/>
      <c r="BA1091" s="153"/>
      <c r="BB1091" s="153"/>
      <c r="BC1091" s="153"/>
      <c r="BD1091" s="153"/>
      <c r="BE1091" s="152"/>
      <c r="BF1091" s="151"/>
      <c r="BG1091" s="94">
        <f>SUM($AV$1035:AV1091)</f>
        <v>-158.08571428573799</v>
      </c>
      <c r="BH1091" s="95">
        <f>SUM($AU$1035:AU1091)</f>
        <v>28.999999999961403</v>
      </c>
      <c r="BI1091" s="80">
        <f>SUMIFS($AU$1035:AU1233,$Q$1035:Q1233,"F")</f>
        <v>112.00000000000057</v>
      </c>
      <c r="BJ1091" s="80">
        <f>SUMIFS($AU$1035:AU1233,$Q$1035:Q1233,"S")</f>
        <v>-15.999999999994088</v>
      </c>
      <c r="BK1091" s="87">
        <f>SUMIFS($AU$1035:AU1233,$P$1035:P1233,"W")</f>
        <v>-960.00000000003297</v>
      </c>
      <c r="BL1091" s="87">
        <f>SUMIFS($AU$1035:AU1233,$P$1035:P1233,"R")</f>
        <v>1024.0000000000007</v>
      </c>
      <c r="BM1091" s="87">
        <f>SUMIFS($AU$1035:AU1233,$AQ$1035:AQ1233,"M")</f>
        <v>-899.79999999984489</v>
      </c>
      <c r="BN1091" s="87">
        <f>SUMIFS($AU$1035:AU1233,$AQ$1035:AQ1233,"H")</f>
        <v>1583.9999999998265</v>
      </c>
      <c r="BO1091" s="87">
        <f>SUMIFS($AU$1035:AU1233,$AQ$1035:AQ1233,"D")</f>
        <v>-479.9999999999896</v>
      </c>
      <c r="BP1091" s="87">
        <f>SUMIFS($AS$1035:AS1321,$AO$1035:AO1321,"W")</f>
        <v>0</v>
      </c>
      <c r="BQ1091" s="87">
        <f>SUMIFS($AU$1035:AU1233,$Q$1035:Q1233,"O")</f>
        <v>-1079.7999999999552</v>
      </c>
      <c r="BR1091" s="87">
        <f>SUMIFS($AU$1035:AU1233,$AA$1035:AA1233,"*")</f>
        <v>-499.79999999992333</v>
      </c>
      <c r="BS1091" s="87">
        <f>SUMIFS($AU$1035:AU1233,$AB$1035:AB1233,"*")</f>
        <v>-724.00000000009095</v>
      </c>
      <c r="BT1091" s="87">
        <f>SUMIFS($AU$1035:AU1233,$AC$1035:AC1233,"*")</f>
        <v>112.00000000000097</v>
      </c>
      <c r="BU1091" s="87">
        <f>SUMIFS($AU$1035:AU1233,$AA$1035:AA1233,"*",$AB$1035:AB1233,"*")</f>
        <v>47.999999999934744</v>
      </c>
      <c r="BV1091" s="87">
        <f>SUMIFS($AU$1035:AU1233,$AA$1035:AA1233,"*",$AC$1035:AC1233,"*")</f>
        <v>-335.99999999999977</v>
      </c>
      <c r="BW1091" s="87">
        <f>SUMIFS($AU$1035:AU1233,$AB$1035:AB1233,"*",$AC$1035:AC1233,"*")</f>
        <v>-143.99999999999966</v>
      </c>
      <c r="BX1091" s="87">
        <f>SUMIFS($AV$1035:AV1233,$Q$1035:Q1233,"F")</f>
        <v>34.153846153846246</v>
      </c>
      <c r="BY1091" s="87">
        <f>SUMIFS($AV$1035:AV1233,$Q$1035:Q1233,"S")</f>
        <v>20.914285714286223</v>
      </c>
      <c r="BZ1091" s="87">
        <f>SUMIFS($AV$1035:AV1233,$Q$1035:Q1233,"O")</f>
        <v>-445.13333333327751</v>
      </c>
    </row>
    <row r="1092" spans="1:78" ht="15.75" customHeight="1">
      <c r="A1092" s="45" t="s">
        <v>3000</v>
      </c>
      <c r="B1092" s="59"/>
      <c r="C1092" s="46"/>
      <c r="D1092" s="46"/>
      <c r="E1092" s="66"/>
      <c r="F1092" s="47"/>
      <c r="G1092" s="48"/>
      <c r="H1092" s="49"/>
      <c r="I1092" s="49"/>
      <c r="J1092" s="49"/>
      <c r="K1092" s="50"/>
      <c r="L1092" s="49"/>
      <c r="M1092" s="49"/>
      <c r="N1092" s="49"/>
      <c r="O1092" s="50"/>
      <c r="P1092" s="50"/>
      <c r="Q1092" s="50"/>
      <c r="R1092" s="50"/>
      <c r="S1092" s="50"/>
      <c r="T1092" s="50"/>
      <c r="U1092" s="50"/>
      <c r="V1092" s="50"/>
      <c r="W1092" s="50"/>
      <c r="X1092" s="50"/>
      <c r="Y1092" s="50"/>
      <c r="Z1092" s="50"/>
      <c r="AA1092" s="52"/>
      <c r="AB1092" s="52"/>
      <c r="AC1092" s="52"/>
      <c r="AD1092" s="231"/>
      <c r="AE1092" s="49"/>
      <c r="AF1092" s="84"/>
      <c r="AG1092" s="49"/>
      <c r="AH1092" s="49"/>
      <c r="AI1092" s="49"/>
      <c r="AJ1092" s="226"/>
      <c r="AK1092" s="49"/>
      <c r="AL1092" s="113">
        <f t="shared" si="463"/>
        <v>0</v>
      </c>
      <c r="AM1092" s="113">
        <f>AL1092*(R1092-S1092)</f>
        <v>0</v>
      </c>
      <c r="AN1092" s="218"/>
      <c r="AO1092" s="49"/>
      <c r="AP1092" s="49"/>
      <c r="AQ1092" s="84" t="str">
        <f>UPPER(RIGHT(Journal_Live[[#This Row],[DURATION ]]))</f>
        <v/>
      </c>
      <c r="AR1092" s="49"/>
      <c r="AS1092" s="55"/>
      <c r="AT1092" s="55">
        <f>IF(ISBLANK(AS1092),,IF(U1092="S",AD1092-AS1092,AS1092-AD1092))</f>
        <v>0</v>
      </c>
      <c r="AU1092" s="54">
        <f>AV1092*R1092</f>
        <v>0</v>
      </c>
      <c r="AV1092" s="56">
        <f t="shared" si="464"/>
        <v>0</v>
      </c>
      <c r="AW1092" s="57"/>
      <c r="AX1092" s="153"/>
      <c r="AY1092" s="153"/>
      <c r="AZ1092" s="153"/>
      <c r="BA1092" s="153"/>
      <c r="BB1092" s="153"/>
      <c r="BC1092" s="153"/>
      <c r="BD1092" s="153"/>
      <c r="BE1092" s="152"/>
      <c r="BF1092" s="151"/>
      <c r="BG1092" s="94">
        <f>SUM($AV$1035:AV1092)</f>
        <v>-158.08571428573799</v>
      </c>
      <c r="BH1092" s="95">
        <f>SUM($AU$1035:AU1092)</f>
        <v>28.999999999961403</v>
      </c>
      <c r="BI1092" s="80">
        <f>SUMIFS($AU$1035:AU1234,$Q$1035:Q1234,"F")</f>
        <v>112.00000000000057</v>
      </c>
      <c r="BJ1092" s="80">
        <f>SUMIFS($AU$1035:AU1234,$Q$1035:Q1234,"S")</f>
        <v>-15.999999999994088</v>
      </c>
      <c r="BK1092" s="87">
        <f>SUMIFS($AU$1035:AU1234,$P$1035:P1234,"W")</f>
        <v>-960.00000000003297</v>
      </c>
      <c r="BL1092" s="87">
        <f>SUMIFS($AU$1035:AU1234,$P$1035:P1234,"R")</f>
        <v>1024.0000000000007</v>
      </c>
      <c r="BM1092" s="87">
        <f>SUMIFS($AU$1035:AU1234,$AQ$1035:AQ1234,"M")</f>
        <v>-899.79999999984489</v>
      </c>
      <c r="BN1092" s="87">
        <f>SUMIFS($AU$1035:AU1234,$AQ$1035:AQ1234,"H")</f>
        <v>1583.9999999998265</v>
      </c>
      <c r="BO1092" s="87">
        <f>SUMIFS($AU$1035:AU1234,$AQ$1035:AQ1234,"D")</f>
        <v>-479.9999999999896</v>
      </c>
      <c r="BP1092" s="87">
        <f>SUMIFS($AS$1035:AS1322,$AO$1035:AO1322,"W")</f>
        <v>0</v>
      </c>
      <c r="BQ1092" s="87">
        <f>SUMIFS($AU$1035:AU1234,$Q$1035:Q1234,"O")</f>
        <v>-1079.7999999999552</v>
      </c>
      <c r="BR1092" s="87">
        <f>SUMIFS($AU$1035:AU1234,$AA$1035:AA1234,"*")</f>
        <v>-499.79999999992333</v>
      </c>
      <c r="BS1092" s="87">
        <f>SUMIFS($AU$1035:AU1234,$AB$1035:AB1234,"*")</f>
        <v>-724.00000000009095</v>
      </c>
      <c r="BT1092" s="87">
        <f>SUMIFS($AU$1035:AU1234,$AC$1035:AC1234,"*")</f>
        <v>112.00000000000097</v>
      </c>
      <c r="BU1092" s="87">
        <f>SUMIFS($AU$1035:AU1234,$AA$1035:AA1234,"*",$AB$1035:AB1234,"*")</f>
        <v>47.999999999934744</v>
      </c>
      <c r="BV1092" s="87">
        <f>SUMIFS($AU$1035:AU1234,$AA$1035:AA1234,"*",$AC$1035:AC1234,"*")</f>
        <v>-335.99999999999977</v>
      </c>
      <c r="BW1092" s="87">
        <f>SUMIFS($AU$1035:AU1234,$AB$1035:AB1234,"*",$AC$1035:AC1234,"*")</f>
        <v>-143.99999999999966</v>
      </c>
      <c r="BX1092" s="87">
        <f>SUMIFS($AV$1035:AV1234,$Q$1035:Q1234,"F")</f>
        <v>34.153846153846246</v>
      </c>
      <c r="BY1092" s="87">
        <f>SUMIFS($AV$1035:AV1234,$Q$1035:Q1234,"S")</f>
        <v>20.914285714286223</v>
      </c>
      <c r="BZ1092" s="87">
        <f>SUMIFS($AV$1035:AV1234,$Q$1035:Q1234,"O")</f>
        <v>-445.13333333327751</v>
      </c>
    </row>
    <row r="1093" spans="1:78" ht="15.75" customHeight="1">
      <c r="A1093" s="45" t="s">
        <v>3000</v>
      </c>
      <c r="B1093" s="59"/>
      <c r="C1093" s="46"/>
      <c r="D1093" s="46"/>
      <c r="E1093" s="66"/>
      <c r="F1093" s="47"/>
      <c r="G1093" s="48"/>
      <c r="H1093" s="49"/>
      <c r="I1093" s="49"/>
      <c r="J1093" s="49"/>
      <c r="K1093" s="50"/>
      <c r="L1093" s="49"/>
      <c r="M1093" s="49"/>
      <c r="N1093" s="49"/>
      <c r="O1093" s="50"/>
      <c r="P1093" s="50"/>
      <c r="Q1093" s="50"/>
      <c r="R1093" s="50"/>
      <c r="S1093" s="50"/>
      <c r="T1093" s="50"/>
      <c r="U1093" s="50"/>
      <c r="V1093" s="50"/>
      <c r="W1093" s="50"/>
      <c r="X1093" s="50"/>
      <c r="Y1093" s="50"/>
      <c r="Z1093" s="50"/>
      <c r="AA1093" s="52"/>
      <c r="AB1093" s="52"/>
      <c r="AC1093" s="52"/>
      <c r="AD1093" s="231"/>
      <c r="AE1093" s="49"/>
      <c r="AF1093" s="84"/>
      <c r="AG1093" s="49"/>
      <c r="AH1093" s="49"/>
      <c r="AI1093" s="49"/>
      <c r="AJ1093" s="226"/>
      <c r="AK1093" s="49"/>
      <c r="AL1093" s="113">
        <f t="shared" ref="AL1093:AL1132" si="465">-0.02*Z1093</f>
        <v>0</v>
      </c>
      <c r="AM1093" s="113">
        <f>AL1093*(R1093-S1093)</f>
        <v>0</v>
      </c>
      <c r="AN1093" s="218"/>
      <c r="AO1093" s="49"/>
      <c r="AP1093" s="49"/>
      <c r="AQ1093" s="84" t="str">
        <f>UPPER(RIGHT(Journal_Live[[#This Row],[DURATION ]]))</f>
        <v/>
      </c>
      <c r="AR1093" s="49"/>
      <c r="AS1093" s="55"/>
      <c r="AT1093" s="55">
        <f>IF(ISBLANK(AS1093),,IF(U1093="S",AD1093-AS1093,AS1093-AD1093))</f>
        <v>0</v>
      </c>
      <c r="AU1093" s="54">
        <f>AV1093*R1093</f>
        <v>0</v>
      </c>
      <c r="AV1093" s="56">
        <f t="shared" ref="AV1093:AV1132" si="466">IF(ISBLANK(AS1093),,(AT1093*Z1093))</f>
        <v>0</v>
      </c>
      <c r="AW1093" s="57"/>
      <c r="AX1093" s="153"/>
      <c r="AY1093" s="153"/>
      <c r="AZ1093" s="153"/>
      <c r="BA1093" s="153"/>
      <c r="BB1093" s="153"/>
      <c r="BC1093" s="153"/>
      <c r="BD1093" s="153"/>
      <c r="BE1093" s="152"/>
      <c r="BF1093" s="151"/>
      <c r="BG1093" s="94">
        <f>SUM($AV$1035:AV1093)</f>
        <v>-158.08571428573799</v>
      </c>
      <c r="BH1093" s="95">
        <f>SUM($AU$1035:AU1093)</f>
        <v>28.999999999961403</v>
      </c>
      <c r="BI1093" s="80">
        <f>SUMIFS($AU$1035:AU1235,$Q$1035:Q1235,"F")</f>
        <v>112.00000000000057</v>
      </c>
      <c r="BJ1093" s="80">
        <f>SUMIFS($AU$1035:AU1235,$Q$1035:Q1235,"S")</f>
        <v>-15.999999999994088</v>
      </c>
      <c r="BK1093" s="87">
        <f>SUMIFS($AU$1035:AU1235,$P$1035:P1235,"W")</f>
        <v>-960.00000000003297</v>
      </c>
      <c r="BL1093" s="87">
        <f>SUMIFS($AU$1035:AU1235,$P$1035:P1235,"R")</f>
        <v>1024.0000000000007</v>
      </c>
      <c r="BM1093" s="87">
        <f>SUMIFS($AU$1035:AU1235,$AQ$1035:AQ1235,"M")</f>
        <v>-899.79999999984489</v>
      </c>
      <c r="BN1093" s="87">
        <f>SUMIFS($AU$1035:AU1235,$AQ$1035:AQ1235,"H")</f>
        <v>1583.9999999998265</v>
      </c>
      <c r="BO1093" s="87">
        <f>SUMIFS($AU$1035:AU1235,$AQ$1035:AQ1235,"D")</f>
        <v>-479.9999999999896</v>
      </c>
      <c r="BP1093" s="87">
        <f>SUMIFS($AS$1035:AS1323,$AO$1035:AO1323,"W")</f>
        <v>0</v>
      </c>
      <c r="BQ1093" s="87">
        <f>SUMIFS($AU$1035:AU1235,$Q$1035:Q1235,"O")</f>
        <v>-1079.7999999999552</v>
      </c>
      <c r="BR1093" s="87">
        <f>SUMIFS($AU$1035:AU1235,$AA$1035:AA1235,"*")</f>
        <v>-499.79999999992333</v>
      </c>
      <c r="BS1093" s="87">
        <f>SUMIFS($AU$1035:AU1235,$AB$1035:AB1235,"*")</f>
        <v>-724.00000000009095</v>
      </c>
      <c r="BT1093" s="87">
        <f>SUMIFS($AU$1035:AU1235,$AC$1035:AC1235,"*")</f>
        <v>112.00000000000097</v>
      </c>
      <c r="BU1093" s="87">
        <f>SUMIFS($AU$1035:AU1235,$AA$1035:AA1235,"*",$AB$1035:AB1235,"*")</f>
        <v>47.999999999934744</v>
      </c>
      <c r="BV1093" s="87">
        <f>SUMIFS($AU$1035:AU1235,$AA$1035:AA1235,"*",$AC$1035:AC1235,"*")</f>
        <v>-335.99999999999977</v>
      </c>
      <c r="BW1093" s="87">
        <f>SUMIFS($AU$1035:AU1235,$AB$1035:AB1235,"*",$AC$1035:AC1235,"*")</f>
        <v>-143.99999999999966</v>
      </c>
      <c r="BX1093" s="87">
        <f>SUMIFS($AV$1035:AV1235,$Q$1035:Q1235,"F")</f>
        <v>34.153846153846246</v>
      </c>
      <c r="BY1093" s="87">
        <f>SUMIFS($AV$1035:AV1235,$Q$1035:Q1235,"S")</f>
        <v>20.914285714286223</v>
      </c>
      <c r="BZ1093" s="87">
        <f>SUMIFS($AV$1035:AV1235,$Q$1035:Q1235,"O")</f>
        <v>-445.13333333327751</v>
      </c>
    </row>
    <row r="1094" spans="1:78" ht="15.75" customHeight="1">
      <c r="A1094" s="111" t="s">
        <v>3275</v>
      </c>
      <c r="B1094" s="68"/>
      <c r="C1094" s="60"/>
      <c r="D1094" s="60"/>
      <c r="E1094" s="61"/>
      <c r="F1094" s="62"/>
      <c r="G1094" s="60"/>
      <c r="H1094" s="60"/>
      <c r="I1094" s="60"/>
      <c r="J1094" s="60"/>
      <c r="K1094" s="63"/>
      <c r="L1094" s="60"/>
      <c r="M1094" s="60"/>
      <c r="N1094" s="60"/>
      <c r="O1094" s="60"/>
      <c r="P1094" s="63"/>
      <c r="Q1094" s="63"/>
      <c r="R1094" s="63"/>
      <c r="S1094" s="63"/>
      <c r="T1094" s="63"/>
      <c r="U1094" s="63"/>
      <c r="V1094" s="63"/>
      <c r="W1094" s="63"/>
      <c r="X1094" s="63"/>
      <c r="Y1094" s="63"/>
      <c r="Z1094" s="64" t="str">
        <f>IF(ISBLANK(O1094),"",IF(O1094="IB",8.63*200,IF(O1094="IR",16*100,IF(O1094="YT",20*100,IF(O1094="YT-XT",24*200,IF(O1094="TED",80*100))))))</f>
        <v/>
      </c>
      <c r="AA1094" s="64"/>
      <c r="AB1094" s="64"/>
      <c r="AC1094" s="64"/>
      <c r="AD1094" s="232"/>
      <c r="AE1094" s="60"/>
      <c r="AF1094" s="60"/>
      <c r="AG1094" s="60"/>
      <c r="AH1094" s="60"/>
      <c r="AI1094" s="60"/>
      <c r="AJ1094" s="229"/>
      <c r="AK1094" s="60"/>
      <c r="AL1094" s="60"/>
      <c r="AM1094" s="60"/>
      <c r="AN1094" s="219"/>
      <c r="AO1094" s="60"/>
      <c r="AP1094" s="60"/>
      <c r="AQ1094" s="85" t="str">
        <f>UPPER(RIGHT(Journal_Live[[#This Row],[DURATION ]]))</f>
        <v/>
      </c>
      <c r="AR1094" s="60"/>
      <c r="AS1094" s="60"/>
      <c r="AT1094" s="60"/>
      <c r="AU1094" s="60"/>
      <c r="AV1094" s="60"/>
      <c r="AW1094" s="60"/>
      <c r="AX1094" s="99"/>
      <c r="AY1094" s="99"/>
      <c r="AZ1094" s="99"/>
      <c r="BA1094" s="99"/>
      <c r="BB1094" s="99"/>
      <c r="BC1094" s="98"/>
      <c r="BD1094" s="98"/>
      <c r="BE1094" s="98"/>
      <c r="BF1094" s="98"/>
      <c r="BG1094" s="94">
        <f>SUM($AV$1035:AV1094)</f>
        <v>-158.08571428573799</v>
      </c>
      <c r="BH1094" s="95">
        <f>SUM($AU$1035:AU1094)</f>
        <v>28.999999999961403</v>
      </c>
      <c r="BI1094" s="80">
        <f>SUMIFS($AU$1035:AU1236,$Q$1035:Q1236,"F")</f>
        <v>112.00000000000057</v>
      </c>
      <c r="BJ1094" s="80">
        <f>SUMIFS($AU$1035:AU1236,$Q$1035:Q1236,"S")</f>
        <v>-15.999999999994088</v>
      </c>
      <c r="BK1094" s="87">
        <f>SUMIFS($AU$1035:AU1236,$P$1035:P1236,"W")</f>
        <v>-960.00000000003297</v>
      </c>
      <c r="BL1094" s="87">
        <f>SUMIFS($AU$1035:AU1236,$P$1035:P1236,"R")</f>
        <v>1024.0000000000007</v>
      </c>
      <c r="BM1094" s="87">
        <f>SUMIFS($AU$1035:AU1236,$AQ$1035:AQ1236,"M")</f>
        <v>-899.79999999984489</v>
      </c>
      <c r="BN1094" s="87">
        <f>SUMIFS($AU$1035:AU1236,$AQ$1035:AQ1236,"H")</f>
        <v>1583.9999999998265</v>
      </c>
      <c r="BO1094" s="87">
        <f>SUMIFS($AU$1035:AU1236,$AQ$1035:AQ1236,"D")</f>
        <v>-479.9999999999896</v>
      </c>
      <c r="BP1094" s="87">
        <f>SUMIFS($AS$1035:AS1324,$AO$1035:AO1324,"W")</f>
        <v>0</v>
      </c>
      <c r="BQ1094" s="87">
        <f>SUMIFS($AU$1035:AU1236,$Q$1035:Q1236,"O")</f>
        <v>-1079.7999999999552</v>
      </c>
      <c r="BR1094" s="87">
        <f>SUMIFS($AU$1035:AU1236,$AA$1035:AA1236,"*")</f>
        <v>-499.79999999992333</v>
      </c>
      <c r="BS1094" s="87">
        <f>SUMIFS($AU$1035:AU1236,$AB$1035:AB1236,"*")</f>
        <v>-724.00000000009095</v>
      </c>
      <c r="BT1094" s="87">
        <f>SUMIFS($AU$1035:AU1236,$AC$1035:AC1236,"*")</f>
        <v>112.00000000000097</v>
      </c>
      <c r="BU1094" s="87">
        <f>SUMIFS($AU$1035:AU1236,$AA$1035:AA1236,"*",$AB$1035:AB1236,"*")</f>
        <v>47.999999999934744</v>
      </c>
      <c r="BV1094" s="87">
        <f>SUMIFS($AU$1035:AU1236,$AA$1035:AA1236,"*",$AC$1035:AC1236,"*")</f>
        <v>-335.99999999999977</v>
      </c>
      <c r="BW1094" s="87">
        <f>SUMIFS($AU$1035:AU1236,$AB$1035:AB1236,"*",$AC$1035:AC1236,"*")</f>
        <v>-143.99999999999966</v>
      </c>
      <c r="BX1094" s="87">
        <f>SUMIFS($AV$1035:AV1236,$Q$1035:Q1236,"F")</f>
        <v>34.153846153846246</v>
      </c>
      <c r="BY1094" s="87">
        <f>SUMIFS($AV$1035:AV1236,$Q$1035:Q1236,"S")</f>
        <v>20.914285714286223</v>
      </c>
      <c r="BZ1094" s="87">
        <f>SUMIFS($AV$1035:AV1236,$Q$1035:Q1236,"O")</f>
        <v>-445.13333333327751</v>
      </c>
    </row>
    <row r="1095" spans="1:78" ht="15.75" customHeight="1">
      <c r="A1095" s="45" t="s">
        <v>3276</v>
      </c>
      <c r="B1095" s="59">
        <v>45538</v>
      </c>
      <c r="C1095" s="46" t="s">
        <v>3277</v>
      </c>
      <c r="D1095" s="46" t="s">
        <v>98</v>
      </c>
      <c r="E1095" s="66"/>
      <c r="F1095" s="47"/>
      <c r="G1095" s="114" t="s">
        <v>181</v>
      </c>
      <c r="H1095" s="49"/>
      <c r="I1095" s="49"/>
      <c r="J1095" s="49"/>
      <c r="K1095" s="50"/>
      <c r="L1095" s="49"/>
      <c r="M1095" s="49">
        <v>1</v>
      </c>
      <c r="N1095" s="49"/>
      <c r="O1095" s="50" t="s">
        <v>100</v>
      </c>
      <c r="P1095" s="50" t="s">
        <v>101</v>
      </c>
      <c r="Q1095" s="50" t="s">
        <v>102</v>
      </c>
      <c r="R1095" s="50">
        <v>6</v>
      </c>
      <c r="S1095" s="50">
        <v>0</v>
      </c>
      <c r="T1095" s="50">
        <v>6</v>
      </c>
      <c r="U1095" s="50" t="s">
        <v>102</v>
      </c>
      <c r="V1095" s="50" t="s">
        <v>2898</v>
      </c>
      <c r="W1095" s="50" t="s">
        <v>22</v>
      </c>
      <c r="X1095" s="50" t="s">
        <v>3026</v>
      </c>
      <c r="Y1095" s="51">
        <f>IF(ISBLANK(O1095),"",(IF(O1095=UPPER("IB"),0.005,0.01)))</f>
        <v>0.01</v>
      </c>
      <c r="Z1095" s="52">
        <f>IF(ISBLANK(O1095),"",IF(O1095="IB",8.63*200,IF(O1095="IR",16*100,IF(O1095="YT",20*100,IF(O1095="YT-XT",24*200,IF(O1095="TED",80*100,IF(O1095="XT",29*200)))))))</f>
        <v>1600</v>
      </c>
      <c r="AA1095" s="52"/>
      <c r="AB1095" s="52" t="s">
        <v>3278</v>
      </c>
      <c r="AC1095" s="52"/>
      <c r="AD1095" s="231">
        <v>-0.28999999999999998</v>
      </c>
      <c r="AE1095" s="49"/>
      <c r="AF1095" s="84"/>
      <c r="AG1095" s="49"/>
      <c r="AH1095" s="49"/>
      <c r="AI1095" s="49"/>
      <c r="AJ1095" s="226"/>
      <c r="AK1095" s="49"/>
      <c r="AL1095" s="113">
        <f t="shared" ref="AL1095:AL1108" si="467">-0.02*Z1095</f>
        <v>-32</v>
      </c>
      <c r="AM1095" s="113">
        <f t="shared" ref="AM1095:AM1133" si="468">AL1095*(R1095-S1095)</f>
        <v>-192</v>
      </c>
      <c r="AN1095" s="218"/>
      <c r="AO1095" s="49"/>
      <c r="AP1095" s="49"/>
      <c r="AQ1095" s="84" t="s">
        <v>142</v>
      </c>
      <c r="AR1095" s="49"/>
      <c r="AS1095" s="55">
        <v>-0.3</v>
      </c>
      <c r="AT1095" s="55">
        <f t="shared" ref="AT1095:AT1133" si="469">IF(ISBLANK(AS1095),,IF(U1095="S",AD1095-AS1095,AS1095-AD1095))</f>
        <v>1.0000000000000009E-2</v>
      </c>
      <c r="AU1095" s="54">
        <f t="shared" ref="AU1095:AU1133" si="470">AV1095*R1095</f>
        <v>96.000000000000085</v>
      </c>
      <c r="AV1095" s="56">
        <f t="shared" ref="AV1095:AV1108" si="471">IF(ISBLANK(AS1095),,(AT1095*Z1095))</f>
        <v>16.000000000000014</v>
      </c>
      <c r="AW1095" s="57" t="s">
        <v>101</v>
      </c>
      <c r="AX1095" s="151"/>
      <c r="AY1095" s="151"/>
      <c r="AZ1095" s="151"/>
      <c r="BA1095" s="151"/>
      <c r="BB1095" s="151"/>
      <c r="BC1095" s="153"/>
      <c r="BD1095" s="151"/>
      <c r="BE1095" s="152"/>
      <c r="BF1095" s="151"/>
      <c r="BG1095" s="94">
        <f>SUM($AV$1035:AV1095)</f>
        <v>-142.08571428573799</v>
      </c>
      <c r="BH1095" s="95">
        <f>SUM($AU$1035:AU1095)</f>
        <v>124.99999999996149</v>
      </c>
      <c r="BI1095" s="80">
        <f>SUMIFS($AU$1035:AU1237,$Q$1035:Q1237,"F")</f>
        <v>112.00000000000057</v>
      </c>
      <c r="BJ1095" s="80">
        <f>SUMIFS($AU$1035:AU1237,$Q$1035:Q1237,"S")</f>
        <v>-15.999999999994088</v>
      </c>
      <c r="BK1095" s="87">
        <f>SUMIFS($AU$1035:AU1237,$P$1035:P1237,"W")</f>
        <v>-960.00000000003297</v>
      </c>
      <c r="BL1095" s="87">
        <f>SUMIFS($AU$1035:AU1237,$P$1035:P1237,"R")</f>
        <v>1024.0000000000007</v>
      </c>
      <c r="BM1095" s="87">
        <f>SUMIFS($AU$1035:AU1237,$AQ$1035:AQ1237,"M")</f>
        <v>-899.79999999984489</v>
      </c>
      <c r="BN1095" s="87">
        <f>SUMIFS($AU$1035:AU1237,$AQ$1035:AQ1237,"H")</f>
        <v>1583.9999999998265</v>
      </c>
      <c r="BO1095" s="87">
        <f>SUMIFS($AU$1035:AU1237,$AQ$1035:AQ1237,"D")</f>
        <v>-479.9999999999896</v>
      </c>
      <c r="BP1095" s="87">
        <f>SUMIFS($AS$1035:AS1325,$AO$1035:AO1325,"W")</f>
        <v>0</v>
      </c>
      <c r="BQ1095" s="87">
        <f>SUMIFS($AU$1035:AU1237,$Q$1035:Q1237,"O")</f>
        <v>-1079.7999999999552</v>
      </c>
      <c r="BR1095" s="87">
        <f>SUMIFS($AU$1035:AU1237,$AA$1035:AA1237,"*")</f>
        <v>-499.79999999992333</v>
      </c>
      <c r="BS1095" s="87">
        <f>SUMIFS($AU$1035:AU1237,$AB$1035:AB1237,"*")</f>
        <v>-724.00000000009095</v>
      </c>
      <c r="BT1095" s="87">
        <f>SUMIFS($AU$1035:AU1237,$AC$1035:AC1237,"*")</f>
        <v>112.00000000000097</v>
      </c>
      <c r="BU1095" s="87">
        <f>SUMIFS($AU$1035:AU1237,$AA$1035:AA1237,"*",$AB$1035:AB1237,"*")</f>
        <v>47.999999999934744</v>
      </c>
      <c r="BV1095" s="87">
        <f>SUMIFS($AU$1035:AU1237,$AA$1035:AA1237,"*",$AC$1035:AC1237,"*")</f>
        <v>-335.99999999999977</v>
      </c>
      <c r="BW1095" s="87">
        <f>SUMIFS($AU$1035:AU1237,$AB$1035:AB1237,"*",$AC$1035:AC1237,"*")</f>
        <v>-143.99999999999966</v>
      </c>
      <c r="BX1095" s="87">
        <f>SUMIFS($AV$1035:AV1237,$Q$1035:Q1237,"F")</f>
        <v>34.153846153846246</v>
      </c>
      <c r="BY1095" s="87">
        <f>SUMIFS($AV$1035:AV1237,$Q$1035:Q1237,"S")</f>
        <v>20.914285714286223</v>
      </c>
      <c r="BZ1095" s="87">
        <f>SUMIFS($AV$1035:AV1237,$Q$1035:Q1237,"O")</f>
        <v>-445.13333333327751</v>
      </c>
    </row>
    <row r="1096" spans="1:78" ht="15.75" customHeight="1">
      <c r="A1096" s="45" t="s">
        <v>3276</v>
      </c>
      <c r="B1096" s="59">
        <v>45538</v>
      </c>
      <c r="C1096" s="46" t="s">
        <v>3277</v>
      </c>
      <c r="D1096" s="46" t="s">
        <v>98</v>
      </c>
      <c r="E1096" s="66"/>
      <c r="F1096" s="47"/>
      <c r="G1096" s="114" t="s">
        <v>1580</v>
      </c>
      <c r="H1096" s="49"/>
      <c r="I1096" s="49"/>
      <c r="J1096" s="49"/>
      <c r="K1096" s="50"/>
      <c r="L1096" s="49"/>
      <c r="M1096" s="49">
        <v>1</v>
      </c>
      <c r="N1096" s="49"/>
      <c r="O1096" s="50" t="s">
        <v>100</v>
      </c>
      <c r="P1096" s="50" t="s">
        <v>101</v>
      </c>
      <c r="Q1096" s="50" t="s">
        <v>127</v>
      </c>
      <c r="R1096" s="50">
        <v>6</v>
      </c>
      <c r="S1096" s="50">
        <v>3</v>
      </c>
      <c r="T1096" s="50">
        <v>6</v>
      </c>
      <c r="U1096" s="50" t="s">
        <v>102</v>
      </c>
      <c r="V1096" s="50" t="s">
        <v>2906</v>
      </c>
      <c r="W1096" s="50" t="s">
        <v>155</v>
      </c>
      <c r="X1096" s="50" t="s">
        <v>3125</v>
      </c>
      <c r="Y1096" s="51">
        <f>IF(ISBLANK(O1096),"",(IF(O1096=UPPER("IB"),0.005,0.01)))</f>
        <v>0.01</v>
      </c>
      <c r="Z1096" s="52">
        <f>IF(ISBLANK(O1096),"",IF(O1096="IB",8.63*200,IF(O1096="IR",16*100,IF(O1096="YT",20*100,IF(O1096="YT-XT",24*200,IF(O1096="TED",80*100,IF(O1096="XT",29*200)))))))</f>
        <v>1600</v>
      </c>
      <c r="AA1096" s="52" t="s">
        <v>3279</v>
      </c>
      <c r="AB1096" s="52" t="s">
        <v>3280</v>
      </c>
      <c r="AC1096" s="52"/>
      <c r="AD1096" s="231">
        <v>-0.06</v>
      </c>
      <c r="AE1096" s="49"/>
      <c r="AF1096" s="84"/>
      <c r="AG1096" s="49"/>
      <c r="AH1096" s="49"/>
      <c r="AI1096" s="49"/>
      <c r="AJ1096" s="226"/>
      <c r="AK1096" s="49"/>
      <c r="AL1096" s="113">
        <f t="shared" si="467"/>
        <v>-32</v>
      </c>
      <c r="AM1096" s="113">
        <f t="shared" si="468"/>
        <v>-96</v>
      </c>
      <c r="AN1096" s="218" t="s">
        <v>3281</v>
      </c>
      <c r="AO1096" s="49" t="s">
        <v>3282</v>
      </c>
      <c r="AP1096" s="49"/>
      <c r="AQ1096" s="84" t="s">
        <v>155</v>
      </c>
      <c r="AR1096" s="74" t="s">
        <v>3283</v>
      </c>
      <c r="AS1096" s="55">
        <f>((-0.07*3)+(-0.07*3))/6</f>
        <v>-7.0000000000000007E-2</v>
      </c>
      <c r="AT1096" s="55">
        <f t="shared" si="469"/>
        <v>1.0000000000000009E-2</v>
      </c>
      <c r="AU1096" s="54">
        <f t="shared" si="470"/>
        <v>96.000000000000085</v>
      </c>
      <c r="AV1096" s="56">
        <f t="shared" si="471"/>
        <v>16.000000000000014</v>
      </c>
      <c r="AW1096" s="57" t="s">
        <v>101</v>
      </c>
      <c r="AX1096" s="151"/>
      <c r="AY1096" s="151"/>
      <c r="AZ1096" s="151"/>
      <c r="BA1096" s="151"/>
      <c r="BB1096" s="151"/>
      <c r="BC1096" s="153"/>
      <c r="BD1096" s="151"/>
      <c r="BE1096" s="152"/>
      <c r="BF1096" s="151"/>
      <c r="BG1096" s="94">
        <f>SUM($AV$1035:AV1096)</f>
        <v>-126.08571428573798</v>
      </c>
      <c r="BH1096" s="95">
        <f>SUM($AU$1035:AU1096)</f>
        <v>220.99999999996157</v>
      </c>
      <c r="BI1096" s="80">
        <f>SUMIFS($AU$1035:AU1238,$Q$1035:Q1238,"F")</f>
        <v>112.00000000000057</v>
      </c>
      <c r="BJ1096" s="80">
        <f>SUMIFS($AU$1035:AU1238,$Q$1035:Q1238,"S")</f>
        <v>-15.999999999994088</v>
      </c>
      <c r="BK1096" s="87">
        <f>SUMIFS($AU$1035:AU1238,$P$1035:P1238,"W")</f>
        <v>-960.00000000003297</v>
      </c>
      <c r="BL1096" s="87">
        <f>SUMIFS($AU$1035:AU1238,$P$1035:P1238,"R")</f>
        <v>1024.0000000000007</v>
      </c>
      <c r="BM1096" s="87">
        <f>SUMIFS($AU$1035:AU1238,$AQ$1035:AQ1238,"M")</f>
        <v>-899.79999999984489</v>
      </c>
      <c r="BN1096" s="87">
        <f>SUMIFS($AU$1035:AU1238,$AQ$1035:AQ1238,"H")</f>
        <v>1583.9999999998265</v>
      </c>
      <c r="BO1096" s="87">
        <f>SUMIFS($AU$1035:AU1238,$AQ$1035:AQ1238,"D")</f>
        <v>-479.9999999999896</v>
      </c>
      <c r="BP1096" s="87">
        <f>SUMIFS($AS$1035:AS1326,$AO$1035:AO1326,"W")</f>
        <v>0</v>
      </c>
      <c r="BQ1096" s="87">
        <f>SUMIFS($AU$1035:AU1238,$Q$1035:Q1238,"O")</f>
        <v>-1079.7999999999552</v>
      </c>
      <c r="BR1096" s="87">
        <f>SUMIFS($AU$1035:AU1238,$AA$1035:AA1238,"*")</f>
        <v>-499.79999999992333</v>
      </c>
      <c r="BS1096" s="87">
        <f>SUMIFS($AU$1035:AU1238,$AB$1035:AB1238,"*")</f>
        <v>-724.00000000009095</v>
      </c>
      <c r="BT1096" s="87">
        <f>SUMIFS($AU$1035:AU1238,$AC$1035:AC1238,"*")</f>
        <v>112.00000000000097</v>
      </c>
      <c r="BU1096" s="87">
        <f>SUMIFS($AU$1035:AU1238,$AA$1035:AA1238,"*",$AB$1035:AB1238,"*")</f>
        <v>47.999999999934744</v>
      </c>
      <c r="BV1096" s="87">
        <f>SUMIFS($AU$1035:AU1238,$AA$1035:AA1238,"*",$AC$1035:AC1238,"*")</f>
        <v>-335.99999999999977</v>
      </c>
      <c r="BW1096" s="87">
        <f>SUMIFS($AU$1035:AU1238,$AB$1035:AB1238,"*",$AC$1035:AC1238,"*")</f>
        <v>-143.99999999999966</v>
      </c>
      <c r="BX1096" s="87">
        <f>SUMIFS($AV$1035:AV1238,$Q$1035:Q1238,"F")</f>
        <v>34.153846153846246</v>
      </c>
      <c r="BY1096" s="87">
        <f>SUMIFS($AV$1035:AV1238,$Q$1035:Q1238,"S")</f>
        <v>20.914285714286223</v>
      </c>
      <c r="BZ1096" s="87">
        <f>SUMIFS($AV$1035:AV1238,$Q$1035:Q1238,"O")</f>
        <v>-445.13333333327751</v>
      </c>
    </row>
    <row r="1097" spans="1:78" ht="15.75" customHeight="1">
      <c r="A1097" s="45" t="s">
        <v>3276</v>
      </c>
      <c r="B1097" s="59">
        <v>45538</v>
      </c>
      <c r="C1097" s="46" t="s">
        <v>3277</v>
      </c>
      <c r="D1097" s="46" t="s">
        <v>98</v>
      </c>
      <c r="E1097" s="66"/>
      <c r="F1097" s="47"/>
      <c r="G1097" s="48" t="s">
        <v>2694</v>
      </c>
      <c r="H1097" s="49"/>
      <c r="I1097" s="49"/>
      <c r="J1097" s="49"/>
      <c r="K1097" s="50"/>
      <c r="L1097" s="49"/>
      <c r="M1097" s="49">
        <v>1</v>
      </c>
      <c r="N1097" s="49"/>
      <c r="O1097" s="50" t="s">
        <v>100</v>
      </c>
      <c r="P1097" s="50" t="s">
        <v>126</v>
      </c>
      <c r="Q1097" s="50" t="s">
        <v>102</v>
      </c>
      <c r="R1097" s="50">
        <v>10</v>
      </c>
      <c r="S1097" s="50">
        <v>0</v>
      </c>
      <c r="T1097" s="50">
        <v>10</v>
      </c>
      <c r="U1097" s="50" t="s">
        <v>22</v>
      </c>
      <c r="V1097" s="50" t="s">
        <v>2898</v>
      </c>
      <c r="W1097" s="50" t="s">
        <v>22</v>
      </c>
      <c r="X1097" s="50" t="s">
        <v>3002</v>
      </c>
      <c r="Y1097" s="51">
        <f>IF(ISBLANK(O1097),"",(IF(O1097=UPPER("IB"),0.005,0.01)))</f>
        <v>0.01</v>
      </c>
      <c r="Z1097" s="52">
        <f>IF(ISBLANK(O1097),"",IF(O1097="IB",8.63*200,IF(O1097="IR",16*100,IF(O1097="YT",20*100,IF(O1097="YT-XT",24*200,IF(O1097="TED",80*100,IF(O1097="XT",29*200)))))))</f>
        <v>1600</v>
      </c>
      <c r="AA1097" s="52" t="s">
        <v>3284</v>
      </c>
      <c r="AB1097" s="52"/>
      <c r="AC1097" s="52"/>
      <c r="AD1097" s="231">
        <v>-0.12</v>
      </c>
      <c r="AE1097" s="49"/>
      <c r="AF1097" s="84"/>
      <c r="AG1097" s="49"/>
      <c r="AH1097" s="49"/>
      <c r="AI1097" s="49"/>
      <c r="AJ1097" s="226"/>
      <c r="AK1097" s="49"/>
      <c r="AL1097" s="113">
        <f t="shared" si="467"/>
        <v>-32</v>
      </c>
      <c r="AM1097" s="113">
        <f t="shared" si="468"/>
        <v>-320</v>
      </c>
      <c r="AN1097" s="218"/>
      <c r="AO1097" s="49"/>
      <c r="AP1097" s="49"/>
      <c r="AQ1097" s="84" t="s">
        <v>142</v>
      </c>
      <c r="AR1097" s="49"/>
      <c r="AS1097" s="55">
        <v>-0.11</v>
      </c>
      <c r="AT1097" s="55">
        <f t="shared" si="469"/>
        <v>9.999999999999995E-3</v>
      </c>
      <c r="AU1097" s="54">
        <f t="shared" si="470"/>
        <v>159.99999999999994</v>
      </c>
      <c r="AV1097" s="56">
        <f t="shared" si="471"/>
        <v>15.999999999999993</v>
      </c>
      <c r="AW1097" s="57" t="s">
        <v>101</v>
      </c>
      <c r="AX1097" s="151"/>
      <c r="AY1097" s="151"/>
      <c r="AZ1097" s="151"/>
      <c r="BA1097" s="151"/>
      <c r="BB1097" s="151"/>
      <c r="BC1097" s="153"/>
      <c r="BD1097" s="151"/>
      <c r="BE1097" s="152"/>
      <c r="BF1097" s="151"/>
      <c r="BG1097" s="94">
        <f>SUM($AV$1035:AV1097)</f>
        <v>-110.08571428573799</v>
      </c>
      <c r="BH1097" s="95">
        <f>SUM($AU$1035:AU1097)</f>
        <v>380.99999999996152</v>
      </c>
      <c r="BI1097" s="80">
        <f>SUMIFS($AU$1035:AU1239,$Q$1035:Q1239,"F")</f>
        <v>112.00000000000057</v>
      </c>
      <c r="BJ1097" s="80">
        <f>SUMIFS($AU$1035:AU1239,$Q$1035:Q1239,"S")</f>
        <v>-15.999999999994088</v>
      </c>
      <c r="BK1097" s="87">
        <f>SUMIFS($AU$1035:AU1239,$P$1035:P1239,"W")</f>
        <v>-960.00000000003297</v>
      </c>
      <c r="BL1097" s="87">
        <f>SUMIFS($AU$1035:AU1239,$P$1035:P1239,"R")</f>
        <v>1024.0000000000007</v>
      </c>
      <c r="BM1097" s="87">
        <f>SUMIFS($AU$1035:AU1239,$AQ$1035:AQ1239,"M")</f>
        <v>-899.79999999984489</v>
      </c>
      <c r="BN1097" s="87">
        <f>SUMIFS($AU$1035:AU1239,$AQ$1035:AQ1239,"H")</f>
        <v>1583.9999999998265</v>
      </c>
      <c r="BO1097" s="87">
        <f>SUMIFS($AU$1035:AU1239,$AQ$1035:AQ1239,"D")</f>
        <v>-479.9999999999896</v>
      </c>
      <c r="BP1097" s="87">
        <f>SUMIFS($AS$1035:AS1327,$AO$1035:AO1327,"W")</f>
        <v>0</v>
      </c>
      <c r="BQ1097" s="87">
        <f>SUMIFS($AU$1035:AU1239,$Q$1035:Q1239,"O")</f>
        <v>-1079.7999999999552</v>
      </c>
      <c r="BR1097" s="87">
        <f>SUMIFS($AU$1035:AU1239,$AA$1035:AA1239,"*")</f>
        <v>-499.79999999992333</v>
      </c>
      <c r="BS1097" s="87">
        <f>SUMIFS($AU$1035:AU1239,$AB$1035:AB1239,"*")</f>
        <v>-724.00000000009095</v>
      </c>
      <c r="BT1097" s="87">
        <f>SUMIFS($AU$1035:AU1239,$AC$1035:AC1239,"*")</f>
        <v>112.00000000000097</v>
      </c>
      <c r="BU1097" s="87">
        <f>SUMIFS($AU$1035:AU1239,$AA$1035:AA1239,"*",$AB$1035:AB1239,"*")</f>
        <v>47.999999999934744</v>
      </c>
      <c r="BV1097" s="87">
        <f>SUMIFS($AU$1035:AU1239,$AA$1035:AA1239,"*",$AC$1035:AC1239,"*")</f>
        <v>-335.99999999999977</v>
      </c>
      <c r="BW1097" s="87">
        <f>SUMIFS($AU$1035:AU1239,$AB$1035:AB1239,"*",$AC$1035:AC1239,"*")</f>
        <v>-143.99999999999966</v>
      </c>
      <c r="BX1097" s="87">
        <f>SUMIFS($AV$1035:AV1239,$Q$1035:Q1239,"F")</f>
        <v>34.153846153846246</v>
      </c>
      <c r="BY1097" s="87">
        <f>SUMIFS($AV$1035:AV1239,$Q$1035:Q1239,"S")</f>
        <v>20.914285714286223</v>
      </c>
      <c r="BZ1097" s="87">
        <f>SUMIFS($AV$1035:AV1239,$Q$1035:Q1239,"O")</f>
        <v>-445.13333333327751</v>
      </c>
    </row>
    <row r="1098" spans="1:78" ht="15.75" customHeight="1">
      <c r="A1098" s="45" t="s">
        <v>3276</v>
      </c>
      <c r="B1098" s="59"/>
      <c r="C1098" s="46"/>
      <c r="D1098" s="46"/>
      <c r="E1098" s="66"/>
      <c r="F1098" s="47"/>
      <c r="G1098" s="48"/>
      <c r="H1098" s="49"/>
      <c r="I1098" s="49"/>
      <c r="J1098" s="49"/>
      <c r="K1098" s="50"/>
      <c r="L1098" s="49"/>
      <c r="M1098" s="49"/>
      <c r="N1098" s="49"/>
      <c r="O1098" s="50"/>
      <c r="P1098" s="50"/>
      <c r="Q1098" s="50"/>
      <c r="R1098" s="50"/>
      <c r="S1098" s="50"/>
      <c r="T1098" s="50"/>
      <c r="U1098" s="50"/>
      <c r="V1098" s="50"/>
      <c r="W1098" s="50"/>
      <c r="X1098" s="50"/>
      <c r="Y1098" s="50"/>
      <c r="Z1098" s="50"/>
      <c r="AA1098" s="52"/>
      <c r="AB1098" s="52"/>
      <c r="AC1098" s="52"/>
      <c r="AD1098" s="231"/>
      <c r="AE1098" s="49"/>
      <c r="AF1098" s="84"/>
      <c r="AG1098" s="49"/>
      <c r="AH1098" s="49"/>
      <c r="AI1098" s="49"/>
      <c r="AJ1098" s="226"/>
      <c r="AK1098" s="49"/>
      <c r="AL1098" s="113">
        <f t="shared" si="467"/>
        <v>0</v>
      </c>
      <c r="AM1098" s="113">
        <f t="shared" si="468"/>
        <v>0</v>
      </c>
      <c r="AN1098" s="218"/>
      <c r="AO1098" s="49"/>
      <c r="AP1098" s="49"/>
      <c r="AQ1098" s="84" t="str">
        <f>UPPER(RIGHT(Journal_Live[[#This Row],[DURATION ]]))</f>
        <v/>
      </c>
      <c r="AR1098" s="49"/>
      <c r="AS1098" s="55"/>
      <c r="AT1098" s="55">
        <f t="shared" si="469"/>
        <v>0</v>
      </c>
      <c r="AU1098" s="54">
        <f t="shared" si="470"/>
        <v>0</v>
      </c>
      <c r="AV1098" s="56">
        <f t="shared" si="471"/>
        <v>0</v>
      </c>
      <c r="AW1098" s="57"/>
      <c r="AX1098" s="151" t="s">
        <v>3285</v>
      </c>
      <c r="AY1098" s="151" t="s">
        <v>3286</v>
      </c>
      <c r="AZ1098" s="151"/>
      <c r="BA1098" s="151"/>
      <c r="BB1098" s="151"/>
      <c r="BC1098" s="153"/>
      <c r="BD1098" s="151"/>
      <c r="BE1098" s="152"/>
      <c r="BF1098" s="151"/>
      <c r="BG1098" s="94">
        <f>SUM($AV$1035:AV1098)</f>
        <v>-110.08571428573799</v>
      </c>
      <c r="BH1098" s="95">
        <f>SUM($AU$1035:AU1098)</f>
        <v>380.99999999996152</v>
      </c>
      <c r="BI1098" s="80">
        <f>SUMIFS($AU$1035:AU1240,$Q$1035:Q1240,"F")</f>
        <v>112.00000000000057</v>
      </c>
      <c r="BJ1098" s="80">
        <f>SUMIFS($AU$1035:AU1240,$Q$1035:Q1240,"S")</f>
        <v>-15.999999999994088</v>
      </c>
      <c r="BK1098" s="87">
        <f>SUMIFS($AU$1035:AU1240,$P$1035:P1240,"W")</f>
        <v>-960.00000000003297</v>
      </c>
      <c r="BL1098" s="87">
        <f>SUMIFS($AU$1035:AU1240,$P$1035:P1240,"R")</f>
        <v>1024.0000000000007</v>
      </c>
      <c r="BM1098" s="87">
        <f>SUMIFS($AU$1035:AU1240,$AQ$1035:AQ1240,"M")</f>
        <v>-899.79999999984489</v>
      </c>
      <c r="BN1098" s="87">
        <f>SUMIFS($AU$1035:AU1240,$AQ$1035:AQ1240,"H")</f>
        <v>1583.9999999998265</v>
      </c>
      <c r="BO1098" s="87">
        <f>SUMIFS($AU$1035:AU1240,$AQ$1035:AQ1240,"D")</f>
        <v>-479.9999999999896</v>
      </c>
      <c r="BP1098" s="87">
        <f>SUMIFS($AS$1035:AS1328,$AO$1035:AO1328,"W")</f>
        <v>0</v>
      </c>
      <c r="BQ1098" s="87">
        <f>SUMIFS($AU$1035:AU1240,$Q$1035:Q1240,"O")</f>
        <v>-1079.7999999999552</v>
      </c>
      <c r="BR1098" s="87">
        <f>SUMIFS($AU$1035:AU1240,$AA$1035:AA1240,"*")</f>
        <v>-499.79999999992333</v>
      </c>
      <c r="BS1098" s="87">
        <f>SUMIFS($AU$1035:AU1240,$AB$1035:AB1240,"*")</f>
        <v>-724.00000000009095</v>
      </c>
      <c r="BT1098" s="87">
        <f>SUMIFS($AU$1035:AU1240,$AC$1035:AC1240,"*")</f>
        <v>112.00000000000097</v>
      </c>
      <c r="BU1098" s="87">
        <f>SUMIFS($AU$1035:AU1240,$AA$1035:AA1240,"*",$AB$1035:AB1240,"*")</f>
        <v>47.999999999934744</v>
      </c>
      <c r="BV1098" s="87">
        <f>SUMIFS($AU$1035:AU1240,$AA$1035:AA1240,"*",$AC$1035:AC1240,"*")</f>
        <v>-335.99999999999977</v>
      </c>
      <c r="BW1098" s="87">
        <f>SUMIFS($AU$1035:AU1240,$AB$1035:AB1240,"*",$AC$1035:AC1240,"*")</f>
        <v>-143.99999999999966</v>
      </c>
      <c r="BX1098" s="87">
        <f>SUMIFS($AV$1035:AV1240,$Q$1035:Q1240,"F")</f>
        <v>34.153846153846246</v>
      </c>
      <c r="BY1098" s="87">
        <f>SUMIFS($AV$1035:AV1240,$Q$1035:Q1240,"S")</f>
        <v>20.914285714286223</v>
      </c>
      <c r="BZ1098" s="87">
        <f>SUMIFS($AV$1035:AV1240,$Q$1035:Q1240,"O")</f>
        <v>-445.13333333327751</v>
      </c>
    </row>
    <row r="1099" spans="1:78" ht="15.75" customHeight="1">
      <c r="A1099" s="45" t="s">
        <v>3276</v>
      </c>
      <c r="B1099" s="59"/>
      <c r="C1099" s="46"/>
      <c r="D1099" s="46"/>
      <c r="E1099" s="66"/>
      <c r="F1099" s="47"/>
      <c r="G1099" s="48"/>
      <c r="H1099" s="49"/>
      <c r="I1099" s="49"/>
      <c r="J1099" s="49"/>
      <c r="K1099" s="50"/>
      <c r="L1099" s="49"/>
      <c r="M1099" s="49"/>
      <c r="N1099" s="49"/>
      <c r="O1099" s="50"/>
      <c r="P1099" s="50"/>
      <c r="Q1099" s="50"/>
      <c r="R1099" s="50"/>
      <c r="S1099" s="50"/>
      <c r="T1099" s="50"/>
      <c r="U1099" s="50"/>
      <c r="V1099" s="50"/>
      <c r="W1099" s="50"/>
      <c r="X1099" s="50"/>
      <c r="Y1099" s="50"/>
      <c r="Z1099" s="50"/>
      <c r="AA1099" s="52"/>
      <c r="AB1099" s="52"/>
      <c r="AC1099" s="52"/>
      <c r="AD1099" s="231"/>
      <c r="AE1099" s="49"/>
      <c r="AF1099" s="84" t="s">
        <v>95</v>
      </c>
      <c r="AG1099" s="49"/>
      <c r="AH1099" s="49"/>
      <c r="AI1099" s="49"/>
      <c r="AJ1099" s="226"/>
      <c r="AK1099" s="49"/>
      <c r="AL1099" s="113">
        <f t="shared" si="467"/>
        <v>0</v>
      </c>
      <c r="AM1099" s="113">
        <f t="shared" si="468"/>
        <v>0</v>
      </c>
      <c r="AN1099" s="218"/>
      <c r="AO1099" s="49"/>
      <c r="AP1099" s="49"/>
      <c r="AQ1099" s="84" t="str">
        <f>UPPER(RIGHT(Journal_Live[[#This Row],[DURATION ]]))</f>
        <v/>
      </c>
      <c r="AR1099" s="49"/>
      <c r="AS1099" s="55"/>
      <c r="AT1099" s="55">
        <f t="shared" si="469"/>
        <v>0</v>
      </c>
      <c r="AU1099" s="54">
        <f t="shared" si="470"/>
        <v>0</v>
      </c>
      <c r="AV1099" s="56">
        <f t="shared" si="471"/>
        <v>0</v>
      </c>
      <c r="AW1099" s="57"/>
      <c r="AX1099" s="151" t="s">
        <v>3287</v>
      </c>
      <c r="AY1099" s="151" t="s">
        <v>3288</v>
      </c>
      <c r="AZ1099" s="151" t="s">
        <v>3289</v>
      </c>
      <c r="BA1099" s="151"/>
      <c r="BB1099" s="151"/>
      <c r="BC1099" s="153"/>
      <c r="BD1099" s="151"/>
      <c r="BE1099" s="152"/>
      <c r="BF1099" s="151"/>
      <c r="BG1099" s="94">
        <f>SUM($AV$1035:AV1099)</f>
        <v>-110.08571428573799</v>
      </c>
      <c r="BH1099" s="95">
        <f>SUM($AU$1035:AU1099)</f>
        <v>380.99999999996152</v>
      </c>
      <c r="BI1099" s="80">
        <f>SUMIFS($AU$1035:AU1241,$Q$1035:Q1241,"F")</f>
        <v>112.00000000000057</v>
      </c>
      <c r="BJ1099" s="80">
        <f>SUMIFS($AU$1035:AU1241,$Q$1035:Q1241,"S")</f>
        <v>-15.999999999994088</v>
      </c>
      <c r="BK1099" s="87">
        <f>SUMIFS($AU$1035:AU1241,$P$1035:P1241,"W")</f>
        <v>-960.00000000003297</v>
      </c>
      <c r="BL1099" s="87">
        <f>SUMIFS($AU$1035:AU1241,$P$1035:P1241,"R")</f>
        <v>1024.0000000000007</v>
      </c>
      <c r="BM1099" s="87">
        <f>SUMIFS($AU$1035:AU1241,$AQ$1035:AQ1241,"M")</f>
        <v>-899.79999999984489</v>
      </c>
      <c r="BN1099" s="87">
        <f>SUMIFS($AU$1035:AU1241,$AQ$1035:AQ1241,"H")</f>
        <v>1583.9999999998265</v>
      </c>
      <c r="BO1099" s="87">
        <f>SUMIFS($AU$1035:AU1241,$AQ$1035:AQ1241,"D")</f>
        <v>-479.9999999999896</v>
      </c>
      <c r="BP1099" s="87">
        <f>SUMIFS($AS$1035:AS1329,$AO$1035:AO1329,"W")</f>
        <v>0</v>
      </c>
      <c r="BQ1099" s="87">
        <f>SUMIFS($AU$1035:AU1241,$Q$1035:Q1241,"O")</f>
        <v>-1079.7999999999552</v>
      </c>
      <c r="BR1099" s="87">
        <f>SUMIFS($AU$1035:AU1241,$AA$1035:AA1241,"*")</f>
        <v>-499.79999999992333</v>
      </c>
      <c r="BS1099" s="87">
        <f>SUMIFS($AU$1035:AU1241,$AB$1035:AB1241,"*")</f>
        <v>-724.00000000009095</v>
      </c>
      <c r="BT1099" s="87">
        <f>SUMIFS($AU$1035:AU1241,$AC$1035:AC1241,"*")</f>
        <v>112.00000000000097</v>
      </c>
      <c r="BU1099" s="87">
        <f>SUMIFS($AU$1035:AU1241,$AA$1035:AA1241,"*",$AB$1035:AB1241,"*")</f>
        <v>47.999999999934744</v>
      </c>
      <c r="BV1099" s="87">
        <f>SUMIFS($AU$1035:AU1241,$AA$1035:AA1241,"*",$AC$1035:AC1241,"*")</f>
        <v>-335.99999999999977</v>
      </c>
      <c r="BW1099" s="87">
        <f>SUMIFS($AU$1035:AU1241,$AB$1035:AB1241,"*",$AC$1035:AC1241,"*")</f>
        <v>-143.99999999999966</v>
      </c>
      <c r="BX1099" s="87">
        <f>SUMIFS($AV$1035:AV1241,$Q$1035:Q1241,"F")</f>
        <v>34.153846153846246</v>
      </c>
      <c r="BY1099" s="87">
        <f>SUMIFS($AV$1035:AV1241,$Q$1035:Q1241,"S")</f>
        <v>20.914285714286223</v>
      </c>
      <c r="BZ1099" s="87">
        <f>SUMIFS($AV$1035:AV1241,$Q$1035:Q1241,"O")</f>
        <v>-445.13333333327751</v>
      </c>
    </row>
    <row r="1100" spans="1:78" ht="15.75" customHeight="1">
      <c r="A1100" s="45" t="s">
        <v>3276</v>
      </c>
      <c r="B1100" s="59">
        <v>45539</v>
      </c>
      <c r="C1100" s="46" t="s">
        <v>194</v>
      </c>
      <c r="D1100" s="46" t="s">
        <v>186</v>
      </c>
      <c r="E1100" s="66" t="s">
        <v>3290</v>
      </c>
      <c r="F1100" s="47" t="s">
        <v>3291</v>
      </c>
      <c r="G1100" s="48"/>
      <c r="H1100" s="49"/>
      <c r="I1100" s="49"/>
      <c r="J1100" s="49"/>
      <c r="K1100" s="50"/>
      <c r="L1100" s="49"/>
      <c r="M1100" s="49"/>
      <c r="N1100" s="49"/>
      <c r="O1100" s="50"/>
      <c r="P1100" s="50"/>
      <c r="Q1100" s="50"/>
      <c r="R1100" s="50"/>
      <c r="S1100" s="50"/>
      <c r="T1100" s="50"/>
      <c r="U1100" s="50"/>
      <c r="V1100" s="50"/>
      <c r="W1100" s="50"/>
      <c r="X1100" s="50"/>
      <c r="Y1100" s="50"/>
      <c r="Z1100" s="50"/>
      <c r="AA1100" s="52"/>
      <c r="AB1100" s="52"/>
      <c r="AC1100" s="52"/>
      <c r="AD1100" s="231"/>
      <c r="AE1100" s="49"/>
      <c r="AF1100" s="84"/>
      <c r="AG1100" s="49"/>
      <c r="AH1100" s="49"/>
      <c r="AI1100" s="49"/>
      <c r="AJ1100" s="226"/>
      <c r="AK1100" s="49"/>
      <c r="AL1100" s="113">
        <f t="shared" si="467"/>
        <v>0</v>
      </c>
      <c r="AM1100" s="113">
        <f t="shared" si="468"/>
        <v>0</v>
      </c>
      <c r="AN1100" s="218"/>
      <c r="AO1100" s="49"/>
      <c r="AP1100" s="49"/>
      <c r="AQ1100" s="84" t="str">
        <f>UPPER(RIGHT(Journal_Live[[#This Row],[DURATION ]]))</f>
        <v/>
      </c>
      <c r="AR1100" s="49"/>
      <c r="AS1100" s="55"/>
      <c r="AT1100" s="55">
        <f t="shared" si="469"/>
        <v>0</v>
      </c>
      <c r="AU1100" s="54">
        <f t="shared" si="470"/>
        <v>0</v>
      </c>
      <c r="AV1100" s="56">
        <f t="shared" si="471"/>
        <v>0</v>
      </c>
      <c r="AW1100" s="57"/>
      <c r="AX1100" s="151"/>
      <c r="AY1100" s="151"/>
      <c r="AZ1100" s="151"/>
      <c r="BA1100" s="151"/>
      <c r="BB1100" s="151"/>
      <c r="BC1100" s="153"/>
      <c r="BD1100" s="151"/>
      <c r="BE1100" s="152"/>
      <c r="BF1100" s="151"/>
      <c r="BG1100" s="94">
        <f>SUM($AV$1035:AV1100)</f>
        <v>-110.08571428573799</v>
      </c>
      <c r="BH1100" s="95">
        <f>SUM($AU$1035:AU1100)</f>
        <v>380.99999999996152</v>
      </c>
      <c r="BI1100" s="80">
        <f>SUMIFS($AU$1035:AU1242,$Q$1035:Q1242,"F")</f>
        <v>112.00000000000057</v>
      </c>
      <c r="BJ1100" s="80">
        <f>SUMIFS($AU$1035:AU1242,$Q$1035:Q1242,"S")</f>
        <v>-15.999999999994088</v>
      </c>
      <c r="BK1100" s="87">
        <f>SUMIFS($AU$1035:AU1242,$P$1035:P1242,"W")</f>
        <v>-960.00000000003297</v>
      </c>
      <c r="BL1100" s="87">
        <f>SUMIFS($AU$1035:AU1242,$P$1035:P1242,"R")</f>
        <v>1024.0000000000007</v>
      </c>
      <c r="BM1100" s="87">
        <f>SUMIFS($AU$1035:AU1242,$AQ$1035:AQ1242,"M")</f>
        <v>-899.79999999984489</v>
      </c>
      <c r="BN1100" s="87">
        <f>SUMIFS($AU$1035:AU1242,$AQ$1035:AQ1242,"H")</f>
        <v>1583.9999999998265</v>
      </c>
      <c r="BO1100" s="87">
        <f>SUMIFS($AU$1035:AU1242,$AQ$1035:AQ1242,"D")</f>
        <v>-479.9999999999896</v>
      </c>
      <c r="BP1100" s="87">
        <f>SUMIFS($AS$1035:AS1330,$AO$1035:AO1330,"W")</f>
        <v>0</v>
      </c>
      <c r="BQ1100" s="87">
        <f>SUMIFS($AU$1035:AU1242,$Q$1035:Q1242,"O")</f>
        <v>-1079.7999999999552</v>
      </c>
      <c r="BR1100" s="87">
        <f>SUMIFS($AU$1035:AU1242,$AA$1035:AA1242,"*")</f>
        <v>-499.79999999992333</v>
      </c>
      <c r="BS1100" s="87">
        <f>SUMIFS($AU$1035:AU1242,$AB$1035:AB1242,"*")</f>
        <v>-724.00000000009095</v>
      </c>
      <c r="BT1100" s="87">
        <f>SUMIFS($AU$1035:AU1242,$AC$1035:AC1242,"*")</f>
        <v>112.00000000000097</v>
      </c>
      <c r="BU1100" s="87">
        <f>SUMIFS($AU$1035:AU1242,$AA$1035:AA1242,"*",$AB$1035:AB1242,"*")</f>
        <v>47.999999999934744</v>
      </c>
      <c r="BV1100" s="87">
        <f>SUMIFS($AU$1035:AU1242,$AA$1035:AA1242,"*",$AC$1035:AC1242,"*")</f>
        <v>-335.99999999999977</v>
      </c>
      <c r="BW1100" s="87">
        <f>SUMIFS($AU$1035:AU1242,$AB$1035:AB1242,"*",$AC$1035:AC1242,"*")</f>
        <v>-143.99999999999966</v>
      </c>
      <c r="BX1100" s="87">
        <f>SUMIFS($AV$1035:AV1242,$Q$1035:Q1242,"F")</f>
        <v>34.153846153846246</v>
      </c>
      <c r="BY1100" s="87">
        <f>SUMIFS($AV$1035:AV1242,$Q$1035:Q1242,"S")</f>
        <v>20.914285714286223</v>
      </c>
      <c r="BZ1100" s="87">
        <f>SUMIFS($AV$1035:AV1242,$Q$1035:Q1242,"O")</f>
        <v>-445.13333333327751</v>
      </c>
    </row>
    <row r="1101" spans="1:78" ht="15.75" customHeight="1">
      <c r="A1101" s="45" t="s">
        <v>3276</v>
      </c>
      <c r="B1101" s="59">
        <v>45539</v>
      </c>
      <c r="C1101" s="46" t="s">
        <v>1160</v>
      </c>
      <c r="D1101" s="46" t="s">
        <v>186</v>
      </c>
      <c r="E1101" s="66" t="s">
        <v>3292</v>
      </c>
      <c r="F1101" s="47"/>
      <c r="G1101" s="48"/>
      <c r="H1101" s="49"/>
      <c r="I1101" s="49"/>
      <c r="J1101" s="49">
        <v>1</v>
      </c>
      <c r="K1101" s="50" t="s">
        <v>155</v>
      </c>
      <c r="L1101" s="49"/>
      <c r="M1101" s="49"/>
      <c r="N1101" s="49"/>
      <c r="O1101" s="50"/>
      <c r="P1101" s="50"/>
      <c r="Q1101" s="50"/>
      <c r="R1101" s="50"/>
      <c r="S1101" s="50"/>
      <c r="T1101" s="50"/>
      <c r="U1101" s="50"/>
      <c r="V1101" s="50"/>
      <c r="W1101" s="50"/>
      <c r="X1101" s="50"/>
      <c r="Y1101" s="50"/>
      <c r="Z1101" s="50"/>
      <c r="AA1101" s="52"/>
      <c r="AB1101" s="52"/>
      <c r="AC1101" s="52"/>
      <c r="AD1101" s="231"/>
      <c r="AE1101" s="49"/>
      <c r="AF1101" s="84"/>
      <c r="AG1101" s="49"/>
      <c r="AH1101" s="49"/>
      <c r="AI1101" s="49"/>
      <c r="AJ1101" s="226"/>
      <c r="AK1101" s="49"/>
      <c r="AL1101" s="113">
        <f t="shared" si="467"/>
        <v>0</v>
      </c>
      <c r="AM1101" s="113">
        <f t="shared" si="468"/>
        <v>0</v>
      </c>
      <c r="AN1101" s="218"/>
      <c r="AO1101" s="49"/>
      <c r="AP1101" s="49"/>
      <c r="AQ1101" s="84" t="str">
        <f>UPPER(RIGHT(Journal_Live[[#This Row],[DURATION ]]))</f>
        <v/>
      </c>
      <c r="AR1101" s="49"/>
      <c r="AS1101" s="55"/>
      <c r="AT1101" s="55">
        <f t="shared" si="469"/>
        <v>0</v>
      </c>
      <c r="AU1101" s="54">
        <f t="shared" si="470"/>
        <v>0</v>
      </c>
      <c r="AV1101" s="56">
        <f t="shared" si="471"/>
        <v>0</v>
      </c>
      <c r="AW1101" s="57"/>
      <c r="AX1101" s="151"/>
      <c r="AY1101" s="151"/>
      <c r="AZ1101" s="151"/>
      <c r="BA1101" s="151"/>
      <c r="BB1101" s="151"/>
      <c r="BC1101" s="153"/>
      <c r="BD1101" s="151"/>
      <c r="BE1101" s="152"/>
      <c r="BF1101" s="151"/>
      <c r="BG1101" s="94">
        <f>SUM($AV$1035:AV1101)</f>
        <v>-110.08571428573799</v>
      </c>
      <c r="BH1101" s="95">
        <f>SUM($AU$1035:AU1101)</f>
        <v>380.99999999996152</v>
      </c>
      <c r="BI1101" s="80">
        <f>SUMIFS($AU$1035:AU1243,$Q$1035:Q1243,"F")</f>
        <v>112.00000000000057</v>
      </c>
      <c r="BJ1101" s="80">
        <f>SUMIFS($AU$1035:AU1243,$Q$1035:Q1243,"S")</f>
        <v>-15.999999999994088</v>
      </c>
      <c r="BK1101" s="87">
        <f>SUMIFS($AU$1035:AU1243,$P$1035:P1243,"W")</f>
        <v>-960.00000000003297</v>
      </c>
      <c r="BL1101" s="87">
        <f>SUMIFS($AU$1035:AU1243,$P$1035:P1243,"R")</f>
        <v>1024.0000000000007</v>
      </c>
      <c r="BM1101" s="87">
        <f>SUMIFS($AU$1035:AU1243,$AQ$1035:AQ1243,"M")</f>
        <v>-899.79999999984489</v>
      </c>
      <c r="BN1101" s="87">
        <f>SUMIFS($AU$1035:AU1243,$AQ$1035:AQ1243,"H")</f>
        <v>1583.9999999998265</v>
      </c>
      <c r="BO1101" s="87">
        <f>SUMIFS($AU$1035:AU1243,$AQ$1035:AQ1243,"D")</f>
        <v>-479.9999999999896</v>
      </c>
      <c r="BP1101" s="87">
        <f>SUMIFS($AS$1035:AS1331,$AO$1035:AO1331,"W")</f>
        <v>0</v>
      </c>
      <c r="BQ1101" s="87">
        <f>SUMIFS($AU$1035:AU1243,$Q$1035:Q1243,"O")</f>
        <v>-1079.7999999999552</v>
      </c>
      <c r="BR1101" s="87">
        <f>SUMIFS($AU$1035:AU1243,$AA$1035:AA1243,"*")</f>
        <v>-499.79999999992333</v>
      </c>
      <c r="BS1101" s="87">
        <f>SUMIFS($AU$1035:AU1243,$AB$1035:AB1243,"*")</f>
        <v>-724.00000000009095</v>
      </c>
      <c r="BT1101" s="87">
        <f>SUMIFS($AU$1035:AU1243,$AC$1035:AC1243,"*")</f>
        <v>112.00000000000097</v>
      </c>
      <c r="BU1101" s="87">
        <f>SUMIFS($AU$1035:AU1243,$AA$1035:AA1243,"*",$AB$1035:AB1243,"*")</f>
        <v>47.999999999934744</v>
      </c>
      <c r="BV1101" s="87">
        <f>SUMIFS($AU$1035:AU1243,$AA$1035:AA1243,"*",$AC$1035:AC1243,"*")</f>
        <v>-335.99999999999977</v>
      </c>
      <c r="BW1101" s="87">
        <f>SUMIFS($AU$1035:AU1243,$AB$1035:AB1243,"*",$AC$1035:AC1243,"*")</f>
        <v>-143.99999999999966</v>
      </c>
      <c r="BX1101" s="87">
        <f>SUMIFS($AV$1035:AV1243,$Q$1035:Q1243,"F")</f>
        <v>34.153846153846246</v>
      </c>
      <c r="BY1101" s="87">
        <f>SUMIFS($AV$1035:AV1243,$Q$1035:Q1243,"S")</f>
        <v>20.914285714286223</v>
      </c>
      <c r="BZ1101" s="87">
        <f>SUMIFS($AV$1035:AV1243,$Q$1035:Q1243,"O")</f>
        <v>-445.13333333327751</v>
      </c>
    </row>
    <row r="1102" spans="1:78" ht="15.75" customHeight="1">
      <c r="A1102" s="45" t="s">
        <v>3276</v>
      </c>
      <c r="B1102" s="59">
        <v>45539</v>
      </c>
      <c r="C1102" s="46" t="s">
        <v>1190</v>
      </c>
      <c r="D1102" s="46" t="s">
        <v>186</v>
      </c>
      <c r="E1102" s="66"/>
      <c r="F1102" s="47"/>
      <c r="G1102" s="114" t="s">
        <v>295</v>
      </c>
      <c r="H1102" s="49"/>
      <c r="I1102" s="49"/>
      <c r="J1102" s="49"/>
      <c r="K1102" s="50"/>
      <c r="L1102" s="49"/>
      <c r="M1102" s="49">
        <v>1</v>
      </c>
      <c r="N1102" s="49"/>
      <c r="O1102" s="50" t="s">
        <v>100</v>
      </c>
      <c r="P1102" s="50" t="s">
        <v>101</v>
      </c>
      <c r="Q1102" s="50" t="s">
        <v>102</v>
      </c>
      <c r="R1102" s="50">
        <v>9</v>
      </c>
      <c r="S1102" s="50">
        <v>0</v>
      </c>
      <c r="T1102" s="50">
        <v>9</v>
      </c>
      <c r="U1102" s="50" t="s">
        <v>22</v>
      </c>
      <c r="V1102" s="50" t="s">
        <v>2898</v>
      </c>
      <c r="W1102" s="50" t="s">
        <v>22</v>
      </c>
      <c r="X1102" s="50" t="s">
        <v>3026</v>
      </c>
      <c r="Y1102" s="51">
        <f>IF(ISBLANK(O1102),"",(IF(O1102=UPPER("IB"),0.005,0.01)))</f>
        <v>0.01</v>
      </c>
      <c r="Z1102" s="52">
        <f>IF(ISBLANK(O1102),"",IF(O1102="IB",8.63*200,IF(O1102="IR",16*100,IF(O1102="YT",20*100,IF(O1102="YT-XT",24*200,IF(O1102="TED",80*100,IF(O1102="XT",29*200)))))))</f>
        <v>1600</v>
      </c>
      <c r="AA1102" s="52" t="s">
        <v>3293</v>
      </c>
      <c r="AB1102" s="52"/>
      <c r="AC1102" s="52"/>
      <c r="AD1102" s="231">
        <v>-0.13</v>
      </c>
      <c r="AE1102" s="49"/>
      <c r="AF1102" s="84"/>
      <c r="AG1102" s="49"/>
      <c r="AH1102" s="49"/>
      <c r="AI1102" s="49"/>
      <c r="AJ1102" s="226"/>
      <c r="AK1102" s="49"/>
      <c r="AL1102" s="113">
        <f t="shared" si="467"/>
        <v>-32</v>
      </c>
      <c r="AM1102" s="113">
        <f t="shared" si="468"/>
        <v>-288</v>
      </c>
      <c r="AN1102" s="218"/>
      <c r="AO1102" s="49"/>
      <c r="AP1102" s="49"/>
      <c r="AQ1102" s="84" t="s">
        <v>142</v>
      </c>
      <c r="AR1102" s="49"/>
      <c r="AS1102" s="55">
        <v>-0.13</v>
      </c>
      <c r="AT1102" s="55">
        <f t="shared" si="469"/>
        <v>0</v>
      </c>
      <c r="AU1102" s="54">
        <f t="shared" si="470"/>
        <v>0</v>
      </c>
      <c r="AV1102" s="56">
        <f t="shared" si="471"/>
        <v>0</v>
      </c>
      <c r="AW1102" s="57" t="s">
        <v>155</v>
      </c>
      <c r="AX1102" s="151" t="s">
        <v>3294</v>
      </c>
      <c r="AY1102" s="151"/>
      <c r="AZ1102" s="151"/>
      <c r="BA1102" s="151"/>
      <c r="BB1102" s="151"/>
      <c r="BC1102" s="153"/>
      <c r="BD1102" s="151"/>
      <c r="BE1102" s="152"/>
      <c r="BF1102" s="151"/>
      <c r="BG1102" s="94">
        <f>SUM($AV$1035:AV1102)</f>
        <v>-110.08571428573799</v>
      </c>
      <c r="BH1102" s="95">
        <f>SUM($AU$1035:AU1102)</f>
        <v>380.99999999996152</v>
      </c>
      <c r="BI1102" s="80">
        <f>SUMIFS($AU$1035:AU1244,$Q$1035:Q1244,"F")</f>
        <v>112.00000000000057</v>
      </c>
      <c r="BJ1102" s="80">
        <f>SUMIFS($AU$1035:AU1244,$Q$1035:Q1244,"S")</f>
        <v>-15.999999999994088</v>
      </c>
      <c r="BK1102" s="87">
        <f>SUMIFS($AU$1035:AU1244,$P$1035:P1244,"W")</f>
        <v>-960.00000000003297</v>
      </c>
      <c r="BL1102" s="87">
        <f>SUMIFS($AU$1035:AU1244,$P$1035:P1244,"R")</f>
        <v>1024.0000000000007</v>
      </c>
      <c r="BM1102" s="87">
        <f>SUMIFS($AU$1035:AU1244,$AQ$1035:AQ1244,"M")</f>
        <v>-899.79999999984489</v>
      </c>
      <c r="BN1102" s="87">
        <f>SUMIFS($AU$1035:AU1244,$AQ$1035:AQ1244,"H")</f>
        <v>1583.9999999998265</v>
      </c>
      <c r="BO1102" s="87">
        <f>SUMIFS($AU$1035:AU1244,$AQ$1035:AQ1244,"D")</f>
        <v>-479.9999999999896</v>
      </c>
      <c r="BP1102" s="87">
        <f>SUMIFS($AS$1035:AS1332,$AO$1035:AO1332,"W")</f>
        <v>0</v>
      </c>
      <c r="BQ1102" s="87">
        <f>SUMIFS($AU$1035:AU1244,$Q$1035:Q1244,"O")</f>
        <v>-1079.7999999999552</v>
      </c>
      <c r="BR1102" s="87">
        <f>SUMIFS($AU$1035:AU1244,$AA$1035:AA1244,"*")</f>
        <v>-499.79999999992333</v>
      </c>
      <c r="BS1102" s="87">
        <f>SUMIFS($AU$1035:AU1244,$AB$1035:AB1244,"*")</f>
        <v>-724.00000000009095</v>
      </c>
      <c r="BT1102" s="87">
        <f>SUMIFS($AU$1035:AU1244,$AC$1035:AC1244,"*")</f>
        <v>112.00000000000097</v>
      </c>
      <c r="BU1102" s="87">
        <f>SUMIFS($AU$1035:AU1244,$AA$1035:AA1244,"*",$AB$1035:AB1244,"*")</f>
        <v>47.999999999934744</v>
      </c>
      <c r="BV1102" s="87">
        <f>SUMIFS($AU$1035:AU1244,$AA$1035:AA1244,"*",$AC$1035:AC1244,"*")</f>
        <v>-335.99999999999977</v>
      </c>
      <c r="BW1102" s="87">
        <f>SUMIFS($AU$1035:AU1244,$AB$1035:AB1244,"*",$AC$1035:AC1244,"*")</f>
        <v>-143.99999999999966</v>
      </c>
      <c r="BX1102" s="87">
        <f>SUMIFS($AV$1035:AV1244,$Q$1035:Q1244,"F")</f>
        <v>34.153846153846246</v>
      </c>
      <c r="BY1102" s="87">
        <f>SUMIFS($AV$1035:AV1244,$Q$1035:Q1244,"S")</f>
        <v>20.914285714286223</v>
      </c>
      <c r="BZ1102" s="87">
        <f>SUMIFS($AV$1035:AV1244,$Q$1035:Q1244,"O")</f>
        <v>-445.13333333327751</v>
      </c>
    </row>
    <row r="1103" spans="1:78" ht="15.75" customHeight="1">
      <c r="A1103" s="45" t="s">
        <v>3276</v>
      </c>
      <c r="B1103" s="59">
        <v>45539</v>
      </c>
      <c r="C1103" s="46" t="s">
        <v>1190</v>
      </c>
      <c r="D1103" s="46" t="s">
        <v>186</v>
      </c>
      <c r="E1103" s="66"/>
      <c r="F1103" s="47"/>
      <c r="G1103" s="114" t="s">
        <v>2694</v>
      </c>
      <c r="H1103" s="49"/>
      <c r="I1103" s="49"/>
      <c r="J1103" s="49"/>
      <c r="K1103" s="50"/>
      <c r="L1103" s="49"/>
      <c r="M1103" s="49">
        <v>1</v>
      </c>
      <c r="N1103" s="49"/>
      <c r="O1103" s="50" t="s">
        <v>100</v>
      </c>
      <c r="P1103" s="50" t="s">
        <v>101</v>
      </c>
      <c r="Q1103" s="50" t="s">
        <v>102</v>
      </c>
      <c r="R1103" s="50">
        <v>14</v>
      </c>
      <c r="S1103" s="50">
        <v>0</v>
      </c>
      <c r="T1103" s="50">
        <v>14</v>
      </c>
      <c r="U1103" s="50" t="s">
        <v>22</v>
      </c>
      <c r="V1103" s="50" t="s">
        <v>2898</v>
      </c>
      <c r="W1103" s="50" t="s">
        <v>22</v>
      </c>
      <c r="X1103" s="50" t="s">
        <v>3002</v>
      </c>
      <c r="Y1103" s="51">
        <f>IF(ISBLANK(O1103),"",(IF(O1103=UPPER("IB"),0.005,0.01)))</f>
        <v>0.01</v>
      </c>
      <c r="Z1103" s="52">
        <f>IF(ISBLANK(O1103),"",IF(O1103="IB",8.63*200,IF(O1103="IR",16*100,IF(O1103="YT",20*100,IF(O1103="YT-XT",24*200,IF(O1103="TED",80*100,IF(O1103="XT",29*200)))))))</f>
        <v>1600</v>
      </c>
      <c r="AA1103" s="52" t="s">
        <v>3295</v>
      </c>
      <c r="AB1103" s="52"/>
      <c r="AC1103" s="52"/>
      <c r="AD1103" s="231">
        <v>-0.12</v>
      </c>
      <c r="AE1103" s="49"/>
      <c r="AF1103" s="84"/>
      <c r="AG1103" s="49"/>
      <c r="AH1103" s="49"/>
      <c r="AI1103" s="49"/>
      <c r="AJ1103" s="226"/>
      <c r="AK1103" s="49"/>
      <c r="AL1103" s="113">
        <f t="shared" si="467"/>
        <v>-32</v>
      </c>
      <c r="AM1103" s="113">
        <f t="shared" si="468"/>
        <v>-448</v>
      </c>
      <c r="AN1103" s="218"/>
      <c r="AO1103" s="49"/>
      <c r="AP1103" s="49"/>
      <c r="AQ1103" s="84" t="s">
        <v>155</v>
      </c>
      <c r="AR1103" s="49"/>
      <c r="AS1103" s="55">
        <v>-0.11</v>
      </c>
      <c r="AT1103" s="55">
        <f t="shared" si="469"/>
        <v>9.999999999999995E-3</v>
      </c>
      <c r="AU1103" s="54">
        <f t="shared" si="470"/>
        <v>223.99999999999989</v>
      </c>
      <c r="AV1103" s="56">
        <f t="shared" si="471"/>
        <v>15.999999999999993</v>
      </c>
      <c r="AW1103" s="57" t="s">
        <v>101</v>
      </c>
      <c r="AX1103" s="151"/>
      <c r="AY1103" s="151"/>
      <c r="AZ1103" s="151"/>
      <c r="BA1103" s="151"/>
      <c r="BB1103" s="151"/>
      <c r="BC1103" s="153"/>
      <c r="BD1103" s="151"/>
      <c r="BE1103" s="152"/>
      <c r="BF1103" s="151"/>
      <c r="BG1103" s="94">
        <f>SUM($AV$1035:AV1103)</f>
        <v>-94.085714285737993</v>
      </c>
      <c r="BH1103" s="95">
        <f>SUM($AU$1035:AU1103)</f>
        <v>604.99999999996135</v>
      </c>
      <c r="BI1103" s="80">
        <f>SUMIFS($AU$1035:AU1245,$Q$1035:Q1245,"F")</f>
        <v>112.00000000000057</v>
      </c>
      <c r="BJ1103" s="80">
        <f>SUMIFS($AU$1035:AU1245,$Q$1035:Q1245,"S")</f>
        <v>-15.999999999994088</v>
      </c>
      <c r="BK1103" s="87">
        <f>SUMIFS($AU$1035:AU1245,$P$1035:P1245,"W")</f>
        <v>-960.00000000003297</v>
      </c>
      <c r="BL1103" s="87">
        <f>SUMIFS($AU$1035:AU1245,$P$1035:P1245,"R")</f>
        <v>1024.0000000000007</v>
      </c>
      <c r="BM1103" s="87">
        <f>SUMIFS($AU$1035:AU1245,$AQ$1035:AQ1245,"M")</f>
        <v>-899.79999999984489</v>
      </c>
      <c r="BN1103" s="87">
        <f>SUMIFS($AU$1035:AU1245,$AQ$1035:AQ1245,"H")</f>
        <v>1583.9999999998265</v>
      </c>
      <c r="BO1103" s="87">
        <f>SUMIFS($AU$1035:AU1245,$AQ$1035:AQ1245,"D")</f>
        <v>-479.9999999999896</v>
      </c>
      <c r="BP1103" s="87">
        <f>SUMIFS($AS$1035:AS1333,$AO$1035:AO1333,"W")</f>
        <v>0</v>
      </c>
      <c r="BQ1103" s="87">
        <f>SUMIFS($AU$1035:AU1245,$Q$1035:Q1245,"O")</f>
        <v>-1079.7999999999552</v>
      </c>
      <c r="BR1103" s="87">
        <f>SUMIFS($AU$1035:AU1245,$AA$1035:AA1245,"*")</f>
        <v>-499.79999999992333</v>
      </c>
      <c r="BS1103" s="87">
        <f>SUMIFS($AU$1035:AU1245,$AB$1035:AB1245,"*")</f>
        <v>-724.00000000009095</v>
      </c>
      <c r="BT1103" s="87">
        <f>SUMIFS($AU$1035:AU1245,$AC$1035:AC1245,"*")</f>
        <v>112.00000000000097</v>
      </c>
      <c r="BU1103" s="87">
        <f>SUMIFS($AU$1035:AU1245,$AA$1035:AA1245,"*",$AB$1035:AB1245,"*")</f>
        <v>47.999999999934744</v>
      </c>
      <c r="BV1103" s="87">
        <f>SUMIFS($AU$1035:AU1245,$AA$1035:AA1245,"*",$AC$1035:AC1245,"*")</f>
        <v>-335.99999999999977</v>
      </c>
      <c r="BW1103" s="87">
        <f>SUMIFS($AU$1035:AU1245,$AB$1035:AB1245,"*",$AC$1035:AC1245,"*")</f>
        <v>-143.99999999999966</v>
      </c>
      <c r="BX1103" s="87">
        <f>SUMIFS($AV$1035:AV1245,$Q$1035:Q1245,"F")</f>
        <v>34.153846153846246</v>
      </c>
      <c r="BY1103" s="87">
        <f>SUMIFS($AV$1035:AV1245,$Q$1035:Q1245,"S")</f>
        <v>20.914285714286223</v>
      </c>
      <c r="BZ1103" s="87">
        <f>SUMIFS($AV$1035:AV1245,$Q$1035:Q1245,"O")</f>
        <v>-445.13333333327751</v>
      </c>
    </row>
    <row r="1104" spans="1:78" ht="15.75" customHeight="1">
      <c r="A1104" s="45" t="s">
        <v>3276</v>
      </c>
      <c r="B1104" s="59">
        <v>45539</v>
      </c>
      <c r="C1104" s="46" t="s">
        <v>1190</v>
      </c>
      <c r="D1104" s="46" t="s">
        <v>186</v>
      </c>
      <c r="E1104" s="66"/>
      <c r="F1104" s="47"/>
      <c r="G1104" s="114" t="s">
        <v>295</v>
      </c>
      <c r="H1104" s="49"/>
      <c r="I1104" s="49"/>
      <c r="J1104" s="49"/>
      <c r="K1104" s="50"/>
      <c r="L1104" s="49"/>
      <c r="M1104" s="49">
        <v>1</v>
      </c>
      <c r="N1104" s="49"/>
      <c r="O1104" s="50" t="s">
        <v>100</v>
      </c>
      <c r="P1104" s="50" t="s">
        <v>101</v>
      </c>
      <c r="Q1104" s="50" t="s">
        <v>102</v>
      </c>
      <c r="R1104" s="50">
        <v>12</v>
      </c>
      <c r="S1104" s="50">
        <v>0</v>
      </c>
      <c r="T1104" s="50">
        <v>12</v>
      </c>
      <c r="U1104" s="50" t="s">
        <v>22</v>
      </c>
      <c r="V1104" s="50" t="s">
        <v>2898</v>
      </c>
      <c r="W1104" s="50" t="s">
        <v>22</v>
      </c>
      <c r="X1104" s="50" t="s">
        <v>3026</v>
      </c>
      <c r="Y1104" s="51">
        <f>IF(ISBLANK(O1104),"",(IF(O1104=UPPER("IB"),0.005,0.01)))</f>
        <v>0.01</v>
      </c>
      <c r="Z1104" s="52">
        <f>IF(ISBLANK(O1104),"",IF(O1104="IB",8.63*200,IF(O1104="IR",16*100,IF(O1104="YT",20*100,IF(O1104="YT-XT",24*200,IF(O1104="TED",80*100,IF(O1104="XT",29*200)))))))</f>
        <v>1600</v>
      </c>
      <c r="AA1104" s="52" t="s">
        <v>282</v>
      </c>
      <c r="AB1104" s="52"/>
      <c r="AC1104" s="52"/>
      <c r="AD1104" s="231">
        <v>-0.22</v>
      </c>
      <c r="AE1104" s="49"/>
      <c r="AF1104" s="84"/>
      <c r="AG1104" s="49"/>
      <c r="AH1104" s="49"/>
      <c r="AI1104" s="49"/>
      <c r="AJ1104" s="226"/>
      <c r="AK1104" s="49"/>
      <c r="AL1104" s="113">
        <f t="shared" si="467"/>
        <v>-32</v>
      </c>
      <c r="AM1104" s="113">
        <f t="shared" si="468"/>
        <v>-384</v>
      </c>
      <c r="AN1104" s="218"/>
      <c r="AO1104" s="49"/>
      <c r="AP1104" s="49"/>
      <c r="AQ1104" s="84" t="s">
        <v>142</v>
      </c>
      <c r="AR1104" s="49"/>
      <c r="AS1104" s="55">
        <v>-0.22</v>
      </c>
      <c r="AT1104" s="55">
        <f t="shared" si="469"/>
        <v>0</v>
      </c>
      <c r="AU1104" s="54">
        <f t="shared" si="470"/>
        <v>0</v>
      </c>
      <c r="AV1104" s="56">
        <f t="shared" si="471"/>
        <v>0</v>
      </c>
      <c r="AW1104" s="57" t="s">
        <v>155</v>
      </c>
      <c r="AX1104" s="151"/>
      <c r="AY1104" s="151"/>
      <c r="AZ1104" s="151"/>
      <c r="BA1104" s="151"/>
      <c r="BB1104" s="151"/>
      <c r="BC1104" s="153"/>
      <c r="BD1104" s="151"/>
      <c r="BE1104" s="152"/>
      <c r="BF1104" s="151"/>
      <c r="BG1104" s="94">
        <f>SUM($AV$1035:AV1104)</f>
        <v>-94.085714285737993</v>
      </c>
      <c r="BH1104" s="95">
        <f>SUM($AU$1035:AU1104)</f>
        <v>604.99999999996135</v>
      </c>
      <c r="BI1104" s="80">
        <f>SUMIFS($AU$1035:AU1246,$Q$1035:Q1246,"F")</f>
        <v>112.00000000000057</v>
      </c>
      <c r="BJ1104" s="80">
        <f>SUMIFS($AU$1035:AU1246,$Q$1035:Q1246,"S")</f>
        <v>-15.999999999994088</v>
      </c>
      <c r="BK1104" s="87">
        <f>SUMIFS($AU$1035:AU1246,$P$1035:P1246,"W")</f>
        <v>-960.00000000003297</v>
      </c>
      <c r="BL1104" s="87">
        <f>SUMIFS($AU$1035:AU1246,$P$1035:P1246,"R")</f>
        <v>1024.0000000000007</v>
      </c>
      <c r="BM1104" s="87">
        <f>SUMIFS($AU$1035:AU1246,$AQ$1035:AQ1246,"M")</f>
        <v>-899.79999999984489</v>
      </c>
      <c r="BN1104" s="87">
        <f>SUMIFS($AU$1035:AU1246,$AQ$1035:AQ1246,"H")</f>
        <v>1583.9999999998265</v>
      </c>
      <c r="BO1104" s="87">
        <f>SUMIFS($AU$1035:AU1246,$AQ$1035:AQ1246,"D")</f>
        <v>-479.9999999999896</v>
      </c>
      <c r="BP1104" s="87">
        <f>SUMIFS($AS$1035:AS1334,$AO$1035:AO1334,"W")</f>
        <v>0</v>
      </c>
      <c r="BQ1104" s="87">
        <f>SUMIFS($AU$1035:AU1246,$Q$1035:Q1246,"O")</f>
        <v>-1079.7999999999552</v>
      </c>
      <c r="BR1104" s="87">
        <f>SUMIFS($AU$1035:AU1246,$AA$1035:AA1246,"*")</f>
        <v>-499.79999999992333</v>
      </c>
      <c r="BS1104" s="87">
        <f>SUMIFS($AU$1035:AU1246,$AB$1035:AB1246,"*")</f>
        <v>-724.00000000009095</v>
      </c>
      <c r="BT1104" s="87">
        <f>SUMIFS($AU$1035:AU1246,$AC$1035:AC1246,"*")</f>
        <v>112.00000000000097</v>
      </c>
      <c r="BU1104" s="87">
        <f>SUMIFS($AU$1035:AU1246,$AA$1035:AA1246,"*",$AB$1035:AB1246,"*")</f>
        <v>47.999999999934744</v>
      </c>
      <c r="BV1104" s="87">
        <f>SUMIFS($AU$1035:AU1246,$AA$1035:AA1246,"*",$AC$1035:AC1246,"*")</f>
        <v>-335.99999999999977</v>
      </c>
      <c r="BW1104" s="87">
        <f>SUMIFS($AU$1035:AU1246,$AB$1035:AB1246,"*",$AC$1035:AC1246,"*")</f>
        <v>-143.99999999999966</v>
      </c>
      <c r="BX1104" s="87">
        <f>SUMIFS($AV$1035:AV1246,$Q$1035:Q1246,"F")</f>
        <v>34.153846153846246</v>
      </c>
      <c r="BY1104" s="87">
        <f>SUMIFS($AV$1035:AV1246,$Q$1035:Q1246,"S")</f>
        <v>20.914285714286223</v>
      </c>
      <c r="BZ1104" s="87">
        <f>SUMIFS($AV$1035:AV1246,$Q$1035:Q1246,"O")</f>
        <v>-445.13333333327751</v>
      </c>
    </row>
    <row r="1105" spans="1:78" ht="15.75" customHeight="1">
      <c r="A1105" s="45" t="s">
        <v>3276</v>
      </c>
      <c r="B1105" s="59">
        <v>45539</v>
      </c>
      <c r="C1105" s="46" t="s">
        <v>2852</v>
      </c>
      <c r="D1105" s="46" t="s">
        <v>186</v>
      </c>
      <c r="E1105" s="66"/>
      <c r="F1105" s="47"/>
      <c r="G1105" s="114" t="s">
        <v>3296</v>
      </c>
      <c r="H1105" s="49"/>
      <c r="I1105" s="49"/>
      <c r="J1105" s="49"/>
      <c r="K1105" s="50"/>
      <c r="L1105" s="49"/>
      <c r="M1105" s="49">
        <v>1</v>
      </c>
      <c r="N1105" s="49"/>
      <c r="O1105" s="50" t="s">
        <v>100</v>
      </c>
      <c r="P1105" s="50" t="s">
        <v>101</v>
      </c>
      <c r="Q1105" s="50" t="s">
        <v>102</v>
      </c>
      <c r="R1105" s="50">
        <v>4</v>
      </c>
      <c r="S1105" s="50">
        <v>0</v>
      </c>
      <c r="T1105" s="50">
        <v>4</v>
      </c>
      <c r="U1105" s="50" t="s">
        <v>22</v>
      </c>
      <c r="V1105" s="50" t="s">
        <v>2898</v>
      </c>
      <c r="W1105" s="50" t="s">
        <v>22</v>
      </c>
      <c r="X1105" s="50" t="s">
        <v>3002</v>
      </c>
      <c r="Y1105" s="51">
        <f>IF(ISBLANK(O1105),"",(IF(O1105=UPPER("IB"),0.005,0.01)))</f>
        <v>0.01</v>
      </c>
      <c r="Z1105" s="52">
        <f>IF(ISBLANK(O1105),"",IF(O1105="IB",8.63*200,IF(O1105="IR",16*100,IF(O1105="YT",20*100,IF(O1105="YT-XT",24*200,IF(O1105="TED",80*100,IF(O1105="XT",29*200)))))))</f>
        <v>1600</v>
      </c>
      <c r="AA1105" s="52" t="s">
        <v>3297</v>
      </c>
      <c r="AB1105" s="52"/>
      <c r="AC1105" s="52"/>
      <c r="AD1105" s="231">
        <v>-0.16</v>
      </c>
      <c r="AE1105" s="49"/>
      <c r="AF1105" s="84"/>
      <c r="AG1105" s="49"/>
      <c r="AH1105" s="49"/>
      <c r="AI1105" s="49"/>
      <c r="AJ1105" s="226"/>
      <c r="AK1105" s="49"/>
      <c r="AL1105" s="113">
        <f t="shared" si="467"/>
        <v>-32</v>
      </c>
      <c r="AM1105" s="113">
        <f t="shared" si="468"/>
        <v>-128</v>
      </c>
      <c r="AN1105" s="218"/>
      <c r="AO1105" s="49"/>
      <c r="AP1105" s="49"/>
      <c r="AQ1105" s="84" t="str">
        <f>UPPER(RIGHT(Journal_Live[[#This Row],[DURATION ]]))</f>
        <v/>
      </c>
      <c r="AR1105" s="49"/>
      <c r="AS1105" s="55">
        <v>-0.16</v>
      </c>
      <c r="AT1105" s="55">
        <f t="shared" si="469"/>
        <v>0</v>
      </c>
      <c r="AU1105" s="54">
        <f t="shared" si="470"/>
        <v>0</v>
      </c>
      <c r="AV1105" s="56">
        <f t="shared" si="471"/>
        <v>0</v>
      </c>
      <c r="AW1105" s="57" t="s">
        <v>155</v>
      </c>
      <c r="AX1105" s="151"/>
      <c r="AY1105" s="151"/>
      <c r="AZ1105" s="151"/>
      <c r="BA1105" s="151"/>
      <c r="BB1105" s="151"/>
      <c r="BC1105" s="153"/>
      <c r="BD1105" s="151"/>
      <c r="BE1105" s="152"/>
      <c r="BF1105" s="151"/>
      <c r="BG1105" s="94">
        <f>SUM($AV$1035:AV1105)</f>
        <v>-94.085714285737993</v>
      </c>
      <c r="BH1105" s="95">
        <f>SUM($AU$1035:AU1105)</f>
        <v>604.99999999996135</v>
      </c>
      <c r="BI1105" s="80">
        <f>SUMIFS($AU$1035:AU1247,$Q$1035:Q1247,"F")</f>
        <v>112.00000000000057</v>
      </c>
      <c r="BJ1105" s="80">
        <f>SUMIFS($AU$1035:AU1247,$Q$1035:Q1247,"S")</f>
        <v>-15.999999999994088</v>
      </c>
      <c r="BK1105" s="87">
        <f>SUMIFS($AU$1035:AU1247,$P$1035:P1247,"W")</f>
        <v>-960.00000000003297</v>
      </c>
      <c r="BL1105" s="87">
        <f>SUMIFS($AU$1035:AU1247,$P$1035:P1247,"R")</f>
        <v>1024.0000000000007</v>
      </c>
      <c r="BM1105" s="87">
        <f>SUMIFS($AU$1035:AU1247,$AQ$1035:AQ1247,"M")</f>
        <v>-899.79999999984489</v>
      </c>
      <c r="BN1105" s="87">
        <f>SUMIFS($AU$1035:AU1247,$AQ$1035:AQ1247,"H")</f>
        <v>1583.9999999998265</v>
      </c>
      <c r="BO1105" s="87">
        <f>SUMIFS($AU$1035:AU1247,$AQ$1035:AQ1247,"D")</f>
        <v>-479.9999999999896</v>
      </c>
      <c r="BP1105" s="87">
        <f>SUMIFS($AS$1035:AS1335,$AO$1035:AO1335,"W")</f>
        <v>0</v>
      </c>
      <c r="BQ1105" s="87">
        <f>SUMIFS($AU$1035:AU1247,$Q$1035:Q1247,"O")</f>
        <v>-1079.7999999999552</v>
      </c>
      <c r="BR1105" s="87">
        <f>SUMIFS($AU$1035:AU1247,$AA$1035:AA1247,"*")</f>
        <v>-499.79999999992333</v>
      </c>
      <c r="BS1105" s="87">
        <f>SUMIFS($AU$1035:AU1247,$AB$1035:AB1247,"*")</f>
        <v>-724.00000000009095</v>
      </c>
      <c r="BT1105" s="87">
        <f>SUMIFS($AU$1035:AU1247,$AC$1035:AC1247,"*")</f>
        <v>112.00000000000097</v>
      </c>
      <c r="BU1105" s="87">
        <f>SUMIFS($AU$1035:AU1247,$AA$1035:AA1247,"*",$AB$1035:AB1247,"*")</f>
        <v>47.999999999934744</v>
      </c>
      <c r="BV1105" s="87">
        <f>SUMIFS($AU$1035:AU1247,$AA$1035:AA1247,"*",$AC$1035:AC1247,"*")</f>
        <v>-335.99999999999977</v>
      </c>
      <c r="BW1105" s="87">
        <f>SUMIFS($AU$1035:AU1247,$AB$1035:AB1247,"*",$AC$1035:AC1247,"*")</f>
        <v>-143.99999999999966</v>
      </c>
      <c r="BX1105" s="87">
        <f>SUMIFS($AV$1035:AV1247,$Q$1035:Q1247,"F")</f>
        <v>34.153846153846246</v>
      </c>
      <c r="BY1105" s="87">
        <f>SUMIFS($AV$1035:AV1247,$Q$1035:Q1247,"S")</f>
        <v>20.914285714286223</v>
      </c>
      <c r="BZ1105" s="87">
        <f>SUMIFS($AV$1035:AV1247,$Q$1035:Q1247,"O")</f>
        <v>-445.13333333327751</v>
      </c>
    </row>
    <row r="1106" spans="1:78" ht="15.75" customHeight="1">
      <c r="A1106" s="45" t="s">
        <v>3276</v>
      </c>
      <c r="B1106" s="59">
        <v>45540</v>
      </c>
      <c r="C1106" s="46" t="s">
        <v>3259</v>
      </c>
      <c r="D1106" s="46" t="s">
        <v>107</v>
      </c>
      <c r="E1106" s="66"/>
      <c r="F1106" s="47"/>
      <c r="G1106" s="114" t="s">
        <v>2357</v>
      </c>
      <c r="H1106" s="49"/>
      <c r="I1106" s="49"/>
      <c r="J1106" s="49"/>
      <c r="K1106" s="50"/>
      <c r="L1106" s="49"/>
      <c r="M1106" s="49">
        <v>1</v>
      </c>
      <c r="N1106" s="49"/>
      <c r="O1106" s="50" t="s">
        <v>100</v>
      </c>
      <c r="P1106" s="50" t="s">
        <v>126</v>
      </c>
      <c r="Q1106" s="50" t="s">
        <v>127</v>
      </c>
      <c r="R1106" s="50">
        <v>24</v>
      </c>
      <c r="S1106" s="50">
        <v>0</v>
      </c>
      <c r="T1106" s="50">
        <v>24</v>
      </c>
      <c r="U1106" s="50" t="s">
        <v>102</v>
      </c>
      <c r="V1106" s="50" t="s">
        <v>2906</v>
      </c>
      <c r="W1106" s="50" t="s">
        <v>2916</v>
      </c>
      <c r="X1106" s="50" t="s">
        <v>3002</v>
      </c>
      <c r="Y1106" s="51">
        <f>IF(ISBLANK(O1106),"",(IF(O1106=UPPER("IB"),0.005,0.01)))</f>
        <v>0.01</v>
      </c>
      <c r="Z1106" s="52">
        <f>IF(ISBLANK(O1106),"",IF(O1106="IB",8.63*200,IF(O1106="IR",16*100,IF(O1106="YT",20*100,IF(O1106="YT-XT",24*200,IF(O1106="TED",80*100,IF(O1106="XT",29*200)))))))</f>
        <v>1600</v>
      </c>
      <c r="AA1106" s="52" t="s">
        <v>3298</v>
      </c>
      <c r="AB1106" s="52"/>
      <c r="AC1106" s="52" t="s">
        <v>3299</v>
      </c>
      <c r="AD1106" s="231">
        <v>-0.01</v>
      </c>
      <c r="AE1106" s="49"/>
      <c r="AF1106" s="84"/>
      <c r="AG1106" s="49"/>
      <c r="AH1106" s="49"/>
      <c r="AI1106" s="49"/>
      <c r="AJ1106" s="226"/>
      <c r="AK1106" s="49"/>
      <c r="AL1106" s="113">
        <f t="shared" si="467"/>
        <v>-32</v>
      </c>
      <c r="AM1106" s="113">
        <f t="shared" si="468"/>
        <v>-768</v>
      </c>
      <c r="AN1106" s="218"/>
      <c r="AO1106" s="49"/>
      <c r="AP1106" s="49"/>
      <c r="AQ1106" s="84" t="s">
        <v>155</v>
      </c>
      <c r="AR1106" s="49"/>
      <c r="AS1106" s="55">
        <v>-0.02</v>
      </c>
      <c r="AT1106" s="55">
        <f t="shared" si="469"/>
        <v>0.01</v>
      </c>
      <c r="AU1106" s="54">
        <f t="shared" si="470"/>
        <v>384</v>
      </c>
      <c r="AV1106" s="56">
        <f t="shared" si="471"/>
        <v>16</v>
      </c>
      <c r="AW1106" s="57" t="s">
        <v>101</v>
      </c>
      <c r="AX1106" s="151" t="s">
        <v>3300</v>
      </c>
      <c r="AY1106" s="151"/>
      <c r="AZ1106" s="151"/>
      <c r="BA1106" s="151"/>
      <c r="BB1106" s="151"/>
      <c r="BC1106" s="153"/>
      <c r="BD1106" s="151"/>
      <c r="BE1106" s="152"/>
      <c r="BF1106" s="151"/>
      <c r="BG1106" s="94">
        <f>SUM($AV$1035:AV1106)</f>
        <v>-78.085714285737993</v>
      </c>
      <c r="BH1106" s="95">
        <f>SUM($AU$1035:AU1106)</f>
        <v>988.99999999996135</v>
      </c>
      <c r="BI1106" s="80">
        <f>SUMIFS($AU$1035:AU1248,$Q$1035:Q1248,"F")</f>
        <v>112.00000000000057</v>
      </c>
      <c r="BJ1106" s="80">
        <f>SUMIFS($AU$1035:AU1248,$Q$1035:Q1248,"S")</f>
        <v>-15.999999999994088</v>
      </c>
      <c r="BK1106" s="87">
        <f>SUMIFS($AU$1035:AU1248,$P$1035:P1248,"W")</f>
        <v>-960.00000000003297</v>
      </c>
      <c r="BL1106" s="87">
        <f>SUMIFS($AU$1035:AU1248,$P$1035:P1248,"R")</f>
        <v>1024.0000000000007</v>
      </c>
      <c r="BM1106" s="87">
        <f>SUMIFS($AU$1035:AU1248,$AQ$1035:AQ1248,"M")</f>
        <v>-899.79999999984489</v>
      </c>
      <c r="BN1106" s="87">
        <f>SUMIFS($AU$1035:AU1248,$AQ$1035:AQ1248,"H")</f>
        <v>1583.9999999998265</v>
      </c>
      <c r="BO1106" s="87">
        <f>SUMIFS($AU$1035:AU1248,$AQ$1035:AQ1248,"D")</f>
        <v>-479.9999999999896</v>
      </c>
      <c r="BP1106" s="87">
        <f>SUMIFS($AS$1035:AS1336,$AO$1035:AO1336,"W")</f>
        <v>0</v>
      </c>
      <c r="BQ1106" s="87">
        <f>SUMIFS($AU$1035:AU1248,$Q$1035:Q1248,"O")</f>
        <v>-1079.7999999999552</v>
      </c>
      <c r="BR1106" s="87">
        <f>SUMIFS($AU$1035:AU1248,$AA$1035:AA1248,"*")</f>
        <v>-499.79999999992333</v>
      </c>
      <c r="BS1106" s="87">
        <f>SUMIFS($AU$1035:AU1248,$AB$1035:AB1248,"*")</f>
        <v>-724.00000000009095</v>
      </c>
      <c r="BT1106" s="87">
        <f>SUMIFS($AU$1035:AU1248,$AC$1035:AC1248,"*")</f>
        <v>112.00000000000097</v>
      </c>
      <c r="BU1106" s="87">
        <f>SUMIFS($AU$1035:AU1248,$AA$1035:AA1248,"*",$AB$1035:AB1248,"*")</f>
        <v>47.999999999934744</v>
      </c>
      <c r="BV1106" s="87">
        <f>SUMIFS($AU$1035:AU1248,$AA$1035:AA1248,"*",$AC$1035:AC1248,"*")</f>
        <v>-335.99999999999977</v>
      </c>
      <c r="BW1106" s="87">
        <f>SUMIFS($AU$1035:AU1248,$AB$1035:AB1248,"*",$AC$1035:AC1248,"*")</f>
        <v>-143.99999999999966</v>
      </c>
      <c r="BX1106" s="87">
        <f>SUMIFS($AV$1035:AV1248,$Q$1035:Q1248,"F")</f>
        <v>34.153846153846246</v>
      </c>
      <c r="BY1106" s="87">
        <f>SUMIFS($AV$1035:AV1248,$Q$1035:Q1248,"S")</f>
        <v>20.914285714286223</v>
      </c>
      <c r="BZ1106" s="87">
        <f>SUMIFS($AV$1035:AV1248,$Q$1035:Q1248,"O")</f>
        <v>-445.13333333327751</v>
      </c>
    </row>
    <row r="1107" spans="1:78" ht="15.75" customHeight="1">
      <c r="A1107" s="45" t="s">
        <v>3276</v>
      </c>
      <c r="B1107" s="59">
        <v>45540</v>
      </c>
      <c r="C1107" s="46" t="s">
        <v>2852</v>
      </c>
      <c r="D1107" s="46" t="s">
        <v>107</v>
      </c>
      <c r="E1107" s="66" t="s">
        <v>3301</v>
      </c>
      <c r="F1107" s="47"/>
      <c r="G1107" s="48"/>
      <c r="H1107" s="49">
        <v>1</v>
      </c>
      <c r="I1107" s="49"/>
      <c r="J1107" s="49"/>
      <c r="K1107" s="50" t="s">
        <v>142</v>
      </c>
      <c r="L1107" s="49"/>
      <c r="M1107" s="49"/>
      <c r="N1107" s="49"/>
      <c r="O1107" s="50"/>
      <c r="P1107" s="50"/>
      <c r="Q1107" s="50"/>
      <c r="R1107" s="50"/>
      <c r="S1107" s="50"/>
      <c r="T1107" s="50"/>
      <c r="U1107" s="50"/>
      <c r="V1107" s="50"/>
      <c r="W1107" s="50"/>
      <c r="X1107" s="50"/>
      <c r="Y1107" s="50"/>
      <c r="Z1107" s="50"/>
      <c r="AA1107" s="52"/>
      <c r="AB1107" s="52"/>
      <c r="AC1107" s="52"/>
      <c r="AD1107" s="231"/>
      <c r="AE1107" s="49"/>
      <c r="AF1107" s="84"/>
      <c r="AG1107" s="49"/>
      <c r="AH1107" s="49"/>
      <c r="AI1107" s="49"/>
      <c r="AJ1107" s="226"/>
      <c r="AK1107" s="49"/>
      <c r="AL1107" s="113">
        <f t="shared" si="467"/>
        <v>0</v>
      </c>
      <c r="AM1107" s="113">
        <f t="shared" si="468"/>
        <v>0</v>
      </c>
      <c r="AN1107" s="218"/>
      <c r="AO1107" s="49"/>
      <c r="AP1107" s="49"/>
      <c r="AQ1107" s="84" t="str">
        <f>UPPER(RIGHT(Journal_Live[[#This Row],[DURATION ]]))</f>
        <v/>
      </c>
      <c r="AR1107" s="49"/>
      <c r="AS1107" s="55"/>
      <c r="AT1107" s="55">
        <f t="shared" si="469"/>
        <v>0</v>
      </c>
      <c r="AU1107" s="54">
        <f t="shared" si="470"/>
        <v>0</v>
      </c>
      <c r="AV1107" s="56">
        <f t="shared" si="471"/>
        <v>0</v>
      </c>
      <c r="AW1107" s="57"/>
      <c r="AX1107" s="151"/>
      <c r="AY1107" s="151"/>
      <c r="AZ1107" s="151"/>
      <c r="BA1107" s="151"/>
      <c r="BB1107" s="151"/>
      <c r="BC1107" s="153"/>
      <c r="BD1107" s="151"/>
      <c r="BE1107" s="152"/>
      <c r="BF1107" s="151"/>
      <c r="BG1107" s="94">
        <f>SUM($AV$1035:AV1107)</f>
        <v>-78.085714285737993</v>
      </c>
      <c r="BH1107" s="95">
        <f>SUM($AU$1035:AU1107)</f>
        <v>988.99999999996135</v>
      </c>
      <c r="BI1107" s="80">
        <f>SUMIFS($AU$1035:AU1249,$Q$1035:Q1249,"F")</f>
        <v>112.00000000000057</v>
      </c>
      <c r="BJ1107" s="80">
        <f>SUMIFS($AU$1035:AU1249,$Q$1035:Q1249,"S")</f>
        <v>-15.999999999994088</v>
      </c>
      <c r="BK1107" s="87">
        <f>SUMIFS($AU$1035:AU1249,$P$1035:P1249,"W")</f>
        <v>-960.00000000003297</v>
      </c>
      <c r="BL1107" s="87">
        <f>SUMIFS($AU$1035:AU1249,$P$1035:P1249,"R")</f>
        <v>1024.0000000000007</v>
      </c>
      <c r="BM1107" s="87">
        <f>SUMIFS($AU$1035:AU1249,$AQ$1035:AQ1249,"M")</f>
        <v>-899.79999999984489</v>
      </c>
      <c r="BN1107" s="87">
        <f>SUMIFS($AU$1035:AU1249,$AQ$1035:AQ1249,"H")</f>
        <v>1583.9999999998265</v>
      </c>
      <c r="BO1107" s="87">
        <f>SUMIFS($AU$1035:AU1249,$AQ$1035:AQ1249,"D")</f>
        <v>-479.9999999999896</v>
      </c>
      <c r="BP1107" s="87">
        <f>SUMIFS($AS$1035:AS1337,$AO$1035:AO1337,"W")</f>
        <v>0</v>
      </c>
      <c r="BQ1107" s="87">
        <f>SUMIFS($AU$1035:AU1249,$Q$1035:Q1249,"O")</f>
        <v>-1079.7999999999552</v>
      </c>
      <c r="BR1107" s="87">
        <f>SUMIFS($AU$1035:AU1249,$AA$1035:AA1249,"*")</f>
        <v>-499.79999999992333</v>
      </c>
      <c r="BS1107" s="87">
        <f>SUMIFS($AU$1035:AU1249,$AB$1035:AB1249,"*")</f>
        <v>-724.00000000009095</v>
      </c>
      <c r="BT1107" s="87">
        <f>SUMIFS($AU$1035:AU1249,$AC$1035:AC1249,"*")</f>
        <v>112.00000000000097</v>
      </c>
      <c r="BU1107" s="87">
        <f>SUMIFS($AU$1035:AU1249,$AA$1035:AA1249,"*",$AB$1035:AB1249,"*")</f>
        <v>47.999999999934744</v>
      </c>
      <c r="BV1107" s="87">
        <f>SUMIFS($AU$1035:AU1249,$AA$1035:AA1249,"*",$AC$1035:AC1249,"*")</f>
        <v>-335.99999999999977</v>
      </c>
      <c r="BW1107" s="87">
        <f>SUMIFS($AU$1035:AU1249,$AB$1035:AB1249,"*",$AC$1035:AC1249,"*")</f>
        <v>-143.99999999999966</v>
      </c>
      <c r="BX1107" s="87">
        <f>SUMIFS($AV$1035:AV1249,$Q$1035:Q1249,"F")</f>
        <v>34.153846153846246</v>
      </c>
      <c r="BY1107" s="87">
        <f>SUMIFS($AV$1035:AV1249,$Q$1035:Q1249,"S")</f>
        <v>20.914285714286223</v>
      </c>
      <c r="BZ1107" s="87">
        <f>SUMIFS($AV$1035:AV1249,$Q$1035:Q1249,"O")</f>
        <v>-445.13333333327751</v>
      </c>
    </row>
    <row r="1108" spans="1:78" ht="15.75" customHeight="1">
      <c r="A1108" s="45" t="s">
        <v>3276</v>
      </c>
      <c r="B1108" s="59">
        <v>45541</v>
      </c>
      <c r="C1108" s="46" t="s">
        <v>350</v>
      </c>
      <c r="D1108" s="46" t="s">
        <v>115</v>
      </c>
      <c r="E1108" s="66"/>
      <c r="F1108" s="47"/>
      <c r="G1108" s="114" t="s">
        <v>2712</v>
      </c>
      <c r="H1108" s="49"/>
      <c r="I1108" s="49"/>
      <c r="J1108" s="49"/>
      <c r="K1108" s="50"/>
      <c r="L1108" s="49"/>
      <c r="M1108" s="49">
        <v>1</v>
      </c>
      <c r="N1108" s="49"/>
      <c r="O1108" s="50" t="s">
        <v>100</v>
      </c>
      <c r="P1108" s="50" t="s">
        <v>101</v>
      </c>
      <c r="Q1108" s="50" t="s">
        <v>102</v>
      </c>
      <c r="R1108" s="50">
        <v>16</v>
      </c>
      <c r="S1108" s="50">
        <v>0</v>
      </c>
      <c r="T1108" s="50">
        <v>14</v>
      </c>
      <c r="U1108" s="50" t="s">
        <v>22</v>
      </c>
      <c r="V1108" s="50" t="s">
        <v>2898</v>
      </c>
      <c r="W1108" s="50" t="s">
        <v>22</v>
      </c>
      <c r="X1108" s="50" t="s">
        <v>3002</v>
      </c>
      <c r="Y1108" s="51">
        <f>IF(ISBLANK(O1108),"",(IF(O1108=UPPER("IB"),0.005,0.01)))</f>
        <v>0.01</v>
      </c>
      <c r="Z1108" s="52">
        <f>IF(ISBLANK(O1108),"",IF(O1108="IB",8.63*200,IF(O1108="IR",16*100,IF(O1108="YT",20*100,IF(O1108="YT-XT",24*200,IF(O1108="TED",80*100,IF(O1108="XT",29*200)))))))</f>
        <v>1600</v>
      </c>
      <c r="AA1108" s="52" t="s">
        <v>2888</v>
      </c>
      <c r="AB1108" s="52"/>
      <c r="AC1108" s="52"/>
      <c r="AD1108" s="231">
        <v>-0.23</v>
      </c>
      <c r="AE1108" s="49"/>
      <c r="AF1108" s="84"/>
      <c r="AG1108" s="49"/>
      <c r="AH1108" s="49"/>
      <c r="AI1108" s="49"/>
      <c r="AJ1108" s="226"/>
      <c r="AK1108" s="49"/>
      <c r="AL1108" s="113">
        <f t="shared" si="467"/>
        <v>-32</v>
      </c>
      <c r="AM1108" s="113">
        <f t="shared" si="468"/>
        <v>-512</v>
      </c>
      <c r="AN1108" s="218"/>
      <c r="AO1108" s="49"/>
      <c r="AP1108" s="49"/>
      <c r="AQ1108" s="84" t="s">
        <v>142</v>
      </c>
      <c r="AR1108" s="49"/>
      <c r="AS1108" s="55">
        <v>-0.22</v>
      </c>
      <c r="AT1108" s="55">
        <f t="shared" si="469"/>
        <v>1.0000000000000009E-2</v>
      </c>
      <c r="AU1108" s="54">
        <f t="shared" si="470"/>
        <v>256.00000000000023</v>
      </c>
      <c r="AV1108" s="56">
        <f t="shared" si="471"/>
        <v>16.000000000000014</v>
      </c>
      <c r="AW1108" s="57" t="s">
        <v>101</v>
      </c>
      <c r="AX1108" s="151"/>
      <c r="AY1108" s="151"/>
      <c r="AZ1108" s="151"/>
      <c r="BA1108" s="151"/>
      <c r="BB1108" s="151"/>
      <c r="BC1108" s="153"/>
      <c r="BD1108" s="151"/>
      <c r="BE1108" s="152"/>
      <c r="BF1108" s="151"/>
      <c r="BG1108" s="94">
        <f>SUM($AV$1035:AV1108)</f>
        <v>-62.085714285737978</v>
      </c>
      <c r="BH1108" s="95">
        <f>SUM($AU$1035:AU1108)</f>
        <v>1244.9999999999616</v>
      </c>
      <c r="BI1108" s="80">
        <f>SUMIFS($AU$1035:AU1250,$Q$1035:Q1250,"F")</f>
        <v>112.00000000000057</v>
      </c>
      <c r="BJ1108" s="80">
        <f>SUMIFS($AU$1035:AU1250,$Q$1035:Q1250,"S")</f>
        <v>-15.999999999994088</v>
      </c>
      <c r="BK1108" s="87">
        <f>SUMIFS($AU$1035:AU1250,$P$1035:P1250,"W")</f>
        <v>-960.00000000003297</v>
      </c>
      <c r="BL1108" s="87">
        <f>SUMIFS($AU$1035:AU1250,$P$1035:P1250,"R")</f>
        <v>1024.0000000000007</v>
      </c>
      <c r="BM1108" s="87">
        <f>SUMIFS($AU$1035:AU1250,$AQ$1035:AQ1250,"M")</f>
        <v>-899.79999999984489</v>
      </c>
      <c r="BN1108" s="87">
        <f>SUMIFS($AU$1035:AU1250,$AQ$1035:AQ1250,"H")</f>
        <v>1583.9999999998265</v>
      </c>
      <c r="BO1108" s="87">
        <f>SUMIFS($AU$1035:AU1250,$AQ$1035:AQ1250,"D")</f>
        <v>-479.9999999999896</v>
      </c>
      <c r="BP1108" s="87">
        <f>SUMIFS($AS$1035:AS1338,$AO$1035:AO1338,"W")</f>
        <v>0</v>
      </c>
      <c r="BQ1108" s="87">
        <f>SUMIFS($AU$1035:AU1250,$Q$1035:Q1250,"O")</f>
        <v>-1079.7999999999552</v>
      </c>
      <c r="BR1108" s="87">
        <f>SUMIFS($AU$1035:AU1250,$AA$1035:AA1250,"*")</f>
        <v>-499.79999999992333</v>
      </c>
      <c r="BS1108" s="87">
        <f>SUMIFS($AU$1035:AU1250,$AB$1035:AB1250,"*")</f>
        <v>-724.00000000009095</v>
      </c>
      <c r="BT1108" s="87">
        <f>SUMIFS($AU$1035:AU1250,$AC$1035:AC1250,"*")</f>
        <v>112.00000000000097</v>
      </c>
      <c r="BU1108" s="87">
        <f>SUMIFS($AU$1035:AU1250,$AA$1035:AA1250,"*",$AB$1035:AB1250,"*")</f>
        <v>47.999999999934744</v>
      </c>
      <c r="BV1108" s="87">
        <f>SUMIFS($AU$1035:AU1250,$AA$1035:AA1250,"*",$AC$1035:AC1250,"*")</f>
        <v>-335.99999999999977</v>
      </c>
      <c r="BW1108" s="87">
        <f>SUMIFS($AU$1035:AU1250,$AB$1035:AB1250,"*",$AC$1035:AC1250,"*")</f>
        <v>-143.99999999999966</v>
      </c>
      <c r="BX1108" s="87">
        <f>SUMIFS($AV$1035:AV1250,$Q$1035:Q1250,"F")</f>
        <v>34.153846153846246</v>
      </c>
      <c r="BY1108" s="87">
        <f>SUMIFS($AV$1035:AV1250,$Q$1035:Q1250,"S")</f>
        <v>20.914285714286223</v>
      </c>
      <c r="BZ1108" s="87">
        <f>SUMIFS($AV$1035:AV1250,$Q$1035:Q1250,"O")</f>
        <v>-445.13333333327751</v>
      </c>
    </row>
    <row r="1109" spans="1:78" ht="15.75" customHeight="1">
      <c r="A1109" s="45" t="s">
        <v>3276</v>
      </c>
      <c r="B1109" s="59">
        <v>45541</v>
      </c>
      <c r="C1109" s="46" t="s">
        <v>350</v>
      </c>
      <c r="D1109" s="46" t="s">
        <v>115</v>
      </c>
      <c r="E1109" s="66"/>
      <c r="F1109" s="47"/>
      <c r="G1109" s="114" t="s">
        <v>2821</v>
      </c>
      <c r="H1109" s="49"/>
      <c r="I1109" s="49"/>
      <c r="J1109" s="49"/>
      <c r="K1109" s="50"/>
      <c r="L1109" s="49"/>
      <c r="M1109" s="49">
        <v>1</v>
      </c>
      <c r="N1109" s="49"/>
      <c r="O1109" s="50" t="s">
        <v>100</v>
      </c>
      <c r="P1109" s="50" t="s">
        <v>101</v>
      </c>
      <c r="Q1109" s="50" t="s">
        <v>102</v>
      </c>
      <c r="R1109" s="50">
        <v>3</v>
      </c>
      <c r="S1109" s="50">
        <v>0</v>
      </c>
      <c r="T1109" s="50">
        <v>3</v>
      </c>
      <c r="U1109" s="50" t="s">
        <v>22</v>
      </c>
      <c r="V1109" s="50" t="s">
        <v>2898</v>
      </c>
      <c r="W1109" s="50" t="s">
        <v>3086</v>
      </c>
      <c r="X1109" s="50" t="s">
        <v>3002</v>
      </c>
      <c r="Y1109" s="51">
        <f>IF(ISBLANK(O1109),"",(IF(O1109=UPPER("IB"),0.005,0.01)))</f>
        <v>0.01</v>
      </c>
      <c r="Z1109" s="52">
        <f>IF(ISBLANK(O1109),"",IF(O1109="IB",8.63*200,IF(O1109="IR",16*100,IF(O1109="YT",20*100,IF(O1109="YT-XT",24*200,IF(O1109="TED",80*100,IF(O1109="XT",29*200)))))))</f>
        <v>1600</v>
      </c>
      <c r="AA1109" s="52" t="s">
        <v>2484</v>
      </c>
      <c r="AB1109" s="52"/>
      <c r="AC1109" s="52"/>
      <c r="AD1109" s="231">
        <v>-0.39</v>
      </c>
      <c r="AE1109" s="49"/>
      <c r="AF1109" s="84"/>
      <c r="AG1109" s="49"/>
      <c r="AH1109" s="49"/>
      <c r="AI1109" s="49"/>
      <c r="AJ1109" s="226"/>
      <c r="AK1109" s="49"/>
      <c r="AL1109" s="113">
        <f t="shared" ref="AL1109:AL1121" si="472">-0.02*Z1109</f>
        <v>-32</v>
      </c>
      <c r="AM1109" s="113">
        <f t="shared" si="468"/>
        <v>-96</v>
      </c>
      <c r="AN1109" s="218"/>
      <c r="AO1109" s="49"/>
      <c r="AP1109" s="49"/>
      <c r="AQ1109" s="84" t="s">
        <v>142</v>
      </c>
      <c r="AR1109" s="49"/>
      <c r="AS1109" s="55">
        <v>-0.39</v>
      </c>
      <c r="AT1109" s="55">
        <f t="shared" si="469"/>
        <v>0</v>
      </c>
      <c r="AU1109" s="54">
        <f t="shared" si="470"/>
        <v>0</v>
      </c>
      <c r="AV1109" s="56">
        <f t="shared" ref="AV1109:AV1121" si="473">IF(ISBLANK(AS1109),,(AT1109*Z1109))</f>
        <v>0</v>
      </c>
      <c r="AW1109" s="57" t="s">
        <v>155</v>
      </c>
      <c r="AX1109" s="151" t="s">
        <v>3302</v>
      </c>
      <c r="AY1109" s="151"/>
      <c r="AZ1109" s="151"/>
      <c r="BA1109" s="151"/>
      <c r="BB1109" s="151"/>
      <c r="BC1109" s="153"/>
      <c r="BD1109" s="151"/>
      <c r="BE1109" s="152"/>
      <c r="BF1109" s="151"/>
      <c r="BG1109" s="94">
        <f>SUM($AV$1035:AV1109)</f>
        <v>-62.085714285737978</v>
      </c>
      <c r="BH1109" s="95">
        <f>SUM($AU$1035:AU1109)</f>
        <v>1244.9999999999616</v>
      </c>
      <c r="BI1109" s="80">
        <f>SUMIFS($AU$1035:AU1251,$Q$1035:Q1251,"F")</f>
        <v>112.00000000000057</v>
      </c>
      <c r="BJ1109" s="80">
        <f>SUMIFS($AU$1035:AU1251,$Q$1035:Q1251,"S")</f>
        <v>-15.999999999994088</v>
      </c>
      <c r="BK1109" s="87">
        <f>SUMIFS($AU$1035:AU1251,$P$1035:P1251,"W")</f>
        <v>-960.00000000003297</v>
      </c>
      <c r="BL1109" s="87">
        <f>SUMIFS($AU$1035:AU1251,$P$1035:P1251,"R")</f>
        <v>1024.0000000000007</v>
      </c>
      <c r="BM1109" s="87">
        <f>SUMIFS($AU$1035:AU1251,$AQ$1035:AQ1251,"M")</f>
        <v>-899.79999999984489</v>
      </c>
      <c r="BN1109" s="87">
        <f>SUMIFS($AU$1035:AU1251,$AQ$1035:AQ1251,"H")</f>
        <v>1583.9999999998265</v>
      </c>
      <c r="BO1109" s="87">
        <f>SUMIFS($AU$1035:AU1251,$AQ$1035:AQ1251,"D")</f>
        <v>-479.9999999999896</v>
      </c>
      <c r="BP1109" s="87">
        <f>SUMIFS($AS$1035:AS1339,$AO$1035:AO1339,"W")</f>
        <v>0</v>
      </c>
      <c r="BQ1109" s="87">
        <f>SUMIFS($AU$1035:AU1251,$Q$1035:Q1251,"O")</f>
        <v>-1079.7999999999552</v>
      </c>
      <c r="BR1109" s="87">
        <f>SUMIFS($AU$1035:AU1251,$AA$1035:AA1251,"*")</f>
        <v>-499.79999999992333</v>
      </c>
      <c r="BS1109" s="87">
        <f>SUMIFS($AU$1035:AU1251,$AB$1035:AB1251,"*")</f>
        <v>-724.00000000009095</v>
      </c>
      <c r="BT1109" s="87">
        <f>SUMIFS($AU$1035:AU1251,$AC$1035:AC1251,"*")</f>
        <v>112.00000000000097</v>
      </c>
      <c r="BU1109" s="87">
        <f>SUMIFS($AU$1035:AU1251,$AA$1035:AA1251,"*",$AB$1035:AB1251,"*")</f>
        <v>47.999999999934744</v>
      </c>
      <c r="BV1109" s="87">
        <f>SUMIFS($AU$1035:AU1251,$AA$1035:AA1251,"*",$AC$1035:AC1251,"*")</f>
        <v>-335.99999999999977</v>
      </c>
      <c r="BW1109" s="87">
        <f>SUMIFS($AU$1035:AU1251,$AB$1035:AB1251,"*",$AC$1035:AC1251,"*")</f>
        <v>-143.99999999999966</v>
      </c>
      <c r="BX1109" s="87">
        <f>SUMIFS($AV$1035:AV1251,$Q$1035:Q1251,"F")</f>
        <v>34.153846153846246</v>
      </c>
      <c r="BY1109" s="87">
        <f>SUMIFS($AV$1035:AV1251,$Q$1035:Q1251,"S")</f>
        <v>20.914285714286223</v>
      </c>
      <c r="BZ1109" s="87">
        <f>SUMIFS($AV$1035:AV1251,$Q$1035:Q1251,"O")</f>
        <v>-445.13333333327751</v>
      </c>
    </row>
    <row r="1110" spans="1:78" ht="15.75" customHeight="1">
      <c r="A1110" s="45" t="s">
        <v>3276</v>
      </c>
      <c r="B1110" s="59">
        <v>45541</v>
      </c>
      <c r="C1110" s="46" t="s">
        <v>1143</v>
      </c>
      <c r="D1110" s="46" t="s">
        <v>115</v>
      </c>
      <c r="E1110" s="66" t="s">
        <v>3303</v>
      </c>
      <c r="F1110" s="47"/>
      <c r="G1110" s="48"/>
      <c r="H1110" s="49"/>
      <c r="I1110" s="49"/>
      <c r="J1110" s="49">
        <v>1</v>
      </c>
      <c r="K1110" s="50" t="s">
        <v>155</v>
      </c>
      <c r="L1110" s="49"/>
      <c r="M1110" s="49"/>
      <c r="N1110" s="49"/>
      <c r="O1110" s="50"/>
      <c r="P1110" s="50"/>
      <c r="Q1110" s="50"/>
      <c r="R1110" s="50"/>
      <c r="S1110" s="50"/>
      <c r="T1110" s="50"/>
      <c r="U1110" s="50"/>
      <c r="V1110" s="50"/>
      <c r="W1110" s="50"/>
      <c r="X1110" s="50"/>
      <c r="Y1110" s="51"/>
      <c r="Z1110" s="52"/>
      <c r="AA1110" s="52"/>
      <c r="AB1110" s="52"/>
      <c r="AC1110" s="52"/>
      <c r="AD1110" s="231"/>
      <c r="AE1110" s="49"/>
      <c r="AF1110" s="84"/>
      <c r="AG1110" s="49"/>
      <c r="AH1110" s="49"/>
      <c r="AI1110" s="49"/>
      <c r="AJ1110" s="226"/>
      <c r="AK1110" s="49"/>
      <c r="AL1110" s="113">
        <f t="shared" si="472"/>
        <v>0</v>
      </c>
      <c r="AM1110" s="113">
        <f t="shared" si="468"/>
        <v>0</v>
      </c>
      <c r="AN1110" s="218"/>
      <c r="AO1110" s="49"/>
      <c r="AP1110" s="49"/>
      <c r="AQ1110" s="84" t="str">
        <f>UPPER(RIGHT(Journal_Live[[#This Row],[DURATION ]]))</f>
        <v/>
      </c>
      <c r="AR1110" s="49"/>
      <c r="AS1110" s="55"/>
      <c r="AT1110" s="55">
        <f t="shared" si="469"/>
        <v>0</v>
      </c>
      <c r="AU1110" s="54">
        <f t="shared" si="470"/>
        <v>0</v>
      </c>
      <c r="AV1110" s="56">
        <f t="shared" si="473"/>
        <v>0</v>
      </c>
      <c r="AW1110" s="57"/>
      <c r="AX1110" s="151"/>
      <c r="AY1110" s="151"/>
      <c r="AZ1110" s="151"/>
      <c r="BA1110" s="151"/>
      <c r="BB1110" s="151"/>
      <c r="BC1110" s="153"/>
      <c r="BD1110" s="151"/>
      <c r="BE1110" s="152"/>
      <c r="BF1110" s="151"/>
      <c r="BG1110" s="94">
        <f>SUM($AV$1035:AV1110)</f>
        <v>-62.085714285737978</v>
      </c>
      <c r="BH1110" s="95">
        <f>SUM($AU$1035:AU1110)</f>
        <v>1244.9999999999616</v>
      </c>
      <c r="BI1110" s="80">
        <f>SUMIFS($AU$1035:AU1252,$Q$1035:Q1252,"F")</f>
        <v>112.00000000000057</v>
      </c>
      <c r="BJ1110" s="80">
        <f>SUMIFS($AU$1035:AU1252,$Q$1035:Q1252,"S")</f>
        <v>-15.999999999994088</v>
      </c>
      <c r="BK1110" s="87">
        <f>SUMIFS($AU$1035:AU1252,$P$1035:P1252,"W")</f>
        <v>-960.00000000003297</v>
      </c>
      <c r="BL1110" s="87">
        <f>SUMIFS($AU$1035:AU1252,$P$1035:P1252,"R")</f>
        <v>1024.0000000000007</v>
      </c>
      <c r="BM1110" s="87">
        <f>SUMIFS($AU$1035:AU1252,$AQ$1035:AQ1252,"M")</f>
        <v>-899.79999999984489</v>
      </c>
      <c r="BN1110" s="87">
        <f>SUMIFS($AU$1035:AU1252,$AQ$1035:AQ1252,"H")</f>
        <v>1583.9999999998265</v>
      </c>
      <c r="BO1110" s="87">
        <f>SUMIFS($AU$1035:AU1252,$AQ$1035:AQ1252,"D")</f>
        <v>-479.9999999999896</v>
      </c>
      <c r="BP1110" s="87">
        <f>SUMIFS($AS$1035:AS1340,$AO$1035:AO1340,"W")</f>
        <v>0</v>
      </c>
      <c r="BQ1110" s="87">
        <f>SUMIFS($AU$1035:AU1252,$Q$1035:Q1252,"O")</f>
        <v>-1079.7999999999552</v>
      </c>
      <c r="BR1110" s="87">
        <f>SUMIFS($AU$1035:AU1252,$AA$1035:AA1252,"*")</f>
        <v>-499.79999999992333</v>
      </c>
      <c r="BS1110" s="87">
        <f>SUMIFS($AU$1035:AU1252,$AB$1035:AB1252,"*")</f>
        <v>-724.00000000009095</v>
      </c>
      <c r="BT1110" s="87">
        <f>SUMIFS($AU$1035:AU1252,$AC$1035:AC1252,"*")</f>
        <v>112.00000000000097</v>
      </c>
      <c r="BU1110" s="87">
        <f>SUMIFS($AU$1035:AU1252,$AA$1035:AA1252,"*",$AB$1035:AB1252,"*")</f>
        <v>47.999999999934744</v>
      </c>
      <c r="BV1110" s="87">
        <f>SUMIFS($AU$1035:AU1252,$AA$1035:AA1252,"*",$AC$1035:AC1252,"*")</f>
        <v>-335.99999999999977</v>
      </c>
      <c r="BW1110" s="87">
        <f>SUMIFS($AU$1035:AU1252,$AB$1035:AB1252,"*",$AC$1035:AC1252,"*")</f>
        <v>-143.99999999999966</v>
      </c>
      <c r="BX1110" s="87">
        <f>SUMIFS($AV$1035:AV1252,$Q$1035:Q1252,"F")</f>
        <v>34.153846153846246</v>
      </c>
      <c r="BY1110" s="87">
        <f>SUMIFS($AV$1035:AV1252,$Q$1035:Q1252,"S")</f>
        <v>20.914285714286223</v>
      </c>
      <c r="BZ1110" s="87">
        <f>SUMIFS($AV$1035:AV1252,$Q$1035:Q1252,"O")</f>
        <v>-445.13333333327751</v>
      </c>
    </row>
    <row r="1111" spans="1:78" ht="15.75" customHeight="1">
      <c r="A1111" s="45" t="s">
        <v>3276</v>
      </c>
      <c r="B1111" s="59"/>
      <c r="C1111" s="46"/>
      <c r="D1111" s="46"/>
      <c r="E1111" s="66" t="s">
        <v>3304</v>
      </c>
      <c r="F1111" s="47"/>
      <c r="G1111" s="48"/>
      <c r="H1111" s="49"/>
      <c r="I1111" s="49">
        <v>1</v>
      </c>
      <c r="J1111" s="49"/>
      <c r="K1111" s="50"/>
      <c r="L1111" s="49"/>
      <c r="M1111" s="49"/>
      <c r="N1111" s="49"/>
      <c r="O1111" s="50"/>
      <c r="P1111" s="50"/>
      <c r="Q1111" s="50"/>
      <c r="R1111" s="50"/>
      <c r="S1111" s="50"/>
      <c r="T1111" s="50"/>
      <c r="U1111" s="50"/>
      <c r="V1111" s="50"/>
      <c r="W1111" s="50"/>
      <c r="X1111" s="50"/>
      <c r="Y1111" s="51"/>
      <c r="Z1111" s="52"/>
      <c r="AA1111" s="52"/>
      <c r="AB1111" s="52"/>
      <c r="AC1111" s="52"/>
      <c r="AD1111" s="231"/>
      <c r="AE1111" s="49"/>
      <c r="AF1111" s="84"/>
      <c r="AG1111" s="49"/>
      <c r="AH1111" s="49"/>
      <c r="AI1111" s="49"/>
      <c r="AJ1111" s="226"/>
      <c r="AK1111" s="49"/>
      <c r="AL1111" s="113">
        <f t="shared" si="472"/>
        <v>0</v>
      </c>
      <c r="AM1111" s="113">
        <f t="shared" si="468"/>
        <v>0</v>
      </c>
      <c r="AN1111" s="218"/>
      <c r="AO1111" s="49"/>
      <c r="AP1111" s="49"/>
      <c r="AQ1111" s="84" t="str">
        <f>UPPER(RIGHT(Journal_Live[[#This Row],[DURATION ]]))</f>
        <v/>
      </c>
      <c r="AR1111" s="49"/>
      <c r="AS1111" s="55"/>
      <c r="AT1111" s="55">
        <f t="shared" si="469"/>
        <v>0</v>
      </c>
      <c r="AU1111" s="54">
        <f t="shared" si="470"/>
        <v>0</v>
      </c>
      <c r="AV1111" s="56">
        <f t="shared" si="473"/>
        <v>0</v>
      </c>
      <c r="AW1111" s="57"/>
      <c r="AX1111" s="153" t="s">
        <v>3305</v>
      </c>
      <c r="AY1111" s="153" t="s">
        <v>3306</v>
      </c>
      <c r="AZ1111" s="153"/>
      <c r="BA1111" s="153"/>
      <c r="BB1111" s="153"/>
      <c r="BC1111" s="153"/>
      <c r="BD1111" s="151"/>
      <c r="BE1111" s="152"/>
      <c r="BF1111" s="151"/>
      <c r="BG1111" s="94">
        <f>SUM($AV$1035:AV1111)</f>
        <v>-62.085714285737978</v>
      </c>
      <c r="BH1111" s="95">
        <f>SUM($AU$1035:AU1111)</f>
        <v>1244.9999999999616</v>
      </c>
      <c r="BI1111" s="80">
        <f>SUMIFS($AU$1035:AU1253,$Q$1035:Q1253,"F")</f>
        <v>112.00000000000057</v>
      </c>
      <c r="BJ1111" s="80">
        <f>SUMIFS($AU$1035:AU1253,$Q$1035:Q1253,"S")</f>
        <v>-15.999999999994088</v>
      </c>
      <c r="BK1111" s="87">
        <f>SUMIFS($AU$1035:AU1253,$P$1035:P1253,"W")</f>
        <v>-960.00000000003297</v>
      </c>
      <c r="BL1111" s="87">
        <f>SUMIFS($AU$1035:AU1253,$P$1035:P1253,"R")</f>
        <v>1024.0000000000007</v>
      </c>
      <c r="BM1111" s="87">
        <f>SUMIFS($AU$1035:AU1253,$AQ$1035:AQ1253,"M")</f>
        <v>-899.79999999984489</v>
      </c>
      <c r="BN1111" s="87">
        <f>SUMIFS($AU$1035:AU1253,$AQ$1035:AQ1253,"H")</f>
        <v>1583.9999999998265</v>
      </c>
      <c r="BO1111" s="87">
        <f>SUMIFS($AU$1035:AU1253,$AQ$1035:AQ1253,"D")</f>
        <v>-479.9999999999896</v>
      </c>
      <c r="BP1111" s="87">
        <f>SUMIFS($AS$1035:AS1341,$AO$1035:AO1341,"W")</f>
        <v>0</v>
      </c>
      <c r="BQ1111" s="87">
        <f>SUMIFS($AU$1035:AU1253,$Q$1035:Q1253,"O")</f>
        <v>-1079.7999999999552</v>
      </c>
      <c r="BR1111" s="87">
        <f>SUMIFS($AU$1035:AU1253,$AA$1035:AA1253,"*")</f>
        <v>-499.79999999992333</v>
      </c>
      <c r="BS1111" s="87">
        <f>SUMIFS($AU$1035:AU1253,$AB$1035:AB1253,"*")</f>
        <v>-724.00000000009095</v>
      </c>
      <c r="BT1111" s="87">
        <f>SUMIFS($AU$1035:AU1253,$AC$1035:AC1253,"*")</f>
        <v>112.00000000000097</v>
      </c>
      <c r="BU1111" s="87">
        <f>SUMIFS($AU$1035:AU1253,$AA$1035:AA1253,"*",$AB$1035:AB1253,"*")</f>
        <v>47.999999999934744</v>
      </c>
      <c r="BV1111" s="87">
        <f>SUMIFS($AU$1035:AU1253,$AA$1035:AA1253,"*",$AC$1035:AC1253,"*")</f>
        <v>-335.99999999999977</v>
      </c>
      <c r="BW1111" s="87">
        <f>SUMIFS($AU$1035:AU1253,$AB$1035:AB1253,"*",$AC$1035:AC1253,"*")</f>
        <v>-143.99999999999966</v>
      </c>
      <c r="BX1111" s="87">
        <f>SUMIFS($AV$1035:AV1253,$Q$1035:Q1253,"F")</f>
        <v>34.153846153846246</v>
      </c>
      <c r="BY1111" s="87">
        <f>SUMIFS($AV$1035:AV1253,$Q$1035:Q1253,"S")</f>
        <v>20.914285714286223</v>
      </c>
      <c r="BZ1111" s="87">
        <f>SUMIFS($AV$1035:AV1253,$Q$1035:Q1253,"O")</f>
        <v>-445.13333333327751</v>
      </c>
    </row>
    <row r="1112" spans="1:78" ht="15.75" customHeight="1">
      <c r="A1112" s="45" t="s">
        <v>3276</v>
      </c>
      <c r="B1112" s="59"/>
      <c r="C1112" s="46"/>
      <c r="D1112" s="46"/>
      <c r="E1112" s="66"/>
      <c r="F1112" s="47"/>
      <c r="G1112" s="48"/>
      <c r="H1112" s="49"/>
      <c r="I1112" s="49"/>
      <c r="J1112" s="49"/>
      <c r="K1112" s="50"/>
      <c r="L1112" s="49"/>
      <c r="M1112" s="49"/>
      <c r="N1112" s="49"/>
      <c r="O1112" s="50"/>
      <c r="P1112" s="50"/>
      <c r="Q1112" s="50"/>
      <c r="R1112" s="50"/>
      <c r="S1112" s="50"/>
      <c r="T1112" s="50"/>
      <c r="U1112" s="50"/>
      <c r="V1112" s="50"/>
      <c r="W1112" s="50"/>
      <c r="X1112" s="50"/>
      <c r="Y1112" s="51"/>
      <c r="Z1112" s="52"/>
      <c r="AA1112" s="52"/>
      <c r="AB1112" s="52"/>
      <c r="AC1112" s="52"/>
      <c r="AD1112" s="231"/>
      <c r="AE1112" s="49"/>
      <c r="AF1112" s="84"/>
      <c r="AG1112" s="49"/>
      <c r="AH1112" s="49"/>
      <c r="AI1112" s="49"/>
      <c r="AJ1112" s="226"/>
      <c r="AK1112" s="49"/>
      <c r="AL1112" s="113">
        <f t="shared" si="472"/>
        <v>0</v>
      </c>
      <c r="AM1112" s="113">
        <f t="shared" si="468"/>
        <v>0</v>
      </c>
      <c r="AN1112" s="218"/>
      <c r="AO1112" s="49"/>
      <c r="AP1112" s="49"/>
      <c r="AQ1112" s="84" t="str">
        <f>UPPER(RIGHT(Journal_Live[[#This Row],[DURATION ]]))</f>
        <v/>
      </c>
      <c r="AR1112" s="49"/>
      <c r="AS1112" s="55"/>
      <c r="AT1112" s="55">
        <f t="shared" si="469"/>
        <v>0</v>
      </c>
      <c r="AU1112" s="54">
        <f t="shared" si="470"/>
        <v>0</v>
      </c>
      <c r="AV1112" s="56">
        <f t="shared" si="473"/>
        <v>0</v>
      </c>
      <c r="AW1112" s="57"/>
      <c r="AX1112" s="153" t="s">
        <v>3307</v>
      </c>
      <c r="AY1112" s="225" t="s">
        <v>3308</v>
      </c>
      <c r="AZ1112" s="225" t="s">
        <v>3309</v>
      </c>
      <c r="BA1112" s="153"/>
      <c r="BB1112" s="153"/>
      <c r="BC1112" s="153"/>
      <c r="BD1112" s="151"/>
      <c r="BE1112" s="152"/>
      <c r="BF1112" s="151"/>
      <c r="BG1112" s="94">
        <f>SUM($AV$1035:AV1112)</f>
        <v>-62.085714285737978</v>
      </c>
      <c r="BH1112" s="95">
        <f>SUM($AU$1035:AU1112)</f>
        <v>1244.9999999999616</v>
      </c>
      <c r="BI1112" s="80">
        <f>SUMIFS($AU$1035:AU1254,$Q$1035:Q1254,"F")</f>
        <v>112.00000000000057</v>
      </c>
      <c r="BJ1112" s="80">
        <f>SUMIFS($AU$1035:AU1254,$Q$1035:Q1254,"S")</f>
        <v>-15.999999999994088</v>
      </c>
      <c r="BK1112" s="87">
        <f>SUMIFS($AU$1035:AU1254,$P$1035:P1254,"W")</f>
        <v>-960.00000000003297</v>
      </c>
      <c r="BL1112" s="87">
        <f>SUMIFS($AU$1035:AU1254,$P$1035:P1254,"R")</f>
        <v>1024.0000000000007</v>
      </c>
      <c r="BM1112" s="87">
        <f>SUMIFS($AU$1035:AU1254,$AQ$1035:AQ1254,"M")</f>
        <v>-899.79999999984489</v>
      </c>
      <c r="BN1112" s="87">
        <f>SUMIFS($AU$1035:AU1254,$AQ$1035:AQ1254,"H")</f>
        <v>1583.9999999998265</v>
      </c>
      <c r="BO1112" s="87">
        <f>SUMIFS($AU$1035:AU1254,$AQ$1035:AQ1254,"D")</f>
        <v>-479.9999999999896</v>
      </c>
      <c r="BP1112" s="87">
        <f>SUMIFS($AS$1035:AS1342,$AO$1035:AO1342,"W")</f>
        <v>0</v>
      </c>
      <c r="BQ1112" s="87">
        <f>SUMIFS($AU$1035:AU1254,$Q$1035:Q1254,"O")</f>
        <v>-1079.7999999999552</v>
      </c>
      <c r="BR1112" s="87">
        <f>SUMIFS($AU$1035:AU1254,$AA$1035:AA1254,"*")</f>
        <v>-499.79999999992333</v>
      </c>
      <c r="BS1112" s="87">
        <f>SUMIFS($AU$1035:AU1254,$AB$1035:AB1254,"*")</f>
        <v>-724.00000000009095</v>
      </c>
      <c r="BT1112" s="87">
        <f>SUMIFS($AU$1035:AU1254,$AC$1035:AC1254,"*")</f>
        <v>112.00000000000097</v>
      </c>
      <c r="BU1112" s="87">
        <f>SUMIFS($AU$1035:AU1254,$AA$1035:AA1254,"*",$AB$1035:AB1254,"*")</f>
        <v>47.999999999934744</v>
      </c>
      <c r="BV1112" s="87">
        <f>SUMIFS($AU$1035:AU1254,$AA$1035:AA1254,"*",$AC$1035:AC1254,"*")</f>
        <v>-335.99999999999977</v>
      </c>
      <c r="BW1112" s="87">
        <f>SUMIFS($AU$1035:AU1254,$AB$1035:AB1254,"*",$AC$1035:AC1254,"*")</f>
        <v>-143.99999999999966</v>
      </c>
      <c r="BX1112" s="87">
        <f>SUMIFS($AV$1035:AV1254,$Q$1035:Q1254,"F")</f>
        <v>34.153846153846246</v>
      </c>
      <c r="BY1112" s="87">
        <f>SUMIFS($AV$1035:AV1254,$Q$1035:Q1254,"S")</f>
        <v>20.914285714286223</v>
      </c>
      <c r="BZ1112" s="87">
        <f>SUMIFS($AV$1035:AV1254,$Q$1035:Q1254,"O")</f>
        <v>-445.13333333327751</v>
      </c>
    </row>
    <row r="1113" spans="1:78" ht="15.75" customHeight="1">
      <c r="A1113" s="45" t="s">
        <v>3276</v>
      </c>
      <c r="B1113" s="59"/>
      <c r="C1113" s="46"/>
      <c r="D1113" s="46"/>
      <c r="E1113" s="66"/>
      <c r="F1113" s="47"/>
      <c r="G1113" s="48"/>
      <c r="H1113" s="49"/>
      <c r="I1113" s="49"/>
      <c r="J1113" s="49"/>
      <c r="K1113" s="50"/>
      <c r="L1113" s="49"/>
      <c r="M1113" s="49"/>
      <c r="N1113" s="49"/>
      <c r="O1113" s="50"/>
      <c r="P1113" s="50"/>
      <c r="Q1113" s="50"/>
      <c r="R1113" s="50"/>
      <c r="S1113" s="50"/>
      <c r="T1113" s="50"/>
      <c r="U1113" s="50"/>
      <c r="V1113" s="50"/>
      <c r="W1113" s="50"/>
      <c r="X1113" s="50"/>
      <c r="Y1113" s="51"/>
      <c r="Z1113" s="52"/>
      <c r="AA1113" s="52"/>
      <c r="AB1113" s="52"/>
      <c r="AC1113" s="52"/>
      <c r="AD1113" s="231"/>
      <c r="AE1113" s="49"/>
      <c r="AF1113" s="84"/>
      <c r="AG1113" s="49"/>
      <c r="AH1113" s="49"/>
      <c r="AI1113" s="49"/>
      <c r="AJ1113" s="226"/>
      <c r="AK1113" s="49"/>
      <c r="AL1113" s="113">
        <f t="shared" si="472"/>
        <v>0</v>
      </c>
      <c r="AM1113" s="113">
        <f t="shared" si="468"/>
        <v>0</v>
      </c>
      <c r="AN1113" s="218"/>
      <c r="AO1113" s="49"/>
      <c r="AP1113" s="49"/>
      <c r="AQ1113" s="84" t="str">
        <f>UPPER(RIGHT(Journal_Live[[#This Row],[DURATION ]]))</f>
        <v/>
      </c>
      <c r="AR1113" s="49"/>
      <c r="AS1113" s="55"/>
      <c r="AT1113" s="55">
        <f t="shared" si="469"/>
        <v>0</v>
      </c>
      <c r="AU1113" s="54">
        <f t="shared" si="470"/>
        <v>0</v>
      </c>
      <c r="AV1113" s="56">
        <f t="shared" si="473"/>
        <v>0</v>
      </c>
      <c r="AW1113" s="57"/>
      <c r="AX1113" s="153" t="s">
        <v>3310</v>
      </c>
      <c r="AY1113" s="153" t="s">
        <v>3311</v>
      </c>
      <c r="AZ1113" s="153" t="s">
        <v>3312</v>
      </c>
      <c r="BA1113" s="153"/>
      <c r="BB1113" s="153"/>
      <c r="BC1113" s="153"/>
      <c r="BD1113" s="151"/>
      <c r="BE1113" s="152"/>
      <c r="BF1113" s="151"/>
      <c r="BG1113" s="94">
        <f>SUM($AV$1035:AV1113)</f>
        <v>-62.085714285737978</v>
      </c>
      <c r="BH1113" s="95">
        <f>SUM($AU$1035:AU1113)</f>
        <v>1244.9999999999616</v>
      </c>
      <c r="BI1113" s="80">
        <f>SUMIFS($AU$1035:AU1255,$Q$1035:Q1255,"F")</f>
        <v>112.00000000000057</v>
      </c>
      <c r="BJ1113" s="80">
        <f>SUMIFS($AU$1035:AU1255,$Q$1035:Q1255,"S")</f>
        <v>-15.999999999994088</v>
      </c>
      <c r="BK1113" s="87">
        <f>SUMIFS($AU$1035:AU1255,$P$1035:P1255,"W")</f>
        <v>-960.00000000003297</v>
      </c>
      <c r="BL1113" s="87">
        <f>SUMIFS($AU$1035:AU1255,$P$1035:P1255,"R")</f>
        <v>1024.0000000000007</v>
      </c>
      <c r="BM1113" s="87">
        <f>SUMIFS($AU$1035:AU1255,$AQ$1035:AQ1255,"M")</f>
        <v>-899.79999999984489</v>
      </c>
      <c r="BN1113" s="87">
        <f>SUMIFS($AU$1035:AU1255,$AQ$1035:AQ1255,"H")</f>
        <v>1583.9999999998265</v>
      </c>
      <c r="BO1113" s="87">
        <f>SUMIFS($AU$1035:AU1255,$AQ$1035:AQ1255,"D")</f>
        <v>-479.9999999999896</v>
      </c>
      <c r="BP1113" s="87">
        <f>SUMIFS($AS$1035:AS1343,$AO$1035:AO1343,"W")</f>
        <v>0</v>
      </c>
      <c r="BQ1113" s="87">
        <f>SUMIFS($AU$1035:AU1255,$Q$1035:Q1255,"O")</f>
        <v>-1079.7999999999552</v>
      </c>
      <c r="BR1113" s="87">
        <f>SUMIFS($AU$1035:AU1255,$AA$1035:AA1255,"*")</f>
        <v>-499.79999999992333</v>
      </c>
      <c r="BS1113" s="87">
        <f>SUMIFS($AU$1035:AU1255,$AB$1035:AB1255,"*")</f>
        <v>-724.00000000009095</v>
      </c>
      <c r="BT1113" s="87">
        <f>SUMIFS($AU$1035:AU1255,$AC$1035:AC1255,"*")</f>
        <v>112.00000000000097</v>
      </c>
      <c r="BU1113" s="87">
        <f>SUMIFS($AU$1035:AU1255,$AA$1035:AA1255,"*",$AB$1035:AB1255,"*")</f>
        <v>47.999999999934744</v>
      </c>
      <c r="BV1113" s="87">
        <f>SUMIFS($AU$1035:AU1255,$AA$1035:AA1255,"*",$AC$1035:AC1255,"*")</f>
        <v>-335.99999999999977</v>
      </c>
      <c r="BW1113" s="87">
        <f>SUMIFS($AU$1035:AU1255,$AB$1035:AB1255,"*",$AC$1035:AC1255,"*")</f>
        <v>-143.99999999999966</v>
      </c>
      <c r="BX1113" s="87">
        <f>SUMIFS($AV$1035:AV1255,$Q$1035:Q1255,"F")</f>
        <v>34.153846153846246</v>
      </c>
      <c r="BY1113" s="87">
        <f>SUMIFS($AV$1035:AV1255,$Q$1035:Q1255,"S")</f>
        <v>20.914285714286223</v>
      </c>
      <c r="BZ1113" s="87">
        <f>SUMIFS($AV$1035:AV1255,$Q$1035:Q1255,"O")</f>
        <v>-445.13333333327751</v>
      </c>
    </row>
    <row r="1114" spans="1:78" ht="15.75" customHeight="1">
      <c r="A1114" s="45" t="s">
        <v>3276</v>
      </c>
      <c r="B1114" s="59"/>
      <c r="C1114" s="46"/>
      <c r="D1114" s="46"/>
      <c r="E1114" s="66"/>
      <c r="F1114" s="47"/>
      <c r="G1114" s="48"/>
      <c r="H1114" s="49"/>
      <c r="I1114" s="49"/>
      <c r="J1114" s="49"/>
      <c r="K1114" s="50"/>
      <c r="L1114" s="49"/>
      <c r="M1114" s="49"/>
      <c r="N1114" s="49"/>
      <c r="O1114" s="50"/>
      <c r="P1114" s="50"/>
      <c r="Q1114" s="50"/>
      <c r="R1114" s="50"/>
      <c r="S1114" s="50"/>
      <c r="T1114" s="50"/>
      <c r="U1114" s="50"/>
      <c r="V1114" s="50"/>
      <c r="W1114" s="50"/>
      <c r="X1114" s="50"/>
      <c r="Y1114" s="51"/>
      <c r="Z1114" s="52"/>
      <c r="AA1114" s="52"/>
      <c r="AB1114" s="52"/>
      <c r="AC1114" s="52"/>
      <c r="AD1114" s="231"/>
      <c r="AE1114" s="49"/>
      <c r="AF1114" s="84"/>
      <c r="AG1114" s="49"/>
      <c r="AH1114" s="49"/>
      <c r="AI1114" s="49"/>
      <c r="AJ1114" s="226"/>
      <c r="AK1114" s="49"/>
      <c r="AL1114" s="113">
        <f t="shared" si="472"/>
        <v>0</v>
      </c>
      <c r="AM1114" s="113">
        <f t="shared" si="468"/>
        <v>0</v>
      </c>
      <c r="AN1114" s="218"/>
      <c r="AO1114" s="49"/>
      <c r="AP1114" s="49"/>
      <c r="AQ1114" s="84" t="str">
        <f>UPPER(RIGHT(Journal_Live[[#This Row],[DURATION ]]))</f>
        <v/>
      </c>
      <c r="AR1114" s="49"/>
      <c r="AS1114" s="55"/>
      <c r="AT1114" s="55">
        <f t="shared" si="469"/>
        <v>0</v>
      </c>
      <c r="AU1114" s="54">
        <f t="shared" si="470"/>
        <v>0</v>
      </c>
      <c r="AV1114" s="56">
        <f t="shared" si="473"/>
        <v>0</v>
      </c>
      <c r="AW1114" s="57"/>
      <c r="AX1114" s="235" t="s">
        <v>3313</v>
      </c>
      <c r="AY1114" s="236" t="s">
        <v>3314</v>
      </c>
      <c r="AZ1114" s="236" t="s">
        <v>3315</v>
      </c>
      <c r="BA1114" s="236" t="s">
        <v>3316</v>
      </c>
      <c r="BB1114" s="236" t="s">
        <v>3317</v>
      </c>
      <c r="BC1114" s="153"/>
      <c r="BD1114" s="151"/>
      <c r="BE1114" s="152"/>
      <c r="BF1114" s="151"/>
      <c r="BG1114" s="94">
        <f>SUM($AV$1035:AV1114)</f>
        <v>-62.085714285737978</v>
      </c>
      <c r="BH1114" s="95">
        <f>SUM($AU$1035:AU1114)</f>
        <v>1244.9999999999616</v>
      </c>
      <c r="BI1114" s="80">
        <f>SUMIFS($AU$1035:AU1256,$Q$1035:Q1256,"F")</f>
        <v>112.00000000000057</v>
      </c>
      <c r="BJ1114" s="80">
        <f>SUMIFS($AU$1035:AU1256,$Q$1035:Q1256,"S")</f>
        <v>-15.999999999994088</v>
      </c>
      <c r="BK1114" s="87">
        <f>SUMIFS($AU$1035:AU1256,$P$1035:P1256,"W")</f>
        <v>-960.00000000003297</v>
      </c>
      <c r="BL1114" s="87">
        <f>SUMIFS($AU$1035:AU1256,$P$1035:P1256,"R")</f>
        <v>1024.0000000000007</v>
      </c>
      <c r="BM1114" s="87">
        <f>SUMIFS($AU$1035:AU1256,$AQ$1035:AQ1256,"M")</f>
        <v>-899.79999999984489</v>
      </c>
      <c r="BN1114" s="87">
        <f>SUMIFS($AU$1035:AU1256,$AQ$1035:AQ1256,"H")</f>
        <v>1583.9999999998265</v>
      </c>
      <c r="BO1114" s="87">
        <f>SUMIFS($AU$1035:AU1256,$AQ$1035:AQ1256,"D")</f>
        <v>-479.9999999999896</v>
      </c>
      <c r="BP1114" s="87">
        <f>SUMIFS($AS$1035:AS1344,$AO$1035:AO1344,"W")</f>
        <v>0</v>
      </c>
      <c r="BQ1114" s="87">
        <f>SUMIFS($AU$1035:AU1256,$Q$1035:Q1256,"O")</f>
        <v>-1079.7999999999552</v>
      </c>
      <c r="BR1114" s="87">
        <f>SUMIFS($AU$1035:AU1256,$AA$1035:AA1256,"*")</f>
        <v>-499.79999999992333</v>
      </c>
      <c r="BS1114" s="87">
        <f>SUMIFS($AU$1035:AU1256,$AB$1035:AB1256,"*")</f>
        <v>-724.00000000009095</v>
      </c>
      <c r="BT1114" s="87">
        <f>SUMIFS($AU$1035:AU1256,$AC$1035:AC1256,"*")</f>
        <v>112.00000000000097</v>
      </c>
      <c r="BU1114" s="87">
        <f>SUMIFS($AU$1035:AU1256,$AA$1035:AA1256,"*",$AB$1035:AB1256,"*")</f>
        <v>47.999999999934744</v>
      </c>
      <c r="BV1114" s="87">
        <f>SUMIFS($AU$1035:AU1256,$AA$1035:AA1256,"*",$AC$1035:AC1256,"*")</f>
        <v>-335.99999999999977</v>
      </c>
      <c r="BW1114" s="87">
        <f>SUMIFS($AU$1035:AU1256,$AB$1035:AB1256,"*",$AC$1035:AC1256,"*")</f>
        <v>-143.99999999999966</v>
      </c>
      <c r="BX1114" s="87">
        <f>SUMIFS($AV$1035:AV1256,$Q$1035:Q1256,"F")</f>
        <v>34.153846153846246</v>
      </c>
      <c r="BY1114" s="87">
        <f>SUMIFS($AV$1035:AV1256,$Q$1035:Q1256,"S")</f>
        <v>20.914285714286223</v>
      </c>
      <c r="BZ1114" s="87">
        <f>SUMIFS($AV$1035:AV1256,$Q$1035:Q1256,"O")</f>
        <v>-445.13333333327751</v>
      </c>
    </row>
    <row r="1115" spans="1:78" ht="15.75" customHeight="1">
      <c r="A1115" s="45" t="s">
        <v>3276</v>
      </c>
      <c r="B1115" s="59"/>
      <c r="C1115" s="46"/>
      <c r="D1115" s="46"/>
      <c r="E1115" s="66"/>
      <c r="F1115" s="47"/>
      <c r="G1115" s="48"/>
      <c r="H1115" s="49"/>
      <c r="I1115" s="49"/>
      <c r="J1115" s="49"/>
      <c r="K1115" s="50"/>
      <c r="L1115" s="49"/>
      <c r="M1115" s="49"/>
      <c r="N1115" s="49"/>
      <c r="O1115" s="50"/>
      <c r="P1115" s="50"/>
      <c r="Q1115" s="50"/>
      <c r="R1115" s="50"/>
      <c r="S1115" s="50"/>
      <c r="T1115" s="50"/>
      <c r="U1115" s="50"/>
      <c r="V1115" s="50"/>
      <c r="W1115" s="50"/>
      <c r="X1115" s="50"/>
      <c r="Y1115" s="51"/>
      <c r="Z1115" s="52"/>
      <c r="AA1115" s="52"/>
      <c r="AB1115" s="52"/>
      <c r="AC1115" s="52"/>
      <c r="AD1115" s="231"/>
      <c r="AE1115" s="49"/>
      <c r="AF1115" s="84"/>
      <c r="AG1115" s="49"/>
      <c r="AH1115" s="49"/>
      <c r="AI1115" s="49"/>
      <c r="AJ1115" s="226"/>
      <c r="AK1115" s="49"/>
      <c r="AL1115" s="113">
        <f t="shared" si="472"/>
        <v>0</v>
      </c>
      <c r="AM1115" s="113">
        <f t="shared" si="468"/>
        <v>0</v>
      </c>
      <c r="AN1115" s="218"/>
      <c r="AO1115" s="49"/>
      <c r="AP1115" s="49"/>
      <c r="AQ1115" s="84" t="str">
        <f>UPPER(RIGHT(Journal_Live[[#This Row],[DURATION ]]))</f>
        <v/>
      </c>
      <c r="AR1115" s="49"/>
      <c r="AS1115" s="55"/>
      <c r="AT1115" s="55">
        <f t="shared" si="469"/>
        <v>0</v>
      </c>
      <c r="AU1115" s="54">
        <f t="shared" si="470"/>
        <v>0</v>
      </c>
      <c r="AV1115" s="56">
        <f t="shared" si="473"/>
        <v>0</v>
      </c>
      <c r="AW1115" s="57"/>
      <c r="AX1115" s="235" t="s">
        <v>3318</v>
      </c>
      <c r="AY1115" s="236" t="s">
        <v>3319</v>
      </c>
      <c r="AZ1115" s="236" t="s">
        <v>3320</v>
      </c>
      <c r="BA1115" s="236" t="s">
        <v>3321</v>
      </c>
      <c r="BB1115" s="236" t="s">
        <v>3322</v>
      </c>
      <c r="BC1115" s="153"/>
      <c r="BD1115" s="151"/>
      <c r="BE1115" s="152"/>
      <c r="BF1115" s="151"/>
      <c r="BG1115" s="94">
        <f>SUM($AV$1035:AV1115)</f>
        <v>-62.085714285737978</v>
      </c>
      <c r="BH1115" s="95">
        <f>SUM($AU$1035:AU1115)</f>
        <v>1244.9999999999616</v>
      </c>
      <c r="BI1115" s="80">
        <f>SUMIFS($AU$1035:AU1257,$Q$1035:Q1257,"F")</f>
        <v>112.00000000000057</v>
      </c>
      <c r="BJ1115" s="80">
        <f>SUMIFS($AU$1035:AU1257,$Q$1035:Q1257,"S")</f>
        <v>-15.999999999994088</v>
      </c>
      <c r="BK1115" s="87">
        <f>SUMIFS($AU$1035:AU1257,$P$1035:P1257,"W")</f>
        <v>-960.00000000003297</v>
      </c>
      <c r="BL1115" s="87">
        <f>SUMIFS($AU$1035:AU1257,$P$1035:P1257,"R")</f>
        <v>1024.0000000000007</v>
      </c>
      <c r="BM1115" s="87">
        <f>SUMIFS($AU$1035:AU1257,$AQ$1035:AQ1257,"M")</f>
        <v>-899.79999999984489</v>
      </c>
      <c r="BN1115" s="87">
        <f>SUMIFS($AU$1035:AU1257,$AQ$1035:AQ1257,"H")</f>
        <v>1583.9999999998265</v>
      </c>
      <c r="BO1115" s="87">
        <f>SUMIFS($AU$1035:AU1257,$AQ$1035:AQ1257,"D")</f>
        <v>-479.9999999999896</v>
      </c>
      <c r="BP1115" s="87">
        <f>SUMIFS($AS$1035:AS1345,$AO$1035:AO1345,"W")</f>
        <v>0</v>
      </c>
      <c r="BQ1115" s="87">
        <f>SUMIFS($AU$1035:AU1257,$Q$1035:Q1257,"O")</f>
        <v>-1079.7999999999552</v>
      </c>
      <c r="BR1115" s="87">
        <f>SUMIFS($AU$1035:AU1257,$AA$1035:AA1257,"*")</f>
        <v>-499.79999999992333</v>
      </c>
      <c r="BS1115" s="87">
        <f>SUMIFS($AU$1035:AU1257,$AB$1035:AB1257,"*")</f>
        <v>-724.00000000009095</v>
      </c>
      <c r="BT1115" s="87">
        <f>SUMIFS($AU$1035:AU1257,$AC$1035:AC1257,"*")</f>
        <v>112.00000000000097</v>
      </c>
      <c r="BU1115" s="87">
        <f>SUMIFS($AU$1035:AU1257,$AA$1035:AA1257,"*",$AB$1035:AB1257,"*")</f>
        <v>47.999999999934744</v>
      </c>
      <c r="BV1115" s="87">
        <f>SUMIFS($AU$1035:AU1257,$AA$1035:AA1257,"*",$AC$1035:AC1257,"*")</f>
        <v>-335.99999999999977</v>
      </c>
      <c r="BW1115" s="87">
        <f>SUMIFS($AU$1035:AU1257,$AB$1035:AB1257,"*",$AC$1035:AC1257,"*")</f>
        <v>-143.99999999999966</v>
      </c>
      <c r="BX1115" s="87">
        <f>SUMIFS($AV$1035:AV1257,$Q$1035:Q1257,"F")</f>
        <v>34.153846153846246</v>
      </c>
      <c r="BY1115" s="87">
        <f>SUMIFS($AV$1035:AV1257,$Q$1035:Q1257,"S")</f>
        <v>20.914285714286223</v>
      </c>
      <c r="BZ1115" s="87">
        <f>SUMIFS($AV$1035:AV1257,$Q$1035:Q1257,"O")</f>
        <v>-445.13333333327751</v>
      </c>
    </row>
    <row r="1116" spans="1:78" ht="15.75" customHeight="1">
      <c r="A1116" s="45" t="s">
        <v>3276</v>
      </c>
      <c r="B1116" s="59"/>
      <c r="C1116" s="46"/>
      <c r="D1116" s="46"/>
      <c r="E1116" s="66"/>
      <c r="F1116" s="47"/>
      <c r="G1116" s="48"/>
      <c r="H1116" s="49"/>
      <c r="I1116" s="49"/>
      <c r="J1116" s="49"/>
      <c r="K1116" s="50"/>
      <c r="L1116" s="49"/>
      <c r="M1116" s="49"/>
      <c r="N1116" s="49"/>
      <c r="O1116" s="50"/>
      <c r="P1116" s="50"/>
      <c r="Q1116" s="50"/>
      <c r="R1116" s="50"/>
      <c r="S1116" s="50"/>
      <c r="T1116" s="50"/>
      <c r="U1116" s="50"/>
      <c r="V1116" s="50"/>
      <c r="W1116" s="50"/>
      <c r="X1116" s="50"/>
      <c r="Y1116" s="51"/>
      <c r="Z1116" s="52"/>
      <c r="AA1116" s="52"/>
      <c r="AB1116" s="52"/>
      <c r="AC1116" s="52"/>
      <c r="AD1116" s="231"/>
      <c r="AE1116" s="49"/>
      <c r="AF1116" s="84"/>
      <c r="AG1116" s="49"/>
      <c r="AH1116" s="49"/>
      <c r="AI1116" s="49"/>
      <c r="AJ1116" s="226"/>
      <c r="AK1116" s="49"/>
      <c r="AL1116" s="113">
        <f t="shared" ref="AL1116:AL1118" si="474">-0.02*Z1116</f>
        <v>0</v>
      </c>
      <c r="AM1116" s="113">
        <f t="shared" ref="AM1116:AM1120" si="475">AL1116*(R1116-S1116)</f>
        <v>0</v>
      </c>
      <c r="AN1116" s="218"/>
      <c r="AO1116" s="49"/>
      <c r="AP1116" s="49"/>
      <c r="AQ1116" s="84" t="str">
        <f>UPPER(RIGHT(Journal_Live[[#This Row],[DURATION ]]))</f>
        <v/>
      </c>
      <c r="AR1116" s="49"/>
      <c r="AS1116" s="55"/>
      <c r="AT1116" s="55">
        <f t="shared" ref="AT1116:AT1120" si="476">IF(ISBLANK(AS1116),,IF(U1116="S",AD1116-AS1116,AS1116-AD1116))</f>
        <v>0</v>
      </c>
      <c r="AU1116" s="54">
        <f t="shared" ref="AU1116:AU1120" si="477">AV1116*R1116</f>
        <v>0</v>
      </c>
      <c r="AV1116" s="56">
        <f t="shared" ref="AV1116:AV1120" si="478">IF(ISBLANK(AS1116),,(AT1116*Z1116))</f>
        <v>0</v>
      </c>
      <c r="AW1116" s="57"/>
      <c r="AX1116" s="153"/>
      <c r="AY1116" s="153"/>
      <c r="AZ1116" s="153"/>
      <c r="BA1116" s="153"/>
      <c r="BB1116" s="153"/>
      <c r="BC1116" s="153"/>
      <c r="BD1116" s="151"/>
      <c r="BE1116" s="152"/>
      <c r="BF1116" s="151"/>
      <c r="BG1116" s="94">
        <f>SUM($AV$1035:AV1116)</f>
        <v>-62.085714285737978</v>
      </c>
      <c r="BH1116" s="95">
        <f>SUM($AU$1035:AU1116)</f>
        <v>1244.9999999999616</v>
      </c>
      <c r="BI1116" s="80">
        <f>SUMIFS($AU$1035:AU1253,$Q$1035:Q1253,"F")</f>
        <v>112.00000000000057</v>
      </c>
      <c r="BJ1116" s="80">
        <f>SUMIFS($AU$1035:AU1253,$Q$1035:Q1253,"S")</f>
        <v>-15.999999999994088</v>
      </c>
      <c r="BK1116" s="87">
        <f>SUMIFS($AU$1035:AU1253,$P$1035:P1253,"W")</f>
        <v>-960.00000000003297</v>
      </c>
      <c r="BL1116" s="87">
        <f>SUMIFS($AU$1035:AU1253,$P$1035:P1253,"R")</f>
        <v>1024.0000000000007</v>
      </c>
      <c r="BM1116" s="87">
        <f>SUMIFS($AU$1035:AU1253,$AQ$1035:AQ1253,"M")</f>
        <v>-899.79999999984489</v>
      </c>
      <c r="BN1116" s="87">
        <f>SUMIFS($AU$1035:AU1253,$AQ$1035:AQ1253,"H")</f>
        <v>1583.9999999998265</v>
      </c>
      <c r="BO1116" s="87">
        <f>SUMIFS($AU$1035:AU1253,$AQ$1035:AQ1253,"D")</f>
        <v>-479.9999999999896</v>
      </c>
      <c r="BP1116" s="87">
        <f>SUMIFS($AS$1035:AS1341,$AO$1035:AO1341,"W")</f>
        <v>0</v>
      </c>
      <c r="BQ1116" s="87">
        <f>SUMIFS($AU$1035:AU1253,$Q$1035:Q1253,"O")</f>
        <v>-1079.7999999999552</v>
      </c>
      <c r="BR1116" s="87">
        <f>SUMIFS($AU$1035:AU1253,$AA$1035:AA1253,"*")</f>
        <v>-499.79999999992333</v>
      </c>
      <c r="BS1116" s="87">
        <f>SUMIFS($AU$1035:AU1253,$AB$1035:AB1253,"*")</f>
        <v>-724.00000000009095</v>
      </c>
      <c r="BT1116" s="87">
        <f>SUMIFS($AU$1035:AU1253,$AC$1035:AC1253,"*")</f>
        <v>112.00000000000097</v>
      </c>
      <c r="BU1116" s="87">
        <f>SUMIFS($AU$1035:AU1253,$AA$1035:AA1253,"*",$AB$1035:AB1253,"*")</f>
        <v>47.999999999934744</v>
      </c>
      <c r="BV1116" s="87">
        <f>SUMIFS($AU$1035:AU1253,$AA$1035:AA1253,"*",$AC$1035:AC1253,"*")</f>
        <v>-335.99999999999977</v>
      </c>
      <c r="BW1116" s="87">
        <f>SUMIFS($AU$1035:AU1253,$AB$1035:AB1253,"*",$AC$1035:AC1253,"*")</f>
        <v>-143.99999999999966</v>
      </c>
      <c r="BX1116" s="87">
        <f>SUMIFS($AV$1035:AV1253,$Q$1035:Q1253,"F")</f>
        <v>34.153846153846246</v>
      </c>
      <c r="BY1116" s="87">
        <f>SUMIFS($AV$1035:AV1253,$Q$1035:Q1253,"S")</f>
        <v>20.914285714286223</v>
      </c>
      <c r="BZ1116" s="87">
        <f>SUMIFS($AV$1035:AV1253,$Q$1035:Q1253,"O")</f>
        <v>-445.13333333327751</v>
      </c>
    </row>
    <row r="1117" spans="1:78" ht="15.75" customHeight="1">
      <c r="A1117" s="45" t="s">
        <v>3276</v>
      </c>
      <c r="B1117" s="59">
        <v>45562</v>
      </c>
      <c r="C1117" s="46" t="s">
        <v>2847</v>
      </c>
      <c r="D1117" s="46" t="s">
        <v>115</v>
      </c>
      <c r="E1117" s="66"/>
      <c r="F1117" s="47"/>
      <c r="G1117" s="48" t="s">
        <v>1464</v>
      </c>
      <c r="H1117" s="49"/>
      <c r="I1117" s="49"/>
      <c r="J1117" s="49"/>
      <c r="K1117" s="50"/>
      <c r="L1117" s="49"/>
      <c r="M1117" s="49"/>
      <c r="N1117" s="49"/>
      <c r="O1117" s="50" t="s">
        <v>100</v>
      </c>
      <c r="P1117" s="50" t="s">
        <v>101</v>
      </c>
      <c r="Q1117" s="50" t="s">
        <v>198</v>
      </c>
      <c r="R1117" s="50">
        <v>2</v>
      </c>
      <c r="S1117" s="50">
        <v>0</v>
      </c>
      <c r="T1117" s="50">
        <v>2</v>
      </c>
      <c r="U1117" s="50" t="s">
        <v>22</v>
      </c>
      <c r="V1117" s="50" t="s">
        <v>2898</v>
      </c>
      <c r="W1117" s="50" t="s">
        <v>3086</v>
      </c>
      <c r="X1117" s="50"/>
      <c r="Y1117" s="51">
        <f t="shared" ref="Y1110:Y1117" si="479">IF(ISBLANK(O1117),"",(IF(O1117=UPPER("IB"),0.005,0.01)))</f>
        <v>0.01</v>
      </c>
      <c r="Z1117" s="52">
        <f t="shared" ref="Z1110:Z1117" si="480">IF(ISBLANK(O1117),"",IF(O1117="IB",8.63*200,IF(O1117="IR",16*100,IF(O1117="YT",20*100,IF(O1117="YT-XT",24*200,IF(O1117="TED",80*100,IF(O1117="XT",29*200)))))))</f>
        <v>1600</v>
      </c>
      <c r="AA1117" s="52" t="s">
        <v>3323</v>
      </c>
      <c r="AB1117" s="52"/>
      <c r="AC1117" s="52"/>
      <c r="AD1117" s="231">
        <v>96.72</v>
      </c>
      <c r="AE1117" s="49"/>
      <c r="AF1117" s="84"/>
      <c r="AG1117" s="49"/>
      <c r="AH1117" s="49"/>
      <c r="AI1117" s="49"/>
      <c r="AJ1117" s="226"/>
      <c r="AK1117" s="49"/>
      <c r="AL1117" s="113">
        <f t="shared" si="474"/>
        <v>-32</v>
      </c>
      <c r="AM1117" s="113">
        <f t="shared" si="475"/>
        <v>-64</v>
      </c>
      <c r="AN1117" s="218"/>
      <c r="AO1117" s="49"/>
      <c r="AP1117" s="49" t="s">
        <v>3324</v>
      </c>
      <c r="AQ1117" s="84" t="s">
        <v>350</v>
      </c>
      <c r="AR1117" s="49"/>
      <c r="AS1117" s="55">
        <v>96.7</v>
      </c>
      <c r="AT1117" s="55">
        <f t="shared" si="476"/>
        <v>-1.9999999999996021E-2</v>
      </c>
      <c r="AU1117" s="54">
        <f t="shared" si="477"/>
        <v>-63.999999999987267</v>
      </c>
      <c r="AV1117" s="56">
        <f t="shared" si="478"/>
        <v>-31.999999999993634</v>
      </c>
      <c r="AW1117" s="57" t="s">
        <v>121</v>
      </c>
      <c r="AX1117" s="153"/>
      <c r="AY1117" s="153"/>
      <c r="AZ1117" s="153"/>
      <c r="BA1117" s="153"/>
      <c r="BB1117" s="153"/>
      <c r="BC1117" s="153"/>
      <c r="BD1117" s="151"/>
      <c r="BE1117" s="152"/>
      <c r="BF1117" s="151"/>
      <c r="BG1117" s="94">
        <f>SUM($AV$1035:AV1117)</f>
        <v>-94.085714285731612</v>
      </c>
      <c r="BH1117" s="95">
        <f>SUM($AU$1035:AU1117)</f>
        <v>1180.9999999999743</v>
      </c>
      <c r="BI1117" s="80">
        <f>SUMIFS($AU$1035:AU1254,$Q$1035:Q1254,"F")</f>
        <v>112.00000000000057</v>
      </c>
      <c r="BJ1117" s="80">
        <f>SUMIFS($AU$1035:AU1254,$Q$1035:Q1254,"S")</f>
        <v>-15.999999999994088</v>
      </c>
      <c r="BK1117" s="87">
        <f>SUMIFS($AU$1035:AU1254,$P$1035:P1254,"W")</f>
        <v>-960.00000000003297</v>
      </c>
      <c r="BL1117" s="87">
        <f>SUMIFS($AU$1035:AU1254,$P$1035:P1254,"R")</f>
        <v>1024.0000000000007</v>
      </c>
      <c r="BM1117" s="87">
        <f>SUMIFS($AU$1035:AU1254,$AQ$1035:AQ1254,"M")</f>
        <v>-899.79999999984489</v>
      </c>
      <c r="BN1117" s="87">
        <f>SUMIFS($AU$1035:AU1254,$AQ$1035:AQ1254,"H")</f>
        <v>1583.9999999998265</v>
      </c>
      <c r="BO1117" s="87">
        <f>SUMIFS($AU$1035:AU1254,$AQ$1035:AQ1254,"D")</f>
        <v>-479.9999999999896</v>
      </c>
      <c r="BP1117" s="87">
        <f>SUMIFS($AS$1035:AS1342,$AO$1035:AO1342,"W")</f>
        <v>0</v>
      </c>
      <c r="BQ1117" s="87">
        <f>SUMIFS($AU$1035:AU1254,$Q$1035:Q1254,"O")</f>
        <v>-1079.7999999999552</v>
      </c>
      <c r="BR1117" s="87">
        <f>SUMIFS($AU$1035:AU1254,$AA$1035:AA1254,"*")</f>
        <v>-499.79999999992333</v>
      </c>
      <c r="BS1117" s="87">
        <f>SUMIFS($AU$1035:AU1254,$AB$1035:AB1254,"*")</f>
        <v>-724.00000000009095</v>
      </c>
      <c r="BT1117" s="87">
        <f>SUMIFS($AU$1035:AU1254,$AC$1035:AC1254,"*")</f>
        <v>112.00000000000097</v>
      </c>
      <c r="BU1117" s="87">
        <f>SUMIFS($AU$1035:AU1254,$AA$1035:AA1254,"*",$AB$1035:AB1254,"*")</f>
        <v>47.999999999934744</v>
      </c>
      <c r="BV1117" s="87">
        <f>SUMIFS($AU$1035:AU1254,$AA$1035:AA1254,"*",$AC$1035:AC1254,"*")</f>
        <v>-335.99999999999977</v>
      </c>
      <c r="BW1117" s="87">
        <f>SUMIFS($AU$1035:AU1254,$AB$1035:AB1254,"*",$AC$1035:AC1254,"*")</f>
        <v>-143.99999999999966</v>
      </c>
      <c r="BX1117" s="87">
        <f>SUMIFS($AV$1035:AV1254,$Q$1035:Q1254,"F")</f>
        <v>34.153846153846246</v>
      </c>
      <c r="BY1117" s="87">
        <f>SUMIFS($AV$1035:AV1254,$Q$1035:Q1254,"S")</f>
        <v>20.914285714286223</v>
      </c>
      <c r="BZ1117" s="87">
        <f>SUMIFS($AV$1035:AV1254,$Q$1035:Q1254,"O")</f>
        <v>-445.13333333327751</v>
      </c>
    </row>
    <row r="1118" spans="1:78" ht="15.75" customHeight="1">
      <c r="A1118" s="45" t="s">
        <v>3276</v>
      </c>
      <c r="B1118" s="59">
        <v>45562</v>
      </c>
      <c r="C1118" s="46" t="s">
        <v>2847</v>
      </c>
      <c r="D1118" s="46" t="s">
        <v>115</v>
      </c>
      <c r="E1118" s="66"/>
      <c r="F1118" s="47"/>
      <c r="G1118" s="204" t="s">
        <v>3325</v>
      </c>
      <c r="H1118" s="49"/>
      <c r="I1118" s="49"/>
      <c r="J1118" s="49"/>
      <c r="K1118" s="50"/>
      <c r="L1118" s="49"/>
      <c r="M1118" s="49"/>
      <c r="N1118" s="49"/>
      <c r="O1118" s="50" t="s">
        <v>100</v>
      </c>
      <c r="P1118" s="50" t="s">
        <v>101</v>
      </c>
      <c r="Q1118" s="50" t="s">
        <v>127</v>
      </c>
      <c r="R1118" s="50">
        <v>5</v>
      </c>
      <c r="S1118" s="50">
        <v>0</v>
      </c>
      <c r="T1118" s="50">
        <v>5</v>
      </c>
      <c r="U1118" s="50" t="s">
        <v>102</v>
      </c>
      <c r="V1118" s="50" t="s">
        <v>2906</v>
      </c>
      <c r="W1118" s="50" t="s">
        <v>3086</v>
      </c>
      <c r="X1118" s="50" t="s">
        <v>3125</v>
      </c>
      <c r="Y1118" s="51">
        <f t="shared" ref="Y1118" si="481">IF(ISBLANK(O1118),"",(IF(O1118=UPPER("IB"),0.005,0.01)))</f>
        <v>0.01</v>
      </c>
      <c r="Z1118" s="52">
        <f t="shared" ref="Z1118" si="482">IF(ISBLANK(O1118),"",IF(O1118="IB",8.63*200,IF(O1118="IR",16*100,IF(O1118="YT",20*100,IF(O1118="YT-XT",24*200,IF(O1118="TED",80*100,IF(O1118="XT",29*200)))))))</f>
        <v>1600</v>
      </c>
      <c r="AA1118" s="52"/>
      <c r="AB1118" s="52" t="s">
        <v>3326</v>
      </c>
      <c r="AC1118" s="52"/>
      <c r="AD1118" s="231">
        <v>-0.3</v>
      </c>
      <c r="AE1118" s="49"/>
      <c r="AF1118" s="84"/>
      <c r="AG1118" s="49"/>
      <c r="AH1118" s="49"/>
      <c r="AI1118" s="49"/>
      <c r="AJ1118" s="226"/>
      <c r="AK1118" s="49"/>
      <c r="AL1118" s="113">
        <f t="shared" si="474"/>
        <v>-32</v>
      </c>
      <c r="AM1118" s="113">
        <f t="shared" si="475"/>
        <v>-160</v>
      </c>
      <c r="AN1118" s="218"/>
      <c r="AO1118" s="49"/>
      <c r="AP1118" s="49" t="s">
        <v>183</v>
      </c>
      <c r="AQ1118" s="84" t="s">
        <v>155</v>
      </c>
      <c r="AR1118" s="49"/>
      <c r="AS1118" s="55">
        <v>-0.28000000000000003</v>
      </c>
      <c r="AT1118" s="55">
        <f t="shared" si="476"/>
        <v>-1.9999999999999962E-2</v>
      </c>
      <c r="AU1118" s="54">
        <f t="shared" si="477"/>
        <v>-159.99999999999969</v>
      </c>
      <c r="AV1118" s="56">
        <f t="shared" si="478"/>
        <v>-31.99999999999994</v>
      </c>
      <c r="AW1118" s="57" t="s">
        <v>121</v>
      </c>
      <c r="AX1118" s="153"/>
      <c r="AY1118" s="153"/>
      <c r="AZ1118" s="153"/>
      <c r="BA1118" s="153"/>
      <c r="BB1118" s="153"/>
      <c r="BC1118" s="153"/>
      <c r="BD1118" s="151"/>
      <c r="BE1118" s="152"/>
      <c r="BF1118" s="151"/>
      <c r="BG1118" s="94">
        <f>SUM($AV$1035:AV1118)</f>
        <v>-126.08571428573156</v>
      </c>
      <c r="BH1118" s="95">
        <f>SUM($AU$1035:AU1118)</f>
        <v>1020.9999999999746</v>
      </c>
      <c r="BI1118" s="80">
        <f>SUMIFS($AU$1035:AU1255,$Q$1035:Q1255,"F")</f>
        <v>112.00000000000057</v>
      </c>
      <c r="BJ1118" s="80">
        <f>SUMIFS($AU$1035:AU1255,$Q$1035:Q1255,"S")</f>
        <v>-15.999999999994088</v>
      </c>
      <c r="BK1118" s="87">
        <f>SUMIFS($AU$1035:AU1255,$P$1035:P1255,"W")</f>
        <v>-960.00000000003297</v>
      </c>
      <c r="BL1118" s="87">
        <f>SUMIFS($AU$1035:AU1255,$P$1035:P1255,"R")</f>
        <v>1024.0000000000007</v>
      </c>
      <c r="BM1118" s="87">
        <f>SUMIFS($AU$1035:AU1255,$AQ$1035:AQ1255,"M")</f>
        <v>-899.79999999984489</v>
      </c>
      <c r="BN1118" s="87">
        <f>SUMIFS($AU$1035:AU1255,$AQ$1035:AQ1255,"H")</f>
        <v>1583.9999999998265</v>
      </c>
      <c r="BO1118" s="87">
        <f>SUMIFS($AU$1035:AU1255,$AQ$1035:AQ1255,"D")</f>
        <v>-479.9999999999896</v>
      </c>
      <c r="BP1118" s="87">
        <f>SUMIFS($AS$1035:AS1343,$AO$1035:AO1343,"W")</f>
        <v>0</v>
      </c>
      <c r="BQ1118" s="87">
        <f>SUMIFS($AU$1035:AU1255,$Q$1035:Q1255,"O")</f>
        <v>-1079.7999999999552</v>
      </c>
      <c r="BR1118" s="87">
        <f>SUMIFS($AU$1035:AU1255,$AA$1035:AA1255,"*")</f>
        <v>-499.79999999992333</v>
      </c>
      <c r="BS1118" s="87">
        <f>SUMIFS($AU$1035:AU1255,$AB$1035:AB1255,"*")</f>
        <v>-724.00000000009095</v>
      </c>
      <c r="BT1118" s="87">
        <f>SUMIFS($AU$1035:AU1255,$AC$1035:AC1255,"*")</f>
        <v>112.00000000000097</v>
      </c>
      <c r="BU1118" s="87">
        <f>SUMIFS($AU$1035:AU1255,$AA$1035:AA1255,"*",$AB$1035:AB1255,"*")</f>
        <v>47.999999999934744</v>
      </c>
      <c r="BV1118" s="87">
        <f>SUMIFS($AU$1035:AU1255,$AA$1035:AA1255,"*",$AC$1035:AC1255,"*")</f>
        <v>-335.99999999999977</v>
      </c>
      <c r="BW1118" s="87">
        <f>SUMIFS($AU$1035:AU1255,$AB$1035:AB1255,"*",$AC$1035:AC1255,"*")</f>
        <v>-143.99999999999966</v>
      </c>
      <c r="BX1118" s="87">
        <f>SUMIFS($AV$1035:AV1255,$Q$1035:Q1255,"F")</f>
        <v>34.153846153846246</v>
      </c>
      <c r="BY1118" s="87">
        <f>SUMIFS($AV$1035:AV1255,$Q$1035:Q1255,"S")</f>
        <v>20.914285714286223</v>
      </c>
      <c r="BZ1118" s="87">
        <f>SUMIFS($AV$1035:AV1255,$Q$1035:Q1255,"O")</f>
        <v>-445.13333333327751</v>
      </c>
    </row>
    <row r="1119" spans="1:78" ht="15.75" customHeight="1">
      <c r="A1119" s="45" t="s">
        <v>3276</v>
      </c>
      <c r="B1119" s="59">
        <v>45562</v>
      </c>
      <c r="C1119" s="46" t="s">
        <v>2847</v>
      </c>
      <c r="D1119" s="46" t="s">
        <v>115</v>
      </c>
      <c r="E1119" s="66"/>
      <c r="F1119" s="47"/>
      <c r="G1119" s="178" t="s">
        <v>276</v>
      </c>
      <c r="H1119" s="49"/>
      <c r="I1119" s="49"/>
      <c r="J1119" s="49"/>
      <c r="K1119" s="50"/>
      <c r="L1119" s="49"/>
      <c r="M1119" s="49"/>
      <c r="N1119" s="49"/>
      <c r="O1119" s="50" t="s">
        <v>100</v>
      </c>
      <c r="P1119" s="50" t="s">
        <v>101</v>
      </c>
      <c r="Q1119" s="50" t="s">
        <v>102</v>
      </c>
      <c r="R1119" s="50">
        <v>20</v>
      </c>
      <c r="S1119" s="50">
        <v>0</v>
      </c>
      <c r="T1119" s="50">
        <v>10</v>
      </c>
      <c r="U1119" s="50" t="s">
        <v>102</v>
      </c>
      <c r="V1119" s="50" t="s">
        <v>2906</v>
      </c>
      <c r="W1119" s="50" t="s">
        <v>155</v>
      </c>
      <c r="X1119" s="50" t="s">
        <v>3026</v>
      </c>
      <c r="Y1119" s="51">
        <f t="shared" ref="Y1119" si="483">IF(ISBLANK(O1119),"",(IF(O1119=UPPER("IB"),0.005,0.01)))</f>
        <v>0.01</v>
      </c>
      <c r="Z1119" s="52">
        <f t="shared" ref="Z1119" si="484">IF(ISBLANK(O1119),"",IF(O1119="IB",8.63*200,IF(O1119="IR",16*100,IF(O1119="YT",20*100,IF(O1119="YT-XT",24*200,IF(O1119="TED",80*100,IF(O1119="XT",29*200)))))))</f>
        <v>1600</v>
      </c>
      <c r="AA1119" s="52"/>
      <c r="AB1119" s="52" t="s">
        <v>3327</v>
      </c>
      <c r="AC1119" s="52"/>
      <c r="AD1119" s="231">
        <f>((-0.315*10)+(-0.3*10))/20</f>
        <v>-0.3075</v>
      </c>
      <c r="AE1119" s="49"/>
      <c r="AF1119" s="237" t="s">
        <v>3328</v>
      </c>
      <c r="AG1119" s="49"/>
      <c r="AH1119" s="49"/>
      <c r="AI1119" s="49"/>
      <c r="AJ1119" s="226"/>
      <c r="AK1119" s="49"/>
      <c r="AL1119" s="113">
        <f>-0.03*Z1119</f>
        <v>-48</v>
      </c>
      <c r="AM1119" s="113">
        <f t="shared" si="475"/>
        <v>-960</v>
      </c>
      <c r="AN1119" s="218"/>
      <c r="AO1119" s="49"/>
      <c r="AP1119" s="49" t="s">
        <v>183</v>
      </c>
      <c r="AQ1119" s="84" t="s">
        <v>155</v>
      </c>
      <c r="AR1119" s="49"/>
      <c r="AS1119" s="55">
        <f>((-0.28*15)+(-0.28*5))/20</f>
        <v>-0.28000000000000003</v>
      </c>
      <c r="AT1119" s="55">
        <f t="shared" si="476"/>
        <v>-2.7499999999999969E-2</v>
      </c>
      <c r="AU1119" s="54">
        <f t="shared" si="477"/>
        <v>-879.99999999999898</v>
      </c>
      <c r="AV1119" s="56">
        <f t="shared" si="478"/>
        <v>-43.99999999999995</v>
      </c>
      <c r="AW1119" s="57" t="s">
        <v>121</v>
      </c>
      <c r="AX1119" s="153"/>
      <c r="AY1119" s="153"/>
      <c r="AZ1119" s="153"/>
      <c r="BA1119" s="153"/>
      <c r="BB1119" s="153"/>
      <c r="BC1119" s="153"/>
      <c r="BD1119" s="151"/>
      <c r="BE1119" s="152"/>
      <c r="BF1119" s="151"/>
      <c r="BG1119" s="94">
        <f>SUM($AV$1035:AV1119)</f>
        <v>-170.08571428573151</v>
      </c>
      <c r="BH1119" s="95">
        <f>SUM($AU$1035:AU1119)</f>
        <v>140.99999999997567</v>
      </c>
      <c r="BI1119" s="80">
        <f>SUMIFS($AU$1035:AU1256,$Q$1035:Q1256,"F")</f>
        <v>112.00000000000057</v>
      </c>
      <c r="BJ1119" s="80">
        <f>SUMIFS($AU$1035:AU1256,$Q$1035:Q1256,"S")</f>
        <v>-15.999999999994088</v>
      </c>
      <c r="BK1119" s="87">
        <f>SUMIFS($AU$1035:AU1256,$P$1035:P1256,"W")</f>
        <v>-960.00000000003297</v>
      </c>
      <c r="BL1119" s="87">
        <f>SUMIFS($AU$1035:AU1256,$P$1035:P1256,"R")</f>
        <v>1024.0000000000007</v>
      </c>
      <c r="BM1119" s="87">
        <f>SUMIFS($AU$1035:AU1256,$AQ$1035:AQ1256,"M")</f>
        <v>-899.79999999984489</v>
      </c>
      <c r="BN1119" s="87">
        <f>SUMIFS($AU$1035:AU1256,$AQ$1035:AQ1256,"H")</f>
        <v>1583.9999999998265</v>
      </c>
      <c r="BO1119" s="87">
        <f>SUMIFS($AU$1035:AU1256,$AQ$1035:AQ1256,"D")</f>
        <v>-479.9999999999896</v>
      </c>
      <c r="BP1119" s="87">
        <f>SUMIFS($AS$1035:AS1344,$AO$1035:AO1344,"W")</f>
        <v>0</v>
      </c>
      <c r="BQ1119" s="87">
        <f>SUMIFS($AU$1035:AU1256,$Q$1035:Q1256,"O")</f>
        <v>-1079.7999999999552</v>
      </c>
      <c r="BR1119" s="87">
        <f>SUMIFS($AU$1035:AU1256,$AA$1035:AA1256,"*")</f>
        <v>-499.79999999992333</v>
      </c>
      <c r="BS1119" s="87">
        <f>SUMIFS($AU$1035:AU1256,$AB$1035:AB1256,"*")</f>
        <v>-724.00000000009095</v>
      </c>
      <c r="BT1119" s="87">
        <f>SUMIFS($AU$1035:AU1256,$AC$1035:AC1256,"*")</f>
        <v>112.00000000000097</v>
      </c>
      <c r="BU1119" s="87">
        <f>SUMIFS($AU$1035:AU1256,$AA$1035:AA1256,"*",$AB$1035:AB1256,"*")</f>
        <v>47.999999999934744</v>
      </c>
      <c r="BV1119" s="87">
        <f>SUMIFS($AU$1035:AU1256,$AA$1035:AA1256,"*",$AC$1035:AC1256,"*")</f>
        <v>-335.99999999999977</v>
      </c>
      <c r="BW1119" s="87">
        <f>SUMIFS($AU$1035:AU1256,$AB$1035:AB1256,"*",$AC$1035:AC1256,"*")</f>
        <v>-143.99999999999966</v>
      </c>
      <c r="BX1119" s="87">
        <f>SUMIFS($AV$1035:AV1256,$Q$1035:Q1256,"F")</f>
        <v>34.153846153846246</v>
      </c>
      <c r="BY1119" s="87">
        <f>SUMIFS($AV$1035:AV1256,$Q$1035:Q1256,"S")</f>
        <v>20.914285714286223</v>
      </c>
      <c r="BZ1119" s="87">
        <f>SUMIFS($AV$1035:AV1256,$Q$1035:Q1256,"O")</f>
        <v>-445.13333333327751</v>
      </c>
    </row>
    <row r="1120" spans="1:78" ht="15.75" customHeight="1">
      <c r="A1120" s="45" t="s">
        <v>3276</v>
      </c>
      <c r="B1120" s="59">
        <v>45562</v>
      </c>
      <c r="C1120" s="46" t="s">
        <v>2847</v>
      </c>
      <c r="D1120" s="46" t="s">
        <v>115</v>
      </c>
      <c r="E1120" s="66"/>
      <c r="F1120" s="47"/>
      <c r="G1120" s="178" t="s">
        <v>2686</v>
      </c>
      <c r="H1120" s="49"/>
      <c r="I1120" s="49"/>
      <c r="J1120" s="49"/>
      <c r="K1120" s="50"/>
      <c r="L1120" s="49"/>
      <c r="M1120" s="49"/>
      <c r="N1120" s="49"/>
      <c r="O1120" s="50" t="s">
        <v>100</v>
      </c>
      <c r="P1120" s="50" t="s">
        <v>101</v>
      </c>
      <c r="Q1120" s="50" t="s">
        <v>102</v>
      </c>
      <c r="R1120" s="50">
        <v>12</v>
      </c>
      <c r="S1120" s="50">
        <v>8</v>
      </c>
      <c r="T1120" s="50">
        <v>7</v>
      </c>
      <c r="U1120" s="50" t="s">
        <v>102</v>
      </c>
      <c r="V1120" s="50" t="s">
        <v>2906</v>
      </c>
      <c r="W1120" s="50" t="s">
        <v>155</v>
      </c>
      <c r="X1120" s="50" t="s">
        <v>3026</v>
      </c>
      <c r="Y1120" s="51">
        <f t="shared" ref="Y1120" si="485">IF(ISBLANK(O1120),"",(IF(O1120=UPPER("IB"),0.005,0.01)))</f>
        <v>0.01</v>
      </c>
      <c r="Z1120" s="52">
        <f t="shared" ref="Z1120" si="486">IF(ISBLANK(O1120),"",IF(O1120="IB",8.63*200,IF(O1120="IR",16*100,IF(O1120="YT",20*100,IF(O1120="YT-XT",24*200,IF(O1120="TED",80*100,IF(O1120="XT",29*200)))))))</f>
        <v>1600</v>
      </c>
      <c r="AA1120" s="52" t="s">
        <v>3329</v>
      </c>
      <c r="AB1120" s="52"/>
      <c r="AC1120" s="52"/>
      <c r="AD1120" s="231">
        <f>((-0.65*7)+(-0.66*3)+(-0.67*2))/12</f>
        <v>-0.65583333333333327</v>
      </c>
      <c r="AE1120" s="49"/>
      <c r="AF1120" s="84"/>
      <c r="AG1120" s="49"/>
      <c r="AH1120" s="49"/>
      <c r="AI1120" s="49"/>
      <c r="AJ1120" s="226"/>
      <c r="AK1120" s="49"/>
      <c r="AL1120" s="113">
        <f>-0.03*Z1120</f>
        <v>-48</v>
      </c>
      <c r="AM1120" s="113">
        <f t="shared" si="475"/>
        <v>-192</v>
      </c>
      <c r="AN1120" s="218"/>
      <c r="AO1120" s="49"/>
      <c r="AP1120" s="49" t="s">
        <v>247</v>
      </c>
      <c r="AQ1120" s="84" t="s">
        <v>155</v>
      </c>
      <c r="AR1120" s="49"/>
      <c r="AS1120" s="55">
        <f>((-0.66*2)+(-0.67*1)+(-0.62*5)+(-0.62*4))/12</f>
        <v>-0.63083333333333336</v>
      </c>
      <c r="AT1120" s="55">
        <f t="shared" si="476"/>
        <v>-2.4999999999999911E-2</v>
      </c>
      <c r="AU1120" s="54">
        <f t="shared" si="477"/>
        <v>-479.99999999999829</v>
      </c>
      <c r="AV1120" s="56">
        <f t="shared" si="478"/>
        <v>-39.999999999999858</v>
      </c>
      <c r="AW1120" s="57" t="s">
        <v>121</v>
      </c>
      <c r="AX1120" s="153" t="s">
        <v>3330</v>
      </c>
      <c r="AY1120" s="153" t="s">
        <v>3331</v>
      </c>
      <c r="AZ1120" s="153" t="s">
        <v>3332</v>
      </c>
      <c r="BA1120" s="153"/>
      <c r="BB1120" s="153"/>
      <c r="BC1120" s="153"/>
      <c r="BD1120" s="151"/>
      <c r="BE1120" s="152"/>
      <c r="BF1120" s="151"/>
      <c r="BG1120" s="94">
        <f>SUM($AV$1035:AV1120)</f>
        <v>-210.08571428573137</v>
      </c>
      <c r="BH1120" s="95">
        <f>SUM($AU$1035:AU1120)</f>
        <v>-339.00000000002262</v>
      </c>
      <c r="BI1120" s="80">
        <f>SUMIFS($AU$1035:AU1257,$Q$1035:Q1257,"F")</f>
        <v>112.00000000000057</v>
      </c>
      <c r="BJ1120" s="80">
        <f>SUMIFS($AU$1035:AU1257,$Q$1035:Q1257,"S")</f>
        <v>-15.999999999994088</v>
      </c>
      <c r="BK1120" s="87">
        <f>SUMIFS($AU$1035:AU1257,$P$1035:P1257,"W")</f>
        <v>-960.00000000003297</v>
      </c>
      <c r="BL1120" s="87">
        <f>SUMIFS($AU$1035:AU1257,$P$1035:P1257,"R")</f>
        <v>1024.0000000000007</v>
      </c>
      <c r="BM1120" s="87">
        <f>SUMIFS($AU$1035:AU1257,$AQ$1035:AQ1257,"M")</f>
        <v>-899.79999999984489</v>
      </c>
      <c r="BN1120" s="87">
        <f>SUMIFS($AU$1035:AU1257,$AQ$1035:AQ1257,"H")</f>
        <v>1583.9999999998265</v>
      </c>
      <c r="BO1120" s="87">
        <f>SUMIFS($AU$1035:AU1257,$AQ$1035:AQ1257,"D")</f>
        <v>-479.9999999999896</v>
      </c>
      <c r="BP1120" s="87">
        <f>SUMIFS($AS$1035:AS1345,$AO$1035:AO1345,"W")</f>
        <v>0</v>
      </c>
      <c r="BQ1120" s="87">
        <f>SUMIFS($AU$1035:AU1257,$Q$1035:Q1257,"O")</f>
        <v>-1079.7999999999552</v>
      </c>
      <c r="BR1120" s="87">
        <f>SUMIFS($AU$1035:AU1257,$AA$1035:AA1257,"*")</f>
        <v>-499.79999999992333</v>
      </c>
      <c r="BS1120" s="87">
        <f>SUMIFS($AU$1035:AU1257,$AB$1035:AB1257,"*")</f>
        <v>-724.00000000009095</v>
      </c>
      <c r="BT1120" s="87">
        <f>SUMIFS($AU$1035:AU1257,$AC$1035:AC1257,"*")</f>
        <v>112.00000000000097</v>
      </c>
      <c r="BU1120" s="87">
        <f>SUMIFS($AU$1035:AU1257,$AA$1035:AA1257,"*",$AB$1035:AB1257,"*")</f>
        <v>47.999999999934744</v>
      </c>
      <c r="BV1120" s="87">
        <f>SUMIFS($AU$1035:AU1257,$AA$1035:AA1257,"*",$AC$1035:AC1257,"*")</f>
        <v>-335.99999999999977</v>
      </c>
      <c r="BW1120" s="87">
        <f>SUMIFS($AU$1035:AU1257,$AB$1035:AB1257,"*",$AC$1035:AC1257,"*")</f>
        <v>-143.99999999999966</v>
      </c>
      <c r="BX1120" s="87">
        <f>SUMIFS($AV$1035:AV1257,$Q$1035:Q1257,"F")</f>
        <v>34.153846153846246</v>
      </c>
      <c r="BY1120" s="87">
        <f>SUMIFS($AV$1035:AV1257,$Q$1035:Q1257,"S")</f>
        <v>20.914285714286223</v>
      </c>
      <c r="BZ1120" s="87">
        <f>SUMIFS($AV$1035:AV1257,$Q$1035:Q1257,"O")</f>
        <v>-445.13333333327751</v>
      </c>
    </row>
    <row r="1121" spans="1:78" ht="15.75" customHeight="1">
      <c r="A1121" s="45" t="s">
        <v>3276</v>
      </c>
      <c r="B1121" s="59">
        <v>45562</v>
      </c>
      <c r="C1121" s="46" t="s">
        <v>2847</v>
      </c>
      <c r="D1121" s="46" t="s">
        <v>115</v>
      </c>
      <c r="E1121" s="66"/>
      <c r="F1121" s="47"/>
      <c r="G1121" s="104" t="s">
        <v>3333</v>
      </c>
      <c r="H1121" s="49"/>
      <c r="I1121" s="49"/>
      <c r="J1121" s="49"/>
      <c r="K1121" s="50"/>
      <c r="L1121" s="49"/>
      <c r="M1121" s="49"/>
      <c r="N1121" s="49"/>
      <c r="O1121" s="50" t="s">
        <v>100</v>
      </c>
      <c r="P1121" s="50" t="s">
        <v>126</v>
      </c>
      <c r="Q1121" s="50" t="s">
        <v>127</v>
      </c>
      <c r="R1121" s="50">
        <v>16</v>
      </c>
      <c r="S1121" s="50">
        <v>0</v>
      </c>
      <c r="T1121" s="50">
        <v>16</v>
      </c>
      <c r="U1121" s="50" t="s">
        <v>22</v>
      </c>
      <c r="V1121" s="50" t="s">
        <v>2906</v>
      </c>
      <c r="W1121" s="50" t="s">
        <v>22</v>
      </c>
      <c r="X1121" s="50" t="s">
        <v>3002</v>
      </c>
      <c r="Y1121" s="51">
        <f t="shared" ref="Y1121" si="487">IF(ISBLANK(O1121),"",(IF(O1121=UPPER("IB"),0.005,0.01)))</f>
        <v>0.01</v>
      </c>
      <c r="Z1121" s="52">
        <f t="shared" ref="Z1121" si="488">IF(ISBLANK(O1121),"",IF(O1121="IB",8.63*200,IF(O1121="IR",16*100,IF(O1121="YT",20*100,IF(O1121="YT-XT",24*200,IF(O1121="TED",80*100,IF(O1121="XT",29*200)))))))</f>
        <v>1600</v>
      </c>
      <c r="AA1121" s="52" t="s">
        <v>3334</v>
      </c>
      <c r="AB1121" s="238" t="s">
        <v>3335</v>
      </c>
      <c r="AC1121" s="52"/>
      <c r="AD1121" s="231">
        <v>-0.01</v>
      </c>
      <c r="AE1121" s="49"/>
      <c r="AF1121" s="84"/>
      <c r="AG1121" s="49"/>
      <c r="AH1121" s="49"/>
      <c r="AI1121" s="49"/>
      <c r="AJ1121" s="226" t="s">
        <v>3336</v>
      </c>
      <c r="AK1121" s="49"/>
      <c r="AL1121" s="113">
        <f t="shared" si="472"/>
        <v>-32</v>
      </c>
      <c r="AM1121" s="113">
        <f t="shared" si="468"/>
        <v>-512</v>
      </c>
      <c r="AN1121" s="218"/>
      <c r="AO1121" s="49"/>
      <c r="AP1121" s="49" t="s">
        <v>183</v>
      </c>
      <c r="AQ1121" s="84" t="s">
        <v>155</v>
      </c>
      <c r="AR1121" s="49"/>
      <c r="AS1121" s="55">
        <v>-0.01</v>
      </c>
      <c r="AT1121" s="55">
        <f t="shared" si="469"/>
        <v>0</v>
      </c>
      <c r="AU1121" s="54">
        <f t="shared" si="470"/>
        <v>0</v>
      </c>
      <c r="AV1121" s="56">
        <f t="shared" si="473"/>
        <v>0</v>
      </c>
      <c r="AW1121" s="57" t="s">
        <v>155</v>
      </c>
      <c r="AX1121" s="153" t="s">
        <v>3337</v>
      </c>
      <c r="AY1121" s="153"/>
      <c r="AZ1121" s="153"/>
      <c r="BA1121" s="153"/>
      <c r="BB1121" s="153"/>
      <c r="BC1121" s="153"/>
      <c r="BD1121" s="151"/>
      <c r="BE1121" s="152"/>
      <c r="BF1121" s="151"/>
      <c r="BG1121" s="94">
        <f>SUM($AV$1035:AV1121)</f>
        <v>-210.08571428573137</v>
      </c>
      <c r="BH1121" s="95">
        <f>SUM($AU$1035:AU1121)</f>
        <v>-339.00000000002262</v>
      </c>
      <c r="BI1121" s="80">
        <f>SUMIFS($AU$1035:AU1258,$Q$1035:Q1258,"F")</f>
        <v>112.00000000000057</v>
      </c>
      <c r="BJ1121" s="80">
        <f>SUMIFS($AU$1035:AU1258,$Q$1035:Q1258,"S")</f>
        <v>-15.999999999994088</v>
      </c>
      <c r="BK1121" s="87">
        <f>SUMIFS($AU$1035:AU1258,$P$1035:P1258,"W")</f>
        <v>-960.00000000003297</v>
      </c>
      <c r="BL1121" s="87">
        <f>SUMIFS($AU$1035:AU1258,$P$1035:P1258,"R")</f>
        <v>1024.0000000000007</v>
      </c>
      <c r="BM1121" s="87">
        <f>SUMIFS($AU$1035:AU1258,$AQ$1035:AQ1258,"M")</f>
        <v>-899.79999999984489</v>
      </c>
      <c r="BN1121" s="87">
        <f>SUMIFS($AU$1035:AU1258,$AQ$1035:AQ1258,"H")</f>
        <v>1583.9999999998265</v>
      </c>
      <c r="BO1121" s="87">
        <f>SUMIFS($AU$1035:AU1258,$AQ$1035:AQ1258,"D")</f>
        <v>-479.9999999999896</v>
      </c>
      <c r="BP1121" s="87">
        <f>SUMIFS($AS$1035:AS1346,$AO$1035:AO1346,"W")</f>
        <v>0</v>
      </c>
      <c r="BQ1121" s="87">
        <f>SUMIFS($AU$1035:AU1258,$Q$1035:Q1258,"O")</f>
        <v>-1079.7999999999552</v>
      </c>
      <c r="BR1121" s="87">
        <f>SUMIFS($AU$1035:AU1258,$AA$1035:AA1258,"*")</f>
        <v>-499.79999999992333</v>
      </c>
      <c r="BS1121" s="87">
        <f>SUMIFS($AU$1035:AU1258,$AB$1035:AB1258,"*")</f>
        <v>-724.00000000009095</v>
      </c>
      <c r="BT1121" s="87">
        <f>SUMIFS($AU$1035:AU1258,$AC$1035:AC1258,"*")</f>
        <v>112.00000000000097</v>
      </c>
      <c r="BU1121" s="87">
        <f>SUMIFS($AU$1035:AU1258,$AA$1035:AA1258,"*",$AB$1035:AB1258,"*")</f>
        <v>47.999999999934744</v>
      </c>
      <c r="BV1121" s="87">
        <f>SUMIFS($AU$1035:AU1258,$AA$1035:AA1258,"*",$AC$1035:AC1258,"*")</f>
        <v>-335.99999999999977</v>
      </c>
      <c r="BW1121" s="87">
        <f>SUMIFS($AU$1035:AU1258,$AB$1035:AB1258,"*",$AC$1035:AC1258,"*")</f>
        <v>-143.99999999999966</v>
      </c>
      <c r="BX1121" s="87">
        <f>SUMIFS($AV$1035:AV1258,$Q$1035:Q1258,"F")</f>
        <v>34.153846153846246</v>
      </c>
      <c r="BY1121" s="87">
        <f>SUMIFS($AV$1035:AV1258,$Q$1035:Q1258,"S")</f>
        <v>20.914285714286223</v>
      </c>
      <c r="BZ1121" s="87">
        <f>SUMIFS($AV$1035:AV1258,$Q$1035:Q1258,"O")</f>
        <v>-445.13333333327751</v>
      </c>
    </row>
    <row r="1122" spans="1:78" ht="15.75" customHeight="1">
      <c r="A1122" s="45" t="s">
        <v>3276</v>
      </c>
      <c r="B1122" s="59">
        <v>45562</v>
      </c>
      <c r="C1122" s="46" t="s">
        <v>2847</v>
      </c>
      <c r="D1122" s="46" t="s">
        <v>115</v>
      </c>
      <c r="E1122" s="66"/>
      <c r="F1122" s="47"/>
      <c r="G1122" s="104" t="s">
        <v>287</v>
      </c>
      <c r="H1122" s="49"/>
      <c r="I1122" s="49"/>
      <c r="J1122" s="49"/>
      <c r="K1122" s="50"/>
      <c r="L1122" s="49"/>
      <c r="M1122" s="49"/>
      <c r="N1122" s="49"/>
      <c r="O1122" s="50" t="s">
        <v>288</v>
      </c>
      <c r="P1122" s="50"/>
      <c r="Q1122" s="50"/>
      <c r="R1122" s="50">
        <v>1</v>
      </c>
      <c r="S1122" s="50">
        <v>0</v>
      </c>
      <c r="T1122" s="50">
        <v>1</v>
      </c>
      <c r="U1122" s="50" t="s">
        <v>22</v>
      </c>
      <c r="V1122" s="50" t="s">
        <v>2898</v>
      </c>
      <c r="W1122" s="50" t="s">
        <v>3086</v>
      </c>
      <c r="X1122" s="50"/>
      <c r="Y1122" s="51">
        <f t="shared" ref="Y1122:Y1123" si="489">IF(ISBLANK(O1122),"",(IF(O1122=UPPER("IB"),0.005,0.01)))</f>
        <v>0.01</v>
      </c>
      <c r="Z1122" s="52">
        <f t="shared" ref="Z1122:Z1123" si="490">IF(ISBLANK(O1122),"",IF(O1122="IB",8.63*200,IF(O1122="IR",16*100,IF(O1122="YT",20*100,IF(O1122="YT-XT",24*200,IF(O1122="TED",80*100,IF(O1122="XT",29*200)))))))</f>
        <v>4800</v>
      </c>
      <c r="AA1122" s="52" t="s">
        <v>3338</v>
      </c>
      <c r="AB1122" s="52"/>
      <c r="AC1122" s="52"/>
      <c r="AD1122" s="231">
        <v>0.53</v>
      </c>
      <c r="AE1122" s="49"/>
      <c r="AF1122" s="84"/>
      <c r="AG1122" s="49"/>
      <c r="AH1122" s="49"/>
      <c r="AI1122" s="49"/>
      <c r="AJ1122" s="226"/>
      <c r="AK1122" s="49"/>
      <c r="AL1122" s="113">
        <f t="shared" si="465"/>
        <v>-96</v>
      </c>
      <c r="AM1122" s="113">
        <f t="shared" si="468"/>
        <v>-96</v>
      </c>
      <c r="AN1122" s="218"/>
      <c r="AO1122" s="49"/>
      <c r="AP1122" s="49"/>
      <c r="AQ1122" s="84" t="s">
        <v>142</v>
      </c>
      <c r="AR1122" s="49"/>
      <c r="AS1122" s="55">
        <v>0.53</v>
      </c>
      <c r="AT1122" s="55">
        <f t="shared" si="469"/>
        <v>0</v>
      </c>
      <c r="AU1122" s="54">
        <f t="shared" si="470"/>
        <v>0</v>
      </c>
      <c r="AV1122" s="56">
        <f t="shared" si="466"/>
        <v>0</v>
      </c>
      <c r="AW1122" s="57" t="s">
        <v>155</v>
      </c>
      <c r="AX1122" s="153"/>
      <c r="AY1122" s="153"/>
      <c r="AZ1122" s="153"/>
      <c r="BA1122" s="153"/>
      <c r="BB1122" s="153"/>
      <c r="BC1122" s="153"/>
      <c r="BD1122" s="151"/>
      <c r="BE1122" s="152"/>
      <c r="BF1122" s="151"/>
      <c r="BG1122" s="94">
        <f>SUM($AV$1035:AV1122)</f>
        <v>-210.08571428573137</v>
      </c>
      <c r="BH1122" s="95">
        <f>SUM($AU$1035:AU1122)</f>
        <v>-339.00000000002262</v>
      </c>
      <c r="BI1122" s="80">
        <f>SUMIFS($AU$1035:AU1259,$Q$1035:Q1259,"F")</f>
        <v>112.00000000000057</v>
      </c>
      <c r="BJ1122" s="80">
        <f>SUMIFS($AU$1035:AU1259,$Q$1035:Q1259,"S")</f>
        <v>-15.999999999994088</v>
      </c>
      <c r="BK1122" s="87">
        <f>SUMIFS($AU$1035:AU1259,$P$1035:P1259,"W")</f>
        <v>-960.00000000003297</v>
      </c>
      <c r="BL1122" s="87">
        <f>SUMIFS($AU$1035:AU1259,$P$1035:P1259,"R")</f>
        <v>1024.0000000000007</v>
      </c>
      <c r="BM1122" s="87">
        <f>SUMIFS($AU$1035:AU1259,$AQ$1035:AQ1259,"M")</f>
        <v>-899.79999999984489</v>
      </c>
      <c r="BN1122" s="87">
        <f>SUMIFS($AU$1035:AU1259,$AQ$1035:AQ1259,"H")</f>
        <v>1583.9999999998265</v>
      </c>
      <c r="BO1122" s="87">
        <f>SUMIFS($AU$1035:AU1259,$AQ$1035:AQ1259,"D")</f>
        <v>-479.9999999999896</v>
      </c>
      <c r="BP1122" s="87">
        <f>SUMIFS($AS$1035:AS1347,$AO$1035:AO1347,"W")</f>
        <v>0</v>
      </c>
      <c r="BQ1122" s="87">
        <f>SUMIFS($AU$1035:AU1259,$Q$1035:Q1259,"O")</f>
        <v>-1079.7999999999552</v>
      </c>
      <c r="BR1122" s="87">
        <f>SUMIFS($AU$1035:AU1259,$AA$1035:AA1259,"*")</f>
        <v>-499.79999999992333</v>
      </c>
      <c r="BS1122" s="87">
        <f>SUMIFS($AU$1035:AU1259,$AB$1035:AB1259,"*")</f>
        <v>-724.00000000009095</v>
      </c>
      <c r="BT1122" s="87">
        <f>SUMIFS($AU$1035:AU1259,$AC$1035:AC1259,"*")</f>
        <v>112.00000000000097</v>
      </c>
      <c r="BU1122" s="87">
        <f>SUMIFS($AU$1035:AU1259,$AA$1035:AA1259,"*",$AB$1035:AB1259,"*")</f>
        <v>47.999999999934744</v>
      </c>
      <c r="BV1122" s="87">
        <f>SUMIFS($AU$1035:AU1259,$AA$1035:AA1259,"*",$AC$1035:AC1259,"*")</f>
        <v>-335.99999999999977</v>
      </c>
      <c r="BW1122" s="87">
        <f>SUMIFS($AU$1035:AU1259,$AB$1035:AB1259,"*",$AC$1035:AC1259,"*")</f>
        <v>-143.99999999999966</v>
      </c>
      <c r="BX1122" s="87">
        <f>SUMIFS($AV$1035:AV1259,$Q$1035:Q1259,"F")</f>
        <v>34.153846153846246</v>
      </c>
      <c r="BY1122" s="87">
        <f>SUMIFS($AV$1035:AV1259,$Q$1035:Q1259,"S")</f>
        <v>20.914285714286223</v>
      </c>
      <c r="BZ1122" s="87">
        <f>SUMIFS($AV$1035:AV1259,$Q$1035:Q1259,"O")</f>
        <v>-445.13333333327751</v>
      </c>
    </row>
    <row r="1123" spans="1:78" ht="15.75" customHeight="1">
      <c r="A1123" s="45" t="s">
        <v>3276</v>
      </c>
      <c r="B1123" s="59">
        <v>45562</v>
      </c>
      <c r="C1123" s="46" t="s">
        <v>2822</v>
      </c>
      <c r="D1123" s="46" t="s">
        <v>115</v>
      </c>
      <c r="E1123" s="66"/>
      <c r="F1123" s="47"/>
      <c r="G1123" s="104" t="s">
        <v>3339</v>
      </c>
      <c r="H1123" s="49"/>
      <c r="I1123" s="49"/>
      <c r="J1123" s="49"/>
      <c r="K1123" s="50"/>
      <c r="L1123" s="49"/>
      <c r="M1123" s="49"/>
      <c r="N1123" s="49"/>
      <c r="O1123" s="50" t="s">
        <v>100</v>
      </c>
      <c r="P1123" s="50" t="s">
        <v>101</v>
      </c>
      <c r="Q1123" s="50" t="s">
        <v>102</v>
      </c>
      <c r="R1123" s="50">
        <v>16</v>
      </c>
      <c r="S1123" s="50">
        <v>0</v>
      </c>
      <c r="T1123" s="50">
        <v>16</v>
      </c>
      <c r="U1123" s="50" t="s">
        <v>22</v>
      </c>
      <c r="V1123" s="50" t="s">
        <v>2898</v>
      </c>
      <c r="W1123" s="50" t="s">
        <v>155</v>
      </c>
      <c r="X1123" s="50" t="s">
        <v>3026</v>
      </c>
      <c r="Y1123" s="51">
        <f t="shared" si="489"/>
        <v>0.01</v>
      </c>
      <c r="Z1123" s="52">
        <f t="shared" si="490"/>
        <v>1600</v>
      </c>
      <c r="AA1123" s="52" t="s">
        <v>282</v>
      </c>
      <c r="AB1123" s="52" t="s">
        <v>3340</v>
      </c>
      <c r="AC1123" s="52" t="s">
        <v>3341</v>
      </c>
      <c r="AD1123" s="231">
        <v>-0.01</v>
      </c>
      <c r="AE1123" s="49"/>
      <c r="AF1123" s="84"/>
      <c r="AG1123" s="49"/>
      <c r="AH1123" s="49"/>
      <c r="AI1123" s="49"/>
      <c r="AJ1123" s="226"/>
      <c r="AK1123" s="49"/>
      <c r="AL1123" s="113">
        <f t="shared" ref="AL1123:AL1130" si="491">-0.02*Z1123</f>
        <v>-32</v>
      </c>
      <c r="AM1123" s="113">
        <f t="shared" ref="AM1123:AM1130" si="492">AL1123*(R1123-S1123)</f>
        <v>-512</v>
      </c>
      <c r="AN1123" s="218"/>
      <c r="AO1123" s="49"/>
      <c r="AP1123" s="49" t="s">
        <v>183</v>
      </c>
      <c r="AQ1123" s="84" t="s">
        <v>155</v>
      </c>
      <c r="AR1123" s="49"/>
      <c r="AS1123" s="55">
        <v>-0.01</v>
      </c>
      <c r="AT1123" s="55">
        <f t="shared" ref="AT1123:AT1130" si="493">IF(ISBLANK(AS1123),,IF(U1123="S",AD1123-AS1123,AS1123-AD1123))</f>
        <v>0</v>
      </c>
      <c r="AU1123" s="54">
        <f t="shared" ref="AU1123:AU1130" si="494">AV1123*R1123</f>
        <v>0</v>
      </c>
      <c r="AV1123" s="56">
        <f t="shared" ref="AV1123:AV1130" si="495">IF(ISBLANK(AS1123),,(AT1123*Z1123))</f>
        <v>0</v>
      </c>
      <c r="AW1123" s="57" t="s">
        <v>155</v>
      </c>
      <c r="AX1123" s="153"/>
      <c r="AY1123" s="153"/>
      <c r="AZ1123" s="153"/>
      <c r="BA1123" s="153"/>
      <c r="BB1123" s="153"/>
      <c r="BC1123" s="153"/>
      <c r="BD1123" s="151"/>
      <c r="BE1123" s="152"/>
      <c r="BF1123" s="151"/>
      <c r="BG1123" s="94">
        <f>SUM($AV$1035:AV1123)</f>
        <v>-210.08571428573137</v>
      </c>
      <c r="BH1123" s="95">
        <f>SUM($AU$1035:AU1123)</f>
        <v>-339.00000000002262</v>
      </c>
      <c r="BI1123" s="80">
        <f>SUMIFS($AU$1035:AU1257,$Q$1035:Q1257,"F")</f>
        <v>112.00000000000057</v>
      </c>
      <c r="BJ1123" s="80">
        <f>SUMIFS($AU$1035:AU1257,$Q$1035:Q1257,"S")</f>
        <v>-15.999999999994088</v>
      </c>
      <c r="BK1123" s="87">
        <f>SUMIFS($AU$1035:AU1257,$P$1035:P1257,"W")</f>
        <v>-960.00000000003297</v>
      </c>
      <c r="BL1123" s="87">
        <f>SUMIFS($AU$1035:AU1257,$P$1035:P1257,"R")</f>
        <v>1024.0000000000007</v>
      </c>
      <c r="BM1123" s="87">
        <f>SUMIFS($AU$1035:AU1257,$AQ$1035:AQ1257,"M")</f>
        <v>-899.79999999984489</v>
      </c>
      <c r="BN1123" s="87">
        <f>SUMIFS($AU$1035:AU1257,$AQ$1035:AQ1257,"H")</f>
        <v>1583.9999999998265</v>
      </c>
      <c r="BO1123" s="87">
        <f>SUMIFS($AU$1035:AU1257,$AQ$1035:AQ1257,"D")</f>
        <v>-479.9999999999896</v>
      </c>
      <c r="BP1123" s="87">
        <f>SUMIFS($AS$1035:AS1345,$AO$1035:AO1345,"W")</f>
        <v>0</v>
      </c>
      <c r="BQ1123" s="87">
        <f>SUMIFS($AU$1035:AU1257,$Q$1035:Q1257,"O")</f>
        <v>-1079.7999999999552</v>
      </c>
      <c r="BR1123" s="87">
        <f>SUMIFS($AU$1035:AU1257,$AA$1035:AA1257,"*")</f>
        <v>-499.79999999992333</v>
      </c>
      <c r="BS1123" s="87">
        <f>SUMIFS($AU$1035:AU1257,$AB$1035:AB1257,"*")</f>
        <v>-724.00000000009095</v>
      </c>
      <c r="BT1123" s="87">
        <f>SUMIFS($AU$1035:AU1257,$AC$1035:AC1257,"*")</f>
        <v>112.00000000000097</v>
      </c>
      <c r="BU1123" s="87">
        <f>SUMIFS($AU$1035:AU1257,$AA$1035:AA1257,"*",$AB$1035:AB1257,"*")</f>
        <v>47.999999999934744</v>
      </c>
      <c r="BV1123" s="87">
        <f>SUMIFS($AU$1035:AU1257,$AA$1035:AA1257,"*",$AC$1035:AC1257,"*")</f>
        <v>-335.99999999999977</v>
      </c>
      <c r="BW1123" s="87">
        <f>SUMIFS($AU$1035:AU1257,$AB$1035:AB1257,"*",$AC$1035:AC1257,"*")</f>
        <v>-143.99999999999966</v>
      </c>
      <c r="BX1123" s="87">
        <f>SUMIFS($AV$1035:AV1257,$Q$1035:Q1257,"F")</f>
        <v>34.153846153846246</v>
      </c>
      <c r="BY1123" s="87">
        <f>SUMIFS($AV$1035:AV1257,$Q$1035:Q1257,"S")</f>
        <v>20.914285714286223</v>
      </c>
      <c r="BZ1123" s="87">
        <f>SUMIFS($AV$1035:AV1257,$Q$1035:Q1257,"O")</f>
        <v>-445.13333333327751</v>
      </c>
    </row>
    <row r="1124" spans="1:78" ht="15.75" customHeight="1">
      <c r="A1124" s="45" t="s">
        <v>3276</v>
      </c>
      <c r="B1124" s="59">
        <v>45565</v>
      </c>
      <c r="C1124" s="46" t="s">
        <v>3259</v>
      </c>
      <c r="D1124" s="46" t="s">
        <v>176</v>
      </c>
      <c r="E1124" s="66"/>
      <c r="F1124" s="47"/>
      <c r="G1124" s="104" t="s">
        <v>3342</v>
      </c>
      <c r="H1124" s="49"/>
      <c r="I1124" s="49"/>
      <c r="J1124" s="49"/>
      <c r="K1124" s="50"/>
      <c r="L1124" s="49"/>
      <c r="M1124" s="49"/>
      <c r="N1124" s="49"/>
      <c r="O1124" s="50" t="s">
        <v>100</v>
      </c>
      <c r="P1124" s="50" t="s">
        <v>101</v>
      </c>
      <c r="Q1124" s="50" t="s">
        <v>102</v>
      </c>
      <c r="R1124" s="50">
        <v>6</v>
      </c>
      <c r="S1124" s="50">
        <v>0</v>
      </c>
      <c r="T1124" s="50">
        <v>5</v>
      </c>
      <c r="U1124" s="50" t="s">
        <v>102</v>
      </c>
      <c r="V1124" s="50" t="s">
        <v>2898</v>
      </c>
      <c r="W1124" s="50" t="s">
        <v>155</v>
      </c>
      <c r="X1124" s="50" t="s">
        <v>3002</v>
      </c>
      <c r="Y1124" s="51">
        <f t="shared" ref="Y1124" si="496">IF(ISBLANK(O1124),"",(IF(O1124=UPPER("IB"),0.005,0.01)))</f>
        <v>0.01</v>
      </c>
      <c r="Z1124" s="52">
        <f t="shared" ref="Z1124" si="497">IF(ISBLANK(O1124),"",IF(O1124="IB",8.63*200,IF(O1124="IR",16*100,IF(O1124="YT",20*100,IF(O1124="YT-XT",24*200,IF(O1124="TED",80*100,IF(O1124="XT",29*200)))))))</f>
        <v>1600</v>
      </c>
      <c r="AA1124" s="52" t="s">
        <v>445</v>
      </c>
      <c r="AB1124" s="52"/>
      <c r="AC1124" s="52"/>
      <c r="AD1124" s="231">
        <v>-0.65</v>
      </c>
      <c r="AE1124" s="49"/>
      <c r="AF1124" s="84"/>
      <c r="AG1124" s="49"/>
      <c r="AH1124" s="49"/>
      <c r="AI1124" s="49"/>
      <c r="AJ1124" s="226"/>
      <c r="AK1124" s="49"/>
      <c r="AL1124" s="113">
        <f t="shared" ref="AL1124:AL1128" si="498">-0.02*Z1124</f>
        <v>-32</v>
      </c>
      <c r="AM1124" s="113">
        <f t="shared" ref="AM1124:AM1128" si="499">AL1124*(R1124-S1124)</f>
        <v>-192</v>
      </c>
      <c r="AN1124" s="218"/>
      <c r="AO1124" s="49"/>
      <c r="AP1124" s="49"/>
      <c r="AQ1124" s="84" t="s">
        <v>142</v>
      </c>
      <c r="AR1124" s="49"/>
      <c r="AS1124" s="55">
        <v>-0.64</v>
      </c>
      <c r="AT1124" s="55">
        <f t="shared" ref="AT1124:AT1128" si="500">IF(ISBLANK(AS1124),,IF(U1124="S",AD1124-AS1124,AS1124-AD1124))</f>
        <v>-1.0000000000000009E-2</v>
      </c>
      <c r="AU1124" s="54">
        <f t="shared" ref="AU1124:AU1128" si="501">AV1124*R1124</f>
        <v>-96.000000000000085</v>
      </c>
      <c r="AV1124" s="56">
        <f t="shared" ref="AV1124:AV1128" si="502">IF(ISBLANK(AS1124),,(AT1124*Z1124))</f>
        <v>-16.000000000000014</v>
      </c>
      <c r="AW1124" s="57" t="s">
        <v>121</v>
      </c>
      <c r="AX1124" s="153"/>
      <c r="AY1124" s="153"/>
      <c r="AZ1124" s="153"/>
      <c r="BA1124" s="153"/>
      <c r="BB1124" s="153"/>
      <c r="BC1124" s="153"/>
      <c r="BD1124" s="151"/>
      <c r="BE1124" s="152"/>
      <c r="BF1124" s="151"/>
      <c r="BG1124" s="94">
        <f>SUM($AV$1035:AV1124)</f>
        <v>-226.0857142857314</v>
      </c>
      <c r="BH1124" s="95">
        <f>SUM($AU$1035:AU1124)</f>
        <v>-435.00000000002274</v>
      </c>
      <c r="BI1124" s="80">
        <f>SUMIFS($AU$1035:AU1253,$Q$1035:Q1253,"F")</f>
        <v>112.00000000000057</v>
      </c>
      <c r="BJ1124" s="80">
        <f>SUMIFS($AU$1035:AU1253,$Q$1035:Q1253,"S")</f>
        <v>-15.999999999994088</v>
      </c>
      <c r="BK1124" s="87">
        <f>SUMIFS($AU$1035:AU1253,$P$1035:P1253,"W")</f>
        <v>-960.00000000003297</v>
      </c>
      <c r="BL1124" s="87">
        <f>SUMIFS($AU$1035:AU1253,$P$1035:P1253,"R")</f>
        <v>1024.0000000000007</v>
      </c>
      <c r="BM1124" s="87">
        <f>SUMIFS($AU$1035:AU1253,$AQ$1035:AQ1253,"M")</f>
        <v>-899.79999999984489</v>
      </c>
      <c r="BN1124" s="87">
        <f>SUMIFS($AU$1035:AU1253,$AQ$1035:AQ1253,"H")</f>
        <v>1583.9999999998265</v>
      </c>
      <c r="BO1124" s="87">
        <f>SUMIFS($AU$1035:AU1253,$AQ$1035:AQ1253,"D")</f>
        <v>-479.9999999999896</v>
      </c>
      <c r="BP1124" s="87">
        <f>SUMIFS($AS$1035:AS1341,$AO$1035:AO1341,"W")</f>
        <v>0</v>
      </c>
      <c r="BQ1124" s="87">
        <f>SUMIFS($AU$1035:AU1253,$Q$1035:Q1253,"O")</f>
        <v>-1079.7999999999552</v>
      </c>
      <c r="BR1124" s="87">
        <f>SUMIFS($AU$1035:AU1253,$AA$1035:AA1253,"*")</f>
        <v>-499.79999999992333</v>
      </c>
      <c r="BS1124" s="87">
        <f>SUMIFS($AU$1035:AU1253,$AB$1035:AB1253,"*")</f>
        <v>-724.00000000009095</v>
      </c>
      <c r="BT1124" s="87">
        <f>SUMIFS($AU$1035:AU1253,$AC$1035:AC1253,"*")</f>
        <v>112.00000000000097</v>
      </c>
      <c r="BU1124" s="87">
        <f>SUMIFS($AU$1035:AU1253,$AA$1035:AA1253,"*",$AB$1035:AB1253,"*")</f>
        <v>47.999999999934744</v>
      </c>
      <c r="BV1124" s="87">
        <f>SUMIFS($AU$1035:AU1253,$AA$1035:AA1253,"*",$AC$1035:AC1253,"*")</f>
        <v>-335.99999999999977</v>
      </c>
      <c r="BW1124" s="87">
        <f>SUMIFS($AU$1035:AU1253,$AB$1035:AB1253,"*",$AC$1035:AC1253,"*")</f>
        <v>-143.99999999999966</v>
      </c>
      <c r="BX1124" s="87">
        <f>SUMIFS($AV$1035:AV1253,$Q$1035:Q1253,"F")</f>
        <v>34.153846153846246</v>
      </c>
      <c r="BY1124" s="87">
        <f>SUMIFS($AV$1035:AV1253,$Q$1035:Q1253,"S")</f>
        <v>20.914285714286223</v>
      </c>
      <c r="BZ1124" s="87">
        <f>SUMIFS($AV$1035:AV1253,$Q$1035:Q1253,"O")</f>
        <v>-445.13333333327751</v>
      </c>
    </row>
    <row r="1125" spans="1:78" ht="15.75" customHeight="1">
      <c r="A1125" s="45" t="s">
        <v>3276</v>
      </c>
      <c r="B1125" s="59">
        <v>45565</v>
      </c>
      <c r="C1125" s="46" t="s">
        <v>3259</v>
      </c>
      <c r="D1125" s="46" t="s">
        <v>176</v>
      </c>
      <c r="E1125" s="66"/>
      <c r="F1125" s="47"/>
      <c r="G1125" s="104" t="s">
        <v>181</v>
      </c>
      <c r="H1125" s="49"/>
      <c r="I1125" s="49"/>
      <c r="J1125" s="49"/>
      <c r="K1125" s="50"/>
      <c r="L1125" s="49"/>
      <c r="M1125" s="49"/>
      <c r="N1125" s="49"/>
      <c r="O1125" s="50" t="s">
        <v>100</v>
      </c>
      <c r="P1125" s="50" t="s">
        <v>101</v>
      </c>
      <c r="Q1125" s="50" t="s">
        <v>102</v>
      </c>
      <c r="R1125" s="50">
        <v>5</v>
      </c>
      <c r="S1125" s="50">
        <v>0</v>
      </c>
      <c r="T1125" s="50">
        <v>5</v>
      </c>
      <c r="U1125" s="50" t="s">
        <v>102</v>
      </c>
      <c r="V1125" s="50" t="s">
        <v>2898</v>
      </c>
      <c r="W1125" s="50" t="s">
        <v>155</v>
      </c>
      <c r="X1125" s="50" t="s">
        <v>3026</v>
      </c>
      <c r="Y1125" s="51">
        <f t="shared" ref="Y1125" si="503">IF(ISBLANK(O1125),"",(IF(O1125=UPPER("IB"),0.005,0.01)))</f>
        <v>0.01</v>
      </c>
      <c r="Z1125" s="52">
        <f t="shared" ref="Z1125" si="504">IF(ISBLANK(O1125),"",IF(O1125="IB",8.63*200,IF(O1125="IR",16*100,IF(O1125="YT",20*100,IF(O1125="YT-XT",24*200,IF(O1125="TED",80*100,IF(O1125="XT",29*200)))))))</f>
        <v>1600</v>
      </c>
      <c r="AA1125" s="52" t="s">
        <v>445</v>
      </c>
      <c r="AB1125" s="52"/>
      <c r="AC1125" s="52"/>
      <c r="AD1125" s="231">
        <v>-0.35</v>
      </c>
      <c r="AE1125" s="49"/>
      <c r="AF1125" s="84"/>
      <c r="AG1125" s="49"/>
      <c r="AH1125" s="49"/>
      <c r="AI1125" s="49"/>
      <c r="AJ1125" s="226"/>
      <c r="AK1125" s="49"/>
      <c r="AL1125" s="113">
        <f t="shared" si="498"/>
        <v>-32</v>
      </c>
      <c r="AM1125" s="113">
        <f t="shared" si="499"/>
        <v>-160</v>
      </c>
      <c r="AN1125" s="218"/>
      <c r="AO1125" s="49"/>
      <c r="AP1125" s="49" t="s">
        <v>279</v>
      </c>
      <c r="AQ1125" s="84" t="s">
        <v>155</v>
      </c>
      <c r="AR1125" s="49"/>
      <c r="AS1125" s="55">
        <v>-0.35</v>
      </c>
      <c r="AT1125" s="55">
        <f t="shared" si="500"/>
        <v>0</v>
      </c>
      <c r="AU1125" s="54">
        <f t="shared" si="501"/>
        <v>0</v>
      </c>
      <c r="AV1125" s="56">
        <f t="shared" si="502"/>
        <v>0</v>
      </c>
      <c r="AW1125" s="57" t="s">
        <v>155</v>
      </c>
      <c r="AX1125" s="153" t="s">
        <v>3343</v>
      </c>
      <c r="AY1125" s="153" t="s">
        <v>3344</v>
      </c>
      <c r="AZ1125" s="153"/>
      <c r="BA1125" s="153"/>
      <c r="BB1125" s="153"/>
      <c r="BC1125" s="153"/>
      <c r="BD1125" s="151"/>
      <c r="BE1125" s="152"/>
      <c r="BF1125" s="151"/>
      <c r="BG1125" s="94">
        <f>SUM($AV$1035:AV1125)</f>
        <v>-226.0857142857314</v>
      </c>
      <c r="BH1125" s="95">
        <f>SUM($AU$1035:AU1125)</f>
        <v>-435.00000000002274</v>
      </c>
      <c r="BI1125" s="80">
        <f>SUMIFS($AU$1035:AU1254,$Q$1035:Q1254,"F")</f>
        <v>112.00000000000057</v>
      </c>
      <c r="BJ1125" s="80">
        <f>SUMIFS($AU$1035:AU1254,$Q$1035:Q1254,"S")</f>
        <v>-15.999999999994088</v>
      </c>
      <c r="BK1125" s="87">
        <f>SUMIFS($AU$1035:AU1254,$P$1035:P1254,"W")</f>
        <v>-960.00000000003297</v>
      </c>
      <c r="BL1125" s="87">
        <f>SUMIFS($AU$1035:AU1254,$P$1035:P1254,"R")</f>
        <v>1024.0000000000007</v>
      </c>
      <c r="BM1125" s="87">
        <f>SUMIFS($AU$1035:AU1254,$AQ$1035:AQ1254,"M")</f>
        <v>-899.79999999984489</v>
      </c>
      <c r="BN1125" s="87">
        <f>SUMIFS($AU$1035:AU1254,$AQ$1035:AQ1254,"H")</f>
        <v>1583.9999999998265</v>
      </c>
      <c r="BO1125" s="87">
        <f>SUMIFS($AU$1035:AU1254,$AQ$1035:AQ1254,"D")</f>
        <v>-479.9999999999896</v>
      </c>
      <c r="BP1125" s="87">
        <f>SUMIFS($AS$1035:AS1342,$AO$1035:AO1342,"W")</f>
        <v>0</v>
      </c>
      <c r="BQ1125" s="87">
        <f>SUMIFS($AU$1035:AU1254,$Q$1035:Q1254,"O")</f>
        <v>-1079.7999999999552</v>
      </c>
      <c r="BR1125" s="87">
        <f>SUMIFS($AU$1035:AU1254,$AA$1035:AA1254,"*")</f>
        <v>-499.79999999992333</v>
      </c>
      <c r="BS1125" s="87">
        <f>SUMIFS($AU$1035:AU1254,$AB$1035:AB1254,"*")</f>
        <v>-724.00000000009095</v>
      </c>
      <c r="BT1125" s="87">
        <f>SUMIFS($AU$1035:AU1254,$AC$1035:AC1254,"*")</f>
        <v>112.00000000000097</v>
      </c>
      <c r="BU1125" s="87">
        <f>SUMIFS($AU$1035:AU1254,$AA$1035:AA1254,"*",$AB$1035:AB1254,"*")</f>
        <v>47.999999999934744</v>
      </c>
      <c r="BV1125" s="87">
        <f>SUMIFS($AU$1035:AU1254,$AA$1035:AA1254,"*",$AC$1035:AC1254,"*")</f>
        <v>-335.99999999999977</v>
      </c>
      <c r="BW1125" s="87">
        <f>SUMIFS($AU$1035:AU1254,$AB$1035:AB1254,"*",$AC$1035:AC1254,"*")</f>
        <v>-143.99999999999966</v>
      </c>
      <c r="BX1125" s="87">
        <f>SUMIFS($AV$1035:AV1254,$Q$1035:Q1254,"F")</f>
        <v>34.153846153846246</v>
      </c>
      <c r="BY1125" s="87">
        <f>SUMIFS($AV$1035:AV1254,$Q$1035:Q1254,"S")</f>
        <v>20.914285714286223</v>
      </c>
      <c r="BZ1125" s="87">
        <f>SUMIFS($AV$1035:AV1254,$Q$1035:Q1254,"O")</f>
        <v>-445.13333333327751</v>
      </c>
    </row>
    <row r="1126" spans="1:78" ht="15.75" customHeight="1">
      <c r="A1126" s="45" t="s">
        <v>3276</v>
      </c>
      <c r="B1126" s="59">
        <v>45565</v>
      </c>
      <c r="C1126" s="46" t="s">
        <v>1523</v>
      </c>
      <c r="D1126" s="46" t="s">
        <v>176</v>
      </c>
      <c r="E1126" s="66"/>
      <c r="F1126" s="47"/>
      <c r="G1126" s="104" t="s">
        <v>2821</v>
      </c>
      <c r="H1126" s="49"/>
      <c r="I1126" s="49"/>
      <c r="J1126" s="49"/>
      <c r="K1126" s="50"/>
      <c r="L1126" s="49"/>
      <c r="M1126" s="49"/>
      <c r="N1126" s="49"/>
      <c r="O1126" s="50" t="s">
        <v>100</v>
      </c>
      <c r="P1126" s="50" t="s">
        <v>101</v>
      </c>
      <c r="Q1126" s="50" t="s">
        <v>102</v>
      </c>
      <c r="R1126" s="50">
        <v>12</v>
      </c>
      <c r="S1126" s="50">
        <v>7</v>
      </c>
      <c r="T1126" s="50">
        <v>5</v>
      </c>
      <c r="U1126" s="50" t="s">
        <v>102</v>
      </c>
      <c r="V1126" s="50" t="s">
        <v>2906</v>
      </c>
      <c r="W1126" s="50" t="s">
        <v>155</v>
      </c>
      <c r="X1126" s="50" t="s">
        <v>3026</v>
      </c>
      <c r="Y1126" s="51">
        <f t="shared" ref="Y1126" si="505">IF(ISBLANK(O1126),"",(IF(O1126=UPPER("IB"),0.005,0.01)))</f>
        <v>0.01</v>
      </c>
      <c r="Z1126" s="52">
        <f t="shared" ref="Z1126" si="506">IF(ISBLANK(O1126),"",IF(O1126="IB",8.63*200,IF(O1126="IR",16*100,IF(O1126="YT",20*100,IF(O1126="YT-XT",24*200,IF(O1126="TED",80*100,IF(O1126="XT",29*200)))))))</f>
        <v>1600</v>
      </c>
      <c r="AA1126" s="52" t="s">
        <v>289</v>
      </c>
      <c r="AB1126" s="52" t="s">
        <v>3345</v>
      </c>
      <c r="AC1126" s="52"/>
      <c r="AD1126" s="231">
        <v>-0.47</v>
      </c>
      <c r="AE1126" s="49"/>
      <c r="AF1126" s="84"/>
      <c r="AG1126" s="49"/>
      <c r="AH1126" s="49"/>
      <c r="AI1126" s="49"/>
      <c r="AJ1126" s="226"/>
      <c r="AK1126" s="49"/>
      <c r="AL1126" s="113">
        <f t="shared" si="498"/>
        <v>-32</v>
      </c>
      <c r="AM1126" s="113">
        <f t="shared" si="499"/>
        <v>-160</v>
      </c>
      <c r="AN1126" s="218"/>
      <c r="AO1126" s="49"/>
      <c r="AP1126" s="49" t="s">
        <v>279</v>
      </c>
      <c r="AQ1126" s="84" t="s">
        <v>155</v>
      </c>
      <c r="AR1126" s="49"/>
      <c r="AS1126" s="55">
        <f>((-0.45*7)+(-0.46*5))/12</f>
        <v>-0.45416666666666666</v>
      </c>
      <c r="AT1126" s="55">
        <f t="shared" si="500"/>
        <v>-1.583333333333331E-2</v>
      </c>
      <c r="AU1126" s="54">
        <f t="shared" si="501"/>
        <v>-303.99999999999955</v>
      </c>
      <c r="AV1126" s="56">
        <f t="shared" si="502"/>
        <v>-25.333333333333297</v>
      </c>
      <c r="AW1126" s="57" t="s">
        <v>121</v>
      </c>
      <c r="AX1126" s="153"/>
      <c r="AY1126" s="153"/>
      <c r="AZ1126" s="153"/>
      <c r="BA1126" s="153"/>
      <c r="BB1126" s="153"/>
      <c r="BC1126" s="153"/>
      <c r="BD1126" s="151"/>
      <c r="BE1126" s="152"/>
      <c r="BF1126" s="151"/>
      <c r="BG1126" s="94">
        <f>SUM($AV$1035:AV1126)</f>
        <v>-251.41904761906468</v>
      </c>
      <c r="BH1126" s="95">
        <f>SUM($AU$1035:AU1126)</f>
        <v>-739.00000000002228</v>
      </c>
      <c r="BI1126" s="80">
        <f>SUMIFS($AU$1035:AU1255,$Q$1035:Q1255,"F")</f>
        <v>112.00000000000057</v>
      </c>
      <c r="BJ1126" s="80">
        <f>SUMIFS($AU$1035:AU1255,$Q$1035:Q1255,"S")</f>
        <v>-15.999999999994088</v>
      </c>
      <c r="BK1126" s="87">
        <f>SUMIFS($AU$1035:AU1255,$P$1035:P1255,"W")</f>
        <v>-960.00000000003297</v>
      </c>
      <c r="BL1126" s="87">
        <f>SUMIFS($AU$1035:AU1255,$P$1035:P1255,"R")</f>
        <v>1024.0000000000007</v>
      </c>
      <c r="BM1126" s="87">
        <f>SUMIFS($AU$1035:AU1255,$AQ$1035:AQ1255,"M")</f>
        <v>-899.79999999984489</v>
      </c>
      <c r="BN1126" s="87">
        <f>SUMIFS($AU$1035:AU1255,$AQ$1035:AQ1255,"H")</f>
        <v>1583.9999999998265</v>
      </c>
      <c r="BO1126" s="87">
        <f>SUMIFS($AU$1035:AU1255,$AQ$1035:AQ1255,"D")</f>
        <v>-479.9999999999896</v>
      </c>
      <c r="BP1126" s="87">
        <f>SUMIFS($AS$1035:AS1343,$AO$1035:AO1343,"W")</f>
        <v>0</v>
      </c>
      <c r="BQ1126" s="87">
        <f>SUMIFS($AU$1035:AU1255,$Q$1035:Q1255,"O")</f>
        <v>-1079.7999999999552</v>
      </c>
      <c r="BR1126" s="87">
        <f>SUMIFS($AU$1035:AU1255,$AA$1035:AA1255,"*")</f>
        <v>-499.79999999992333</v>
      </c>
      <c r="BS1126" s="87">
        <f>SUMIFS($AU$1035:AU1255,$AB$1035:AB1255,"*")</f>
        <v>-724.00000000009095</v>
      </c>
      <c r="BT1126" s="87">
        <f>SUMIFS($AU$1035:AU1255,$AC$1035:AC1255,"*")</f>
        <v>112.00000000000097</v>
      </c>
      <c r="BU1126" s="87">
        <f>SUMIFS($AU$1035:AU1255,$AA$1035:AA1255,"*",$AB$1035:AB1255,"*")</f>
        <v>47.999999999934744</v>
      </c>
      <c r="BV1126" s="87">
        <f>SUMIFS($AU$1035:AU1255,$AA$1035:AA1255,"*",$AC$1035:AC1255,"*")</f>
        <v>-335.99999999999977</v>
      </c>
      <c r="BW1126" s="87">
        <f>SUMIFS($AU$1035:AU1255,$AB$1035:AB1255,"*",$AC$1035:AC1255,"*")</f>
        <v>-143.99999999999966</v>
      </c>
      <c r="BX1126" s="87">
        <f>SUMIFS($AV$1035:AV1255,$Q$1035:Q1255,"F")</f>
        <v>34.153846153846246</v>
      </c>
      <c r="BY1126" s="87">
        <f>SUMIFS($AV$1035:AV1255,$Q$1035:Q1255,"S")</f>
        <v>20.914285714286223</v>
      </c>
      <c r="BZ1126" s="87">
        <f>SUMIFS($AV$1035:AV1255,$Q$1035:Q1255,"O")</f>
        <v>-445.13333333327751</v>
      </c>
    </row>
    <row r="1127" spans="1:78" ht="15.75" customHeight="1">
      <c r="A1127" s="45" t="s">
        <v>3276</v>
      </c>
      <c r="B1127" s="59"/>
      <c r="C1127" s="46"/>
      <c r="D1127" s="46"/>
      <c r="E1127" s="66"/>
      <c r="F1127" s="47"/>
      <c r="G1127" s="48"/>
      <c r="H1127" s="49"/>
      <c r="I1127" s="49"/>
      <c r="J1127" s="49"/>
      <c r="K1127" s="50"/>
      <c r="L1127" s="49"/>
      <c r="M1127" s="49"/>
      <c r="N1127" s="49"/>
      <c r="O1127" s="50"/>
      <c r="P1127" s="50"/>
      <c r="Q1127" s="50"/>
      <c r="R1127" s="50"/>
      <c r="S1127" s="50"/>
      <c r="T1127" s="50"/>
      <c r="U1127" s="50"/>
      <c r="V1127" s="50"/>
      <c r="W1127" s="50"/>
      <c r="X1127" s="50"/>
      <c r="Y1127" s="51"/>
      <c r="Z1127" s="52"/>
      <c r="AA1127" s="52"/>
      <c r="AB1127" s="52"/>
      <c r="AC1127" s="52"/>
      <c r="AD1127" s="231"/>
      <c r="AE1127" s="49"/>
      <c r="AF1127" s="84"/>
      <c r="AG1127" s="49"/>
      <c r="AH1127" s="49"/>
      <c r="AI1127" s="49"/>
      <c r="AJ1127" s="226"/>
      <c r="AK1127" s="49"/>
      <c r="AL1127" s="113">
        <f t="shared" si="498"/>
        <v>0</v>
      </c>
      <c r="AM1127" s="113">
        <f t="shared" si="499"/>
        <v>0</v>
      </c>
      <c r="AN1127" s="218"/>
      <c r="AO1127" s="49"/>
      <c r="AP1127" s="49"/>
      <c r="AQ1127" s="84" t="str">
        <f>UPPER(RIGHT(Journal_Live[[#This Row],[DURATION ]]))</f>
        <v/>
      </c>
      <c r="AR1127" s="49"/>
      <c r="AS1127" s="55"/>
      <c r="AT1127" s="55">
        <f t="shared" si="500"/>
        <v>0</v>
      </c>
      <c r="AU1127" s="54">
        <f t="shared" si="501"/>
        <v>0</v>
      </c>
      <c r="AV1127" s="56">
        <f t="shared" si="502"/>
        <v>0</v>
      </c>
      <c r="AW1127" s="57"/>
      <c r="AX1127" s="153" t="s">
        <v>3346</v>
      </c>
      <c r="AY1127" s="153" t="s">
        <v>3347</v>
      </c>
      <c r="AZ1127" s="153"/>
      <c r="BA1127" s="153"/>
      <c r="BB1127" s="153"/>
      <c r="BC1127" s="153"/>
      <c r="BD1127" s="151"/>
      <c r="BE1127" s="152"/>
      <c r="BF1127" s="151"/>
      <c r="BG1127" s="94">
        <f>SUM($AV$1035:AV1127)</f>
        <v>-251.41904761906468</v>
      </c>
      <c r="BH1127" s="95">
        <f>SUM($AU$1035:AU1127)</f>
        <v>-739.00000000002228</v>
      </c>
      <c r="BI1127" s="80">
        <f>SUMIFS($AU$1035:AU1256,$Q$1035:Q1256,"F")</f>
        <v>112.00000000000057</v>
      </c>
      <c r="BJ1127" s="80">
        <f>SUMIFS($AU$1035:AU1256,$Q$1035:Q1256,"S")</f>
        <v>-15.999999999994088</v>
      </c>
      <c r="BK1127" s="87">
        <f>SUMIFS($AU$1035:AU1256,$P$1035:P1256,"W")</f>
        <v>-960.00000000003297</v>
      </c>
      <c r="BL1127" s="87">
        <f>SUMIFS($AU$1035:AU1256,$P$1035:P1256,"R")</f>
        <v>1024.0000000000007</v>
      </c>
      <c r="BM1127" s="87">
        <f>SUMIFS($AU$1035:AU1256,$AQ$1035:AQ1256,"M")</f>
        <v>-899.79999999984489</v>
      </c>
      <c r="BN1127" s="87">
        <f>SUMIFS($AU$1035:AU1256,$AQ$1035:AQ1256,"H")</f>
        <v>1583.9999999998265</v>
      </c>
      <c r="BO1127" s="87">
        <f>SUMIFS($AU$1035:AU1256,$AQ$1035:AQ1256,"D")</f>
        <v>-479.9999999999896</v>
      </c>
      <c r="BP1127" s="87">
        <f>SUMIFS($AS$1035:AS1344,$AO$1035:AO1344,"W")</f>
        <v>0</v>
      </c>
      <c r="BQ1127" s="87">
        <f>SUMIFS($AU$1035:AU1256,$Q$1035:Q1256,"O")</f>
        <v>-1079.7999999999552</v>
      </c>
      <c r="BR1127" s="87">
        <f>SUMIFS($AU$1035:AU1256,$AA$1035:AA1256,"*")</f>
        <v>-499.79999999992333</v>
      </c>
      <c r="BS1127" s="87">
        <f>SUMIFS($AU$1035:AU1256,$AB$1035:AB1256,"*")</f>
        <v>-724.00000000009095</v>
      </c>
      <c r="BT1127" s="87">
        <f>SUMIFS($AU$1035:AU1256,$AC$1035:AC1256,"*")</f>
        <v>112.00000000000097</v>
      </c>
      <c r="BU1127" s="87">
        <f>SUMIFS($AU$1035:AU1256,$AA$1035:AA1256,"*",$AB$1035:AB1256,"*")</f>
        <v>47.999999999934744</v>
      </c>
      <c r="BV1127" s="87">
        <f>SUMIFS($AU$1035:AU1256,$AA$1035:AA1256,"*",$AC$1035:AC1256,"*")</f>
        <v>-335.99999999999977</v>
      </c>
      <c r="BW1127" s="87">
        <f>SUMIFS($AU$1035:AU1256,$AB$1035:AB1256,"*",$AC$1035:AC1256,"*")</f>
        <v>-143.99999999999966</v>
      </c>
      <c r="BX1127" s="87">
        <f>SUMIFS($AV$1035:AV1256,$Q$1035:Q1256,"F")</f>
        <v>34.153846153846246</v>
      </c>
      <c r="BY1127" s="87">
        <f>SUMIFS($AV$1035:AV1256,$Q$1035:Q1256,"S")</f>
        <v>20.914285714286223</v>
      </c>
      <c r="BZ1127" s="87">
        <f>SUMIFS($AV$1035:AV1256,$Q$1035:Q1256,"O")</f>
        <v>-445.13333333327751</v>
      </c>
    </row>
    <row r="1128" spans="1:78" ht="15.75" customHeight="1">
      <c r="A1128" s="45" t="s">
        <v>3276</v>
      </c>
      <c r="B1128" s="59"/>
      <c r="C1128" s="46"/>
      <c r="D1128" s="46"/>
      <c r="E1128" s="66"/>
      <c r="F1128" s="47"/>
      <c r="G1128" s="48"/>
      <c r="H1128" s="49"/>
      <c r="I1128" s="49"/>
      <c r="J1128" s="49"/>
      <c r="K1128" s="50"/>
      <c r="L1128" s="49"/>
      <c r="M1128" s="49"/>
      <c r="N1128" s="49"/>
      <c r="O1128" s="50"/>
      <c r="P1128" s="50"/>
      <c r="Q1128" s="50"/>
      <c r="R1128" s="50"/>
      <c r="S1128" s="50"/>
      <c r="T1128" s="50"/>
      <c r="U1128" s="50"/>
      <c r="V1128" s="50"/>
      <c r="W1128" s="50"/>
      <c r="X1128" s="50"/>
      <c r="Y1128" s="51"/>
      <c r="Z1128" s="52"/>
      <c r="AA1128" s="52"/>
      <c r="AB1128" s="52"/>
      <c r="AC1128" s="52"/>
      <c r="AD1128" s="231"/>
      <c r="AE1128" s="49"/>
      <c r="AF1128" s="84"/>
      <c r="AG1128" s="49"/>
      <c r="AH1128" s="49"/>
      <c r="AI1128" s="49"/>
      <c r="AJ1128" s="226"/>
      <c r="AK1128" s="49"/>
      <c r="AL1128" s="113">
        <f t="shared" si="498"/>
        <v>0</v>
      </c>
      <c r="AM1128" s="113">
        <f t="shared" si="499"/>
        <v>0</v>
      </c>
      <c r="AN1128" s="218"/>
      <c r="AO1128" s="49"/>
      <c r="AP1128" s="49"/>
      <c r="AQ1128" s="84" t="str">
        <f>UPPER(RIGHT(Journal_Live[[#This Row],[DURATION ]]))</f>
        <v/>
      </c>
      <c r="AR1128" s="49"/>
      <c r="AS1128" s="55"/>
      <c r="AT1128" s="55">
        <f t="shared" si="500"/>
        <v>0</v>
      </c>
      <c r="AU1128" s="54">
        <f t="shared" si="501"/>
        <v>0</v>
      </c>
      <c r="AV1128" s="56">
        <f t="shared" si="502"/>
        <v>0</v>
      </c>
      <c r="AW1128" s="57"/>
      <c r="AX1128" s="153"/>
      <c r="AY1128" s="153"/>
      <c r="AZ1128" s="153"/>
      <c r="BA1128" s="153"/>
      <c r="BB1128" s="153"/>
      <c r="BC1128" s="153"/>
      <c r="BD1128" s="151"/>
      <c r="BE1128" s="152"/>
      <c r="BF1128" s="151"/>
      <c r="BG1128" s="94">
        <f>SUM($AV$1035:AV1128)</f>
        <v>-251.41904761906468</v>
      </c>
      <c r="BH1128" s="95">
        <f>SUM($AU$1035:AU1128)</f>
        <v>-739.00000000002228</v>
      </c>
      <c r="BI1128" s="80">
        <f>SUMIFS($AU$1035:AU1257,$Q$1035:Q1257,"F")</f>
        <v>112.00000000000057</v>
      </c>
      <c r="BJ1128" s="80">
        <f>SUMIFS($AU$1035:AU1257,$Q$1035:Q1257,"S")</f>
        <v>-15.999999999994088</v>
      </c>
      <c r="BK1128" s="87">
        <f>SUMIFS($AU$1035:AU1257,$P$1035:P1257,"W")</f>
        <v>-960.00000000003297</v>
      </c>
      <c r="BL1128" s="87">
        <f>SUMIFS($AU$1035:AU1257,$P$1035:P1257,"R")</f>
        <v>1024.0000000000007</v>
      </c>
      <c r="BM1128" s="87">
        <f>SUMIFS($AU$1035:AU1257,$AQ$1035:AQ1257,"M")</f>
        <v>-899.79999999984489</v>
      </c>
      <c r="BN1128" s="87">
        <f>SUMIFS($AU$1035:AU1257,$AQ$1035:AQ1257,"H")</f>
        <v>1583.9999999998265</v>
      </c>
      <c r="BO1128" s="87">
        <f>SUMIFS($AU$1035:AU1257,$AQ$1035:AQ1257,"D")</f>
        <v>-479.9999999999896</v>
      </c>
      <c r="BP1128" s="87">
        <f>SUMIFS($AS$1035:AS1345,$AO$1035:AO1345,"W")</f>
        <v>0</v>
      </c>
      <c r="BQ1128" s="87">
        <f>SUMIFS($AU$1035:AU1257,$Q$1035:Q1257,"O")</f>
        <v>-1079.7999999999552</v>
      </c>
      <c r="BR1128" s="87">
        <f>SUMIFS($AU$1035:AU1257,$AA$1035:AA1257,"*")</f>
        <v>-499.79999999992333</v>
      </c>
      <c r="BS1128" s="87">
        <f>SUMIFS($AU$1035:AU1257,$AB$1035:AB1257,"*")</f>
        <v>-724.00000000009095</v>
      </c>
      <c r="BT1128" s="87">
        <f>SUMIFS($AU$1035:AU1257,$AC$1035:AC1257,"*")</f>
        <v>112.00000000000097</v>
      </c>
      <c r="BU1128" s="87">
        <f>SUMIFS($AU$1035:AU1257,$AA$1035:AA1257,"*",$AB$1035:AB1257,"*")</f>
        <v>47.999999999934744</v>
      </c>
      <c r="BV1128" s="87">
        <f>SUMIFS($AU$1035:AU1257,$AA$1035:AA1257,"*",$AC$1035:AC1257,"*")</f>
        <v>-335.99999999999977</v>
      </c>
      <c r="BW1128" s="87">
        <f>SUMIFS($AU$1035:AU1257,$AB$1035:AB1257,"*",$AC$1035:AC1257,"*")</f>
        <v>-143.99999999999966</v>
      </c>
      <c r="BX1128" s="87">
        <f>SUMIFS($AV$1035:AV1257,$Q$1035:Q1257,"F")</f>
        <v>34.153846153846246</v>
      </c>
      <c r="BY1128" s="87">
        <f>SUMIFS($AV$1035:AV1257,$Q$1035:Q1257,"S")</f>
        <v>20.914285714286223</v>
      </c>
      <c r="BZ1128" s="87">
        <f>SUMIFS($AV$1035:AV1257,$Q$1035:Q1257,"O")</f>
        <v>-445.13333333327751</v>
      </c>
    </row>
    <row r="1129" spans="1:78" ht="15.75" customHeight="1">
      <c r="A1129" s="45" t="s">
        <v>3276</v>
      </c>
      <c r="B1129" s="59"/>
      <c r="C1129" s="46"/>
      <c r="D1129" s="46"/>
      <c r="E1129" s="66"/>
      <c r="F1129" s="47"/>
      <c r="G1129" s="48"/>
      <c r="H1129" s="49"/>
      <c r="I1129" s="49"/>
      <c r="J1129" s="49"/>
      <c r="K1129" s="50"/>
      <c r="L1129" s="49"/>
      <c r="M1129" s="49"/>
      <c r="N1129" s="49"/>
      <c r="O1129" s="50"/>
      <c r="P1129" s="50"/>
      <c r="Q1129" s="50"/>
      <c r="R1129" s="50"/>
      <c r="S1129" s="50"/>
      <c r="T1129" s="50"/>
      <c r="U1129" s="50"/>
      <c r="V1129" s="50"/>
      <c r="W1129" s="50"/>
      <c r="X1129" s="50"/>
      <c r="Y1129" s="51"/>
      <c r="Z1129" s="52"/>
      <c r="AA1129" s="52"/>
      <c r="AB1129" s="52"/>
      <c r="AC1129" s="52"/>
      <c r="AD1129" s="231"/>
      <c r="AE1129" s="49"/>
      <c r="AF1129" s="84"/>
      <c r="AG1129" s="49"/>
      <c r="AH1129" s="49"/>
      <c r="AI1129" s="49"/>
      <c r="AJ1129" s="226"/>
      <c r="AK1129" s="49"/>
      <c r="AL1129" s="113">
        <f t="shared" si="491"/>
        <v>0</v>
      </c>
      <c r="AM1129" s="113">
        <f t="shared" si="492"/>
        <v>0</v>
      </c>
      <c r="AN1129" s="218"/>
      <c r="AO1129" s="49"/>
      <c r="AP1129" s="49"/>
      <c r="AQ1129" s="84" t="str">
        <f>UPPER(RIGHT(Journal_Live[[#This Row],[DURATION ]]))</f>
        <v/>
      </c>
      <c r="AR1129" s="49"/>
      <c r="AS1129" s="55"/>
      <c r="AT1129" s="55">
        <f t="shared" si="493"/>
        <v>0</v>
      </c>
      <c r="AU1129" s="54">
        <f t="shared" si="494"/>
        <v>0</v>
      </c>
      <c r="AV1129" s="56">
        <f t="shared" si="495"/>
        <v>0</v>
      </c>
      <c r="AW1129" s="57"/>
      <c r="AX1129" s="153"/>
      <c r="AY1129" s="153"/>
      <c r="AZ1129" s="153"/>
      <c r="BA1129" s="153"/>
      <c r="BB1129" s="153"/>
      <c r="BC1129" s="153"/>
      <c r="BD1129" s="151"/>
      <c r="BE1129" s="152"/>
      <c r="BF1129" s="151"/>
      <c r="BG1129" s="94">
        <f>SUM($AV$1035:AV1129)</f>
        <v>-251.41904761906468</v>
      </c>
      <c r="BH1129" s="95">
        <f>SUM($AU$1035:AU1129)</f>
        <v>-739.00000000002228</v>
      </c>
      <c r="BI1129" s="80">
        <f>SUMIFS($AU$1035:AU1258,$Q$1035:Q1258,"F")</f>
        <v>112.00000000000057</v>
      </c>
      <c r="BJ1129" s="80">
        <f>SUMIFS($AU$1035:AU1258,$Q$1035:Q1258,"S")</f>
        <v>-15.999999999994088</v>
      </c>
      <c r="BK1129" s="87">
        <f>SUMIFS($AU$1035:AU1258,$P$1035:P1258,"W")</f>
        <v>-960.00000000003297</v>
      </c>
      <c r="BL1129" s="87">
        <f>SUMIFS($AU$1035:AU1258,$P$1035:P1258,"R")</f>
        <v>1024.0000000000007</v>
      </c>
      <c r="BM1129" s="87">
        <f>SUMIFS($AU$1035:AU1258,$AQ$1035:AQ1258,"M")</f>
        <v>-899.79999999984489</v>
      </c>
      <c r="BN1129" s="87">
        <f>SUMIFS($AU$1035:AU1258,$AQ$1035:AQ1258,"H")</f>
        <v>1583.9999999998265</v>
      </c>
      <c r="BO1129" s="87">
        <f>SUMIFS($AU$1035:AU1258,$AQ$1035:AQ1258,"D")</f>
        <v>-479.9999999999896</v>
      </c>
      <c r="BP1129" s="87">
        <f>SUMIFS($AS$1035:AS1346,$AO$1035:AO1346,"W")</f>
        <v>0</v>
      </c>
      <c r="BQ1129" s="87">
        <f>SUMIFS($AU$1035:AU1258,$Q$1035:Q1258,"O")</f>
        <v>-1079.7999999999552</v>
      </c>
      <c r="BR1129" s="87">
        <f>SUMIFS($AU$1035:AU1258,$AA$1035:AA1258,"*")</f>
        <v>-499.79999999992333</v>
      </c>
      <c r="BS1129" s="87">
        <f>SUMIFS($AU$1035:AU1258,$AB$1035:AB1258,"*")</f>
        <v>-724.00000000009095</v>
      </c>
      <c r="BT1129" s="87">
        <f>SUMIFS($AU$1035:AU1258,$AC$1035:AC1258,"*")</f>
        <v>112.00000000000097</v>
      </c>
      <c r="BU1129" s="87">
        <f>SUMIFS($AU$1035:AU1258,$AA$1035:AA1258,"*",$AB$1035:AB1258,"*")</f>
        <v>47.999999999934744</v>
      </c>
      <c r="BV1129" s="87">
        <f>SUMIFS($AU$1035:AU1258,$AA$1035:AA1258,"*",$AC$1035:AC1258,"*")</f>
        <v>-335.99999999999977</v>
      </c>
      <c r="BW1129" s="87">
        <f>SUMIFS($AU$1035:AU1258,$AB$1035:AB1258,"*",$AC$1035:AC1258,"*")</f>
        <v>-143.99999999999966</v>
      </c>
      <c r="BX1129" s="87">
        <f>SUMIFS($AV$1035:AV1258,$Q$1035:Q1258,"F")</f>
        <v>34.153846153846246</v>
      </c>
      <c r="BY1129" s="87">
        <f>SUMIFS($AV$1035:AV1258,$Q$1035:Q1258,"S")</f>
        <v>20.914285714286223</v>
      </c>
      <c r="BZ1129" s="87">
        <f>SUMIFS($AV$1035:AV1258,$Q$1035:Q1258,"O")</f>
        <v>-445.13333333327751</v>
      </c>
    </row>
    <row r="1130" spans="1:78" ht="15.75" customHeight="1">
      <c r="A1130" s="45" t="s">
        <v>3276</v>
      </c>
      <c r="B1130" s="59"/>
      <c r="C1130" s="46"/>
      <c r="D1130" s="46"/>
      <c r="E1130" s="66"/>
      <c r="F1130" s="47"/>
      <c r="G1130" s="48"/>
      <c r="H1130" s="49"/>
      <c r="I1130" s="49"/>
      <c r="J1130" s="49"/>
      <c r="K1130" s="50"/>
      <c r="L1130" s="49"/>
      <c r="M1130" s="49"/>
      <c r="N1130" s="49"/>
      <c r="O1130" s="50"/>
      <c r="P1130" s="50"/>
      <c r="Q1130" s="50"/>
      <c r="R1130" s="50"/>
      <c r="S1130" s="50"/>
      <c r="T1130" s="50"/>
      <c r="U1130" s="50"/>
      <c r="V1130" s="50"/>
      <c r="W1130" s="50"/>
      <c r="X1130" s="50"/>
      <c r="Y1130" s="51"/>
      <c r="Z1130" s="52"/>
      <c r="AA1130" s="52"/>
      <c r="AB1130" s="52"/>
      <c r="AC1130" s="52"/>
      <c r="AD1130" s="231"/>
      <c r="AE1130" s="49"/>
      <c r="AF1130" s="84"/>
      <c r="AG1130" s="49"/>
      <c r="AH1130" s="49"/>
      <c r="AI1130" s="49"/>
      <c r="AJ1130" s="226"/>
      <c r="AK1130" s="49"/>
      <c r="AL1130" s="113">
        <f t="shared" si="491"/>
        <v>0</v>
      </c>
      <c r="AM1130" s="113">
        <f t="shared" si="492"/>
        <v>0</v>
      </c>
      <c r="AN1130" s="218"/>
      <c r="AO1130" s="49"/>
      <c r="AP1130" s="49"/>
      <c r="AQ1130" s="84" t="str">
        <f>UPPER(RIGHT(Journal_Live[[#This Row],[DURATION ]]))</f>
        <v/>
      </c>
      <c r="AR1130" s="49"/>
      <c r="AS1130" s="55"/>
      <c r="AT1130" s="55">
        <f t="shared" si="493"/>
        <v>0</v>
      </c>
      <c r="AU1130" s="54">
        <f t="shared" si="494"/>
        <v>0</v>
      </c>
      <c r="AV1130" s="56">
        <f t="shared" si="495"/>
        <v>0</v>
      </c>
      <c r="AW1130" s="57"/>
      <c r="AX1130" s="153"/>
      <c r="AY1130" s="153"/>
      <c r="AZ1130" s="153"/>
      <c r="BA1130" s="153"/>
      <c r="BB1130" s="153"/>
      <c r="BC1130" s="153"/>
      <c r="BD1130" s="151"/>
      <c r="BE1130" s="152"/>
      <c r="BF1130" s="151"/>
      <c r="BG1130" s="94">
        <f>SUM($AV$1035:AV1130)</f>
        <v>-251.41904761906468</v>
      </c>
      <c r="BH1130" s="95">
        <f>SUM($AU$1035:AU1130)</f>
        <v>-739.00000000002228</v>
      </c>
      <c r="BI1130" s="80">
        <f>SUMIFS($AU$1035:AU1259,$Q$1035:Q1259,"F")</f>
        <v>112.00000000000057</v>
      </c>
      <c r="BJ1130" s="80">
        <f>SUMIFS($AU$1035:AU1259,$Q$1035:Q1259,"S")</f>
        <v>-15.999999999994088</v>
      </c>
      <c r="BK1130" s="87">
        <f>SUMIFS($AU$1035:AU1259,$P$1035:P1259,"W")</f>
        <v>-960.00000000003297</v>
      </c>
      <c r="BL1130" s="87">
        <f>SUMIFS($AU$1035:AU1259,$P$1035:P1259,"R")</f>
        <v>1024.0000000000007</v>
      </c>
      <c r="BM1130" s="87">
        <f>SUMIFS($AU$1035:AU1259,$AQ$1035:AQ1259,"M")</f>
        <v>-899.79999999984489</v>
      </c>
      <c r="BN1130" s="87">
        <f>SUMIFS($AU$1035:AU1259,$AQ$1035:AQ1259,"H")</f>
        <v>1583.9999999998265</v>
      </c>
      <c r="BO1130" s="87">
        <f>SUMIFS($AU$1035:AU1259,$AQ$1035:AQ1259,"D")</f>
        <v>-479.9999999999896</v>
      </c>
      <c r="BP1130" s="87">
        <f>SUMIFS($AS$1035:AS1347,$AO$1035:AO1347,"W")</f>
        <v>0</v>
      </c>
      <c r="BQ1130" s="87">
        <f>SUMIFS($AU$1035:AU1259,$Q$1035:Q1259,"O")</f>
        <v>-1079.7999999999552</v>
      </c>
      <c r="BR1130" s="87">
        <f>SUMIFS($AU$1035:AU1259,$AA$1035:AA1259,"*")</f>
        <v>-499.79999999992333</v>
      </c>
      <c r="BS1130" s="87">
        <f>SUMIFS($AU$1035:AU1259,$AB$1035:AB1259,"*")</f>
        <v>-724.00000000009095</v>
      </c>
      <c r="BT1130" s="87">
        <f>SUMIFS($AU$1035:AU1259,$AC$1035:AC1259,"*")</f>
        <v>112.00000000000097</v>
      </c>
      <c r="BU1130" s="87">
        <f>SUMIFS($AU$1035:AU1259,$AA$1035:AA1259,"*",$AB$1035:AB1259,"*")</f>
        <v>47.999999999934744</v>
      </c>
      <c r="BV1130" s="87">
        <f>SUMIFS($AU$1035:AU1259,$AA$1035:AA1259,"*",$AC$1035:AC1259,"*")</f>
        <v>-335.99999999999977</v>
      </c>
      <c r="BW1130" s="87">
        <f>SUMIFS($AU$1035:AU1259,$AB$1035:AB1259,"*",$AC$1035:AC1259,"*")</f>
        <v>-143.99999999999966</v>
      </c>
      <c r="BX1130" s="87">
        <f>SUMIFS($AV$1035:AV1259,$Q$1035:Q1259,"F")</f>
        <v>34.153846153846246</v>
      </c>
      <c r="BY1130" s="87">
        <f>SUMIFS($AV$1035:AV1259,$Q$1035:Q1259,"S")</f>
        <v>20.914285714286223</v>
      </c>
      <c r="BZ1130" s="87">
        <f>SUMIFS($AV$1035:AV1259,$Q$1035:Q1259,"O")</f>
        <v>-445.13333333327751</v>
      </c>
    </row>
    <row r="1131" spans="1:78" ht="15.75" customHeight="1">
      <c r="A1131" s="45" t="s">
        <v>3276</v>
      </c>
      <c r="B1131" s="59"/>
      <c r="C1131" s="46"/>
      <c r="D1131" s="46"/>
      <c r="E1131" s="66"/>
      <c r="F1131" s="47"/>
      <c r="G1131" s="48"/>
      <c r="H1131" s="49"/>
      <c r="I1131" s="49"/>
      <c r="J1131" s="49"/>
      <c r="K1131" s="50"/>
      <c r="L1131" s="49"/>
      <c r="M1131" s="49"/>
      <c r="N1131" s="49"/>
      <c r="O1131" s="50"/>
      <c r="P1131" s="50"/>
      <c r="Q1131" s="50"/>
      <c r="R1131" s="50"/>
      <c r="S1131" s="50"/>
      <c r="T1131" s="50"/>
      <c r="U1131" s="50"/>
      <c r="V1131" s="50"/>
      <c r="W1131" s="50"/>
      <c r="X1131" s="50"/>
      <c r="Y1131" s="51"/>
      <c r="Z1131" s="52"/>
      <c r="AA1131" s="52"/>
      <c r="AB1131" s="52"/>
      <c r="AC1131" s="52"/>
      <c r="AD1131" s="231"/>
      <c r="AE1131" s="49"/>
      <c r="AF1131" s="84"/>
      <c r="AG1131" s="49"/>
      <c r="AH1131" s="49"/>
      <c r="AI1131" s="49"/>
      <c r="AJ1131" s="226"/>
      <c r="AK1131" s="49"/>
      <c r="AL1131" s="113">
        <f t="shared" si="465"/>
        <v>0</v>
      </c>
      <c r="AM1131" s="113">
        <f t="shared" si="468"/>
        <v>0</v>
      </c>
      <c r="AN1131" s="218"/>
      <c r="AO1131" s="49"/>
      <c r="AP1131" s="49"/>
      <c r="AQ1131" s="84" t="str">
        <f>UPPER(RIGHT(Journal_Live[[#This Row],[DURATION ]]))</f>
        <v/>
      </c>
      <c r="AR1131" s="49"/>
      <c r="AS1131" s="55"/>
      <c r="AT1131" s="55">
        <f t="shared" si="469"/>
        <v>0</v>
      </c>
      <c r="AU1131" s="54">
        <f t="shared" si="470"/>
        <v>0</v>
      </c>
      <c r="AV1131" s="56">
        <f t="shared" si="466"/>
        <v>0</v>
      </c>
      <c r="AW1131" s="57"/>
      <c r="AX1131" s="153"/>
      <c r="AY1131" s="153"/>
      <c r="AZ1131" s="153"/>
      <c r="BA1131" s="153"/>
      <c r="BB1131" s="153"/>
      <c r="BC1131" s="153"/>
      <c r="BD1131" s="151"/>
      <c r="BE1131" s="152"/>
      <c r="BF1131" s="151"/>
      <c r="BG1131" s="94">
        <f>SUM($AV$1035:AV1131)</f>
        <v>-251.41904761906468</v>
      </c>
      <c r="BH1131" s="95">
        <f>SUM($AU$1035:AU1131)</f>
        <v>-739.00000000002228</v>
      </c>
      <c r="BI1131" s="80">
        <f>SUMIFS($AU$1035:AU1260,$Q$1035:Q1260,"F")</f>
        <v>112.00000000000057</v>
      </c>
      <c r="BJ1131" s="80">
        <f>SUMIFS($AU$1035:AU1260,$Q$1035:Q1260,"S")</f>
        <v>-15.999999999994088</v>
      </c>
      <c r="BK1131" s="87">
        <f>SUMIFS($AU$1035:AU1260,$P$1035:P1260,"W")</f>
        <v>-960.00000000003297</v>
      </c>
      <c r="BL1131" s="87">
        <f>SUMIFS($AU$1035:AU1260,$P$1035:P1260,"R")</f>
        <v>1024.0000000000007</v>
      </c>
      <c r="BM1131" s="87">
        <f>SUMIFS($AU$1035:AU1260,$AQ$1035:AQ1260,"M")</f>
        <v>-899.79999999984489</v>
      </c>
      <c r="BN1131" s="87">
        <f>SUMIFS($AU$1035:AU1260,$AQ$1035:AQ1260,"H")</f>
        <v>1583.9999999998265</v>
      </c>
      <c r="BO1131" s="87">
        <f>SUMIFS($AU$1035:AU1260,$AQ$1035:AQ1260,"D")</f>
        <v>-479.9999999999896</v>
      </c>
      <c r="BP1131" s="87">
        <f>SUMIFS($AS$1035:AS1348,$AO$1035:AO1348,"W")</f>
        <v>0</v>
      </c>
      <c r="BQ1131" s="87">
        <f>SUMIFS($AU$1035:AU1260,$Q$1035:Q1260,"O")</f>
        <v>-1079.7999999999552</v>
      </c>
      <c r="BR1131" s="87">
        <f>SUMIFS($AU$1035:AU1260,$AA$1035:AA1260,"*")</f>
        <v>-499.79999999992333</v>
      </c>
      <c r="BS1131" s="87">
        <f>SUMIFS($AU$1035:AU1260,$AB$1035:AB1260,"*")</f>
        <v>-724.00000000009095</v>
      </c>
      <c r="BT1131" s="87">
        <f>SUMIFS($AU$1035:AU1260,$AC$1035:AC1260,"*")</f>
        <v>112.00000000000097</v>
      </c>
      <c r="BU1131" s="87">
        <f>SUMIFS($AU$1035:AU1260,$AA$1035:AA1260,"*",$AB$1035:AB1260,"*")</f>
        <v>47.999999999934744</v>
      </c>
      <c r="BV1131" s="87">
        <f>SUMIFS($AU$1035:AU1260,$AA$1035:AA1260,"*",$AC$1035:AC1260,"*")</f>
        <v>-335.99999999999977</v>
      </c>
      <c r="BW1131" s="87">
        <f>SUMIFS($AU$1035:AU1260,$AB$1035:AB1260,"*",$AC$1035:AC1260,"*")</f>
        <v>-143.99999999999966</v>
      </c>
      <c r="BX1131" s="87">
        <f>SUMIFS($AV$1035:AV1260,$Q$1035:Q1260,"F")</f>
        <v>34.153846153846246</v>
      </c>
      <c r="BY1131" s="87">
        <f>SUMIFS($AV$1035:AV1260,$Q$1035:Q1260,"S")</f>
        <v>20.914285714286223</v>
      </c>
      <c r="BZ1131" s="87">
        <f>SUMIFS($AV$1035:AV1260,$Q$1035:Q1260,"O")</f>
        <v>-445.13333333327751</v>
      </c>
    </row>
    <row r="1132" spans="1:78" ht="15.75" customHeight="1">
      <c r="A1132" s="45" t="s">
        <v>3276</v>
      </c>
      <c r="B1132" s="59"/>
      <c r="C1132" s="46"/>
      <c r="D1132" s="46"/>
      <c r="E1132" s="66"/>
      <c r="F1132" s="47"/>
      <c r="G1132" s="48"/>
      <c r="H1132" s="49"/>
      <c r="I1132" s="49"/>
      <c r="J1132" s="49"/>
      <c r="K1132" s="50"/>
      <c r="L1132" s="49"/>
      <c r="M1132" s="49"/>
      <c r="N1132" s="49"/>
      <c r="O1132" s="50"/>
      <c r="P1132" s="50"/>
      <c r="Q1132" s="50"/>
      <c r="R1132" s="50"/>
      <c r="S1132" s="50"/>
      <c r="T1132" s="50"/>
      <c r="U1132" s="50"/>
      <c r="V1132" s="50"/>
      <c r="W1132" s="50"/>
      <c r="X1132" s="50"/>
      <c r="Y1132" s="51"/>
      <c r="Z1132" s="52"/>
      <c r="AA1132" s="52"/>
      <c r="AB1132" s="52"/>
      <c r="AC1132" s="52"/>
      <c r="AD1132" s="231"/>
      <c r="AE1132" s="49"/>
      <c r="AF1132" s="84"/>
      <c r="AG1132" s="49"/>
      <c r="AH1132" s="49"/>
      <c r="AI1132" s="49"/>
      <c r="AJ1132" s="226"/>
      <c r="AK1132" s="49"/>
      <c r="AL1132" s="113">
        <f t="shared" si="465"/>
        <v>0</v>
      </c>
      <c r="AM1132" s="113">
        <f t="shared" si="468"/>
        <v>0</v>
      </c>
      <c r="AN1132" s="218"/>
      <c r="AO1132" s="49"/>
      <c r="AP1132" s="49"/>
      <c r="AQ1132" s="84" t="str">
        <f>UPPER(RIGHT(Journal_Live[[#This Row],[DURATION ]]))</f>
        <v/>
      </c>
      <c r="AR1132" s="49"/>
      <c r="AS1132" s="55"/>
      <c r="AT1132" s="55">
        <f t="shared" si="469"/>
        <v>0</v>
      </c>
      <c r="AU1132" s="54">
        <f t="shared" si="470"/>
        <v>0</v>
      </c>
      <c r="AV1132" s="56">
        <f t="shared" si="466"/>
        <v>0</v>
      </c>
      <c r="AW1132" s="57"/>
      <c r="AX1132" s="153"/>
      <c r="AY1132" s="153" t="s">
        <v>3348</v>
      </c>
      <c r="AZ1132" s="119" t="s">
        <v>3349</v>
      </c>
      <c r="BA1132" s="153"/>
      <c r="BB1132" s="153"/>
      <c r="BC1132" s="153"/>
      <c r="BD1132" s="153"/>
      <c r="BE1132" s="152"/>
      <c r="BF1132" s="151"/>
      <c r="BG1132" s="94">
        <f>SUM($AV$1035:AV1132)</f>
        <v>-251.41904761906468</v>
      </c>
      <c r="BH1132" s="95">
        <f>SUM($AU$1035:AU1132)</f>
        <v>-739.00000000002228</v>
      </c>
      <c r="BI1132" s="80">
        <f>SUMIFS($AU$1035:AU1261,$Q$1035:Q1261,"F")</f>
        <v>112.00000000000057</v>
      </c>
      <c r="BJ1132" s="80">
        <f>SUMIFS($AU$1035:AU1261,$Q$1035:Q1261,"S")</f>
        <v>-15.999999999994088</v>
      </c>
      <c r="BK1132" s="87">
        <f>SUMIFS($AU$1035:AU1261,$P$1035:P1261,"W")</f>
        <v>-960.00000000003297</v>
      </c>
      <c r="BL1132" s="87">
        <f>SUMIFS($AU$1035:AU1261,$P$1035:P1261,"R")</f>
        <v>1024.0000000000007</v>
      </c>
      <c r="BM1132" s="87">
        <f>SUMIFS($AU$1035:AU1261,$AQ$1035:AQ1261,"M")</f>
        <v>-899.79999999984489</v>
      </c>
      <c r="BN1132" s="87">
        <f>SUMIFS($AU$1035:AU1261,$AQ$1035:AQ1261,"H")</f>
        <v>1583.9999999998265</v>
      </c>
      <c r="BO1132" s="87">
        <f>SUMIFS($AU$1035:AU1261,$AQ$1035:AQ1261,"D")</f>
        <v>-479.9999999999896</v>
      </c>
      <c r="BP1132" s="87">
        <f>SUMIFS($AS$1035:AS1349,$AO$1035:AO1349,"W")</f>
        <v>0</v>
      </c>
      <c r="BQ1132" s="87">
        <f>SUMIFS($AU$1035:AU1261,$Q$1035:Q1261,"O")</f>
        <v>-1079.7999999999552</v>
      </c>
      <c r="BR1132" s="87">
        <f>SUMIFS($AU$1035:AU1261,$AA$1035:AA1261,"*")</f>
        <v>-499.79999999992333</v>
      </c>
      <c r="BS1132" s="87">
        <f>SUMIFS($AU$1035:AU1261,$AB$1035:AB1261,"*")</f>
        <v>-724.00000000009095</v>
      </c>
      <c r="BT1132" s="87">
        <f>SUMIFS($AU$1035:AU1261,$AC$1035:AC1261,"*")</f>
        <v>112.00000000000097</v>
      </c>
      <c r="BU1132" s="87">
        <f>SUMIFS($AU$1035:AU1261,$AA$1035:AA1261,"*",$AB$1035:AB1261,"*")</f>
        <v>47.999999999934744</v>
      </c>
      <c r="BV1132" s="87">
        <f>SUMIFS($AU$1035:AU1261,$AA$1035:AA1261,"*",$AC$1035:AC1261,"*")</f>
        <v>-335.99999999999977</v>
      </c>
      <c r="BW1132" s="87">
        <f>SUMIFS($AU$1035:AU1261,$AB$1035:AB1261,"*",$AC$1035:AC1261,"*")</f>
        <v>-143.99999999999966</v>
      </c>
      <c r="BX1132" s="87">
        <f>SUMIFS($AV$1035:AV1261,$Q$1035:Q1261,"F")</f>
        <v>34.153846153846246</v>
      </c>
      <c r="BY1132" s="87">
        <f>SUMIFS($AV$1035:AV1261,$Q$1035:Q1261,"S")</f>
        <v>20.914285714286223</v>
      </c>
      <c r="BZ1132" s="87">
        <f>SUMIFS($AV$1035:AV1261,$Q$1035:Q1261,"O")</f>
        <v>-445.13333333327751</v>
      </c>
    </row>
    <row r="1133" spans="1:78" ht="15.75" customHeight="1">
      <c r="A1133" s="45" t="s">
        <v>3276</v>
      </c>
      <c r="B1133" s="59"/>
      <c r="C1133" s="46"/>
      <c r="D1133" s="46"/>
      <c r="E1133" s="66"/>
      <c r="F1133" s="47"/>
      <c r="G1133" s="48"/>
      <c r="H1133" s="49"/>
      <c r="I1133" s="49"/>
      <c r="J1133" s="49"/>
      <c r="K1133" s="50"/>
      <c r="L1133" s="49"/>
      <c r="M1133" s="49"/>
      <c r="N1133" s="49"/>
      <c r="O1133" s="50"/>
      <c r="P1133" s="50"/>
      <c r="Q1133" s="50"/>
      <c r="R1133" s="50"/>
      <c r="S1133" s="50"/>
      <c r="T1133" s="50"/>
      <c r="U1133" s="50"/>
      <c r="V1133" s="50"/>
      <c r="W1133" s="50"/>
      <c r="X1133" s="50"/>
      <c r="Y1133" s="51"/>
      <c r="Z1133" s="52"/>
      <c r="AA1133" s="52"/>
      <c r="AB1133" s="52"/>
      <c r="AC1133" s="52"/>
      <c r="AD1133" s="231"/>
      <c r="AE1133" s="49"/>
      <c r="AF1133" s="84"/>
      <c r="AG1133" s="49"/>
      <c r="AH1133" s="49"/>
      <c r="AI1133" s="49"/>
      <c r="AJ1133" s="226"/>
      <c r="AK1133" s="49"/>
      <c r="AL1133" s="113">
        <f t="shared" si="463"/>
        <v>0</v>
      </c>
      <c r="AM1133" s="113">
        <f t="shared" si="468"/>
        <v>0</v>
      </c>
      <c r="AN1133" s="218"/>
      <c r="AO1133" s="49"/>
      <c r="AP1133" s="49"/>
      <c r="AQ1133" s="84" t="str">
        <f>UPPER(RIGHT(Journal_Live[[#This Row],[DURATION ]]))</f>
        <v/>
      </c>
      <c r="AR1133" s="49"/>
      <c r="AS1133" s="55"/>
      <c r="AT1133" s="55">
        <f t="shared" si="469"/>
        <v>0</v>
      </c>
      <c r="AU1133" s="54">
        <f t="shared" si="470"/>
        <v>0</v>
      </c>
      <c r="AV1133" s="56">
        <f t="shared" si="464"/>
        <v>0</v>
      </c>
      <c r="AW1133" s="57"/>
      <c r="AX1133" s="153"/>
      <c r="AY1133" s="225" t="s">
        <v>3350</v>
      </c>
      <c r="AZ1133" s="225" t="s">
        <v>3351</v>
      </c>
      <c r="BA1133" s="225" t="s">
        <v>3352</v>
      </c>
      <c r="BB1133" s="225" t="s">
        <v>3353</v>
      </c>
      <c r="BC1133" s="225" t="s">
        <v>3354</v>
      </c>
      <c r="BD1133" s="225" t="s">
        <v>3355</v>
      </c>
      <c r="BE1133" s="152"/>
      <c r="BF1133" s="151"/>
      <c r="BG1133" s="94">
        <f>SUM($AV$1035:AV1133)</f>
        <v>-251.41904761906468</v>
      </c>
      <c r="BH1133" s="95">
        <f>SUM($AU$1035:AU1133)</f>
        <v>-739.00000000002228</v>
      </c>
      <c r="BI1133" s="80">
        <f>SUMIFS($AU$1035:AU1262,$Q$1035:Q1262,"F")</f>
        <v>112.00000000000057</v>
      </c>
      <c r="BJ1133" s="80">
        <f>SUMIFS($AU$1035:AU1262,$Q$1035:Q1262,"S")</f>
        <v>-15.999999999994088</v>
      </c>
      <c r="BK1133" s="87">
        <f>SUMIFS($AU$1035:AU1262,$P$1035:P1262,"W")</f>
        <v>-960.00000000003297</v>
      </c>
      <c r="BL1133" s="87">
        <f>SUMIFS($AU$1035:AU1262,$P$1035:P1262,"R")</f>
        <v>1024.0000000000007</v>
      </c>
      <c r="BM1133" s="87">
        <f>SUMIFS($AU$1035:AU1262,$AQ$1035:AQ1262,"M")</f>
        <v>-899.79999999984489</v>
      </c>
      <c r="BN1133" s="87">
        <f>SUMIFS($AU$1035:AU1262,$AQ$1035:AQ1262,"H")</f>
        <v>1583.9999999998265</v>
      </c>
      <c r="BO1133" s="87">
        <f>SUMIFS($AU$1035:AU1262,$AQ$1035:AQ1262,"D")</f>
        <v>-479.9999999999896</v>
      </c>
      <c r="BP1133" s="87">
        <f>SUMIFS($AS$1035:AS1350,$AO$1035:AO1350,"W")</f>
        <v>0</v>
      </c>
      <c r="BQ1133" s="87">
        <f>SUMIFS($AU$1035:AU1262,$Q$1035:Q1262,"O")</f>
        <v>-1079.7999999999552</v>
      </c>
      <c r="BR1133" s="87">
        <f>SUMIFS($AU$1035:AU1262,$AA$1035:AA1262,"*")</f>
        <v>-499.79999999992333</v>
      </c>
      <c r="BS1133" s="87">
        <f>SUMIFS($AU$1035:AU1262,$AB$1035:AB1262,"*")</f>
        <v>-724.00000000009095</v>
      </c>
      <c r="BT1133" s="87">
        <f>SUMIFS($AU$1035:AU1262,$AC$1035:AC1262,"*")</f>
        <v>112.00000000000097</v>
      </c>
      <c r="BU1133" s="87">
        <f>SUMIFS($AU$1035:AU1262,$AA$1035:AA1262,"*",$AB$1035:AB1262,"*")</f>
        <v>47.999999999934744</v>
      </c>
      <c r="BV1133" s="87">
        <f>SUMIFS($AU$1035:AU1262,$AA$1035:AA1262,"*",$AC$1035:AC1262,"*")</f>
        <v>-335.99999999999977</v>
      </c>
      <c r="BW1133" s="87">
        <f>SUMIFS($AU$1035:AU1262,$AB$1035:AB1262,"*",$AC$1035:AC1262,"*")</f>
        <v>-143.99999999999966</v>
      </c>
      <c r="BX1133" s="87">
        <f>SUMIFS($AV$1035:AV1262,$Q$1035:Q1262,"F")</f>
        <v>34.153846153846246</v>
      </c>
      <c r="BY1133" s="87">
        <f>SUMIFS($AV$1035:AV1262,$Q$1035:Q1262,"S")</f>
        <v>20.914285714286223</v>
      </c>
      <c r="BZ1133" s="87">
        <f>SUMIFS($AV$1035:AV1262,$Q$1035:Q1262,"O")</f>
        <v>-445.13333333327751</v>
      </c>
    </row>
    <row r="1134" spans="1:78" ht="15.75" customHeight="1">
      <c r="A1134" s="111" t="s">
        <v>3356</v>
      </c>
      <c r="B1134" s="68"/>
      <c r="C1134" s="60"/>
      <c r="D1134" s="60"/>
      <c r="E1134" s="61"/>
      <c r="F1134" s="62"/>
      <c r="G1134" s="60"/>
      <c r="H1134" s="60"/>
      <c r="I1134" s="60"/>
      <c r="J1134" s="60"/>
      <c r="K1134" s="63"/>
      <c r="L1134" s="60"/>
      <c r="M1134" s="60"/>
      <c r="N1134" s="60"/>
      <c r="O1134" s="60"/>
      <c r="P1134" s="63"/>
      <c r="Q1134" s="63"/>
      <c r="R1134" s="63"/>
      <c r="S1134" s="63"/>
      <c r="T1134" s="63"/>
      <c r="U1134" s="63"/>
      <c r="V1134" s="63"/>
      <c r="W1134" s="63"/>
      <c r="X1134" s="63"/>
      <c r="Y1134" s="64"/>
      <c r="Z1134" s="64"/>
      <c r="AA1134" s="64"/>
      <c r="AB1134" s="64"/>
      <c r="AC1134" s="64"/>
      <c r="AD1134" s="232"/>
      <c r="AE1134" s="60"/>
      <c r="AF1134" s="60"/>
      <c r="AG1134" s="60"/>
      <c r="AH1134" s="60"/>
      <c r="AI1134" s="60"/>
      <c r="AJ1134" s="229"/>
      <c r="AK1134" s="60"/>
      <c r="AL1134" s="60"/>
      <c r="AM1134" s="60"/>
      <c r="AN1134" s="219"/>
      <c r="AO1134" s="60"/>
      <c r="AP1134" s="60"/>
      <c r="AQ1134" s="85" t="str">
        <f>UPPER(RIGHT(Journal_Live[[#This Row],[DURATION ]]))</f>
        <v/>
      </c>
      <c r="AR1134" s="60"/>
      <c r="AS1134" s="60"/>
      <c r="AT1134" s="60"/>
      <c r="AU1134" s="60"/>
      <c r="AV1134" s="60"/>
      <c r="AW1134" s="60"/>
      <c r="AX1134" s="99"/>
      <c r="AY1134" s="98"/>
      <c r="AZ1134" s="98"/>
      <c r="BA1134" s="98"/>
      <c r="BB1134" s="98"/>
      <c r="BC1134" s="98"/>
      <c r="BD1134" s="98"/>
      <c r="BE1134" s="98"/>
      <c r="BF1134" s="98"/>
      <c r="BG1134" s="94">
        <f>SUM($AV$1035:AV1134)</f>
        <v>-251.41904761906468</v>
      </c>
      <c r="BH1134" s="95">
        <f>SUM($AU$1035:AU1134)</f>
        <v>-739.00000000002228</v>
      </c>
      <c r="BI1134" s="80">
        <f>SUMIFS($AU$1035:AU1263,$Q$1035:Q1263,"F")</f>
        <v>112.00000000000057</v>
      </c>
      <c r="BJ1134" s="80">
        <f>SUMIFS($AU$1035:AU1263,$Q$1035:Q1263,"S")</f>
        <v>-15.999999999994088</v>
      </c>
      <c r="BK1134" s="87">
        <f>SUMIFS($AU$1035:AU1263,$P$1035:P1263,"W")</f>
        <v>-960.00000000003297</v>
      </c>
      <c r="BL1134" s="87">
        <f>SUMIFS($AU$1035:AU1263,$P$1035:P1263,"R")</f>
        <v>1024.0000000000007</v>
      </c>
      <c r="BM1134" s="87">
        <f>SUMIFS($AU$1035:AU1263,$AQ$1035:AQ1263,"M")</f>
        <v>-899.79999999984489</v>
      </c>
      <c r="BN1134" s="87">
        <f>SUMIFS($AU$1035:AU1263,$AQ$1035:AQ1263,"H")</f>
        <v>1583.9999999998265</v>
      </c>
      <c r="BO1134" s="87">
        <f>SUMIFS($AU$1035:AU1263,$AQ$1035:AQ1263,"D")</f>
        <v>-479.9999999999896</v>
      </c>
      <c r="BP1134" s="87">
        <f>SUMIFS($AS$1035:AS1351,$AO$1035:AO1351,"W")</f>
        <v>0</v>
      </c>
      <c r="BQ1134" s="87">
        <f>SUMIFS($AU$1035:AU1263,$Q$1035:Q1263,"O")</f>
        <v>-1079.7999999999552</v>
      </c>
      <c r="BR1134" s="87">
        <f>SUMIFS($AU$1035:AU1263,$AA$1035:AA1263,"*")</f>
        <v>-499.79999999992333</v>
      </c>
      <c r="BS1134" s="87">
        <f>SUMIFS($AU$1035:AU1263,$AB$1035:AB1263,"*")</f>
        <v>-724.00000000009095</v>
      </c>
      <c r="BT1134" s="87">
        <f>SUMIFS($AU$1035:AU1263,$AC$1035:AC1263,"*")</f>
        <v>112.00000000000097</v>
      </c>
      <c r="BU1134" s="87">
        <f>SUMIFS($AU$1035:AU1263,$AA$1035:AA1263,"*",$AB$1035:AB1263,"*")</f>
        <v>47.999999999934744</v>
      </c>
      <c r="BV1134" s="87">
        <f>SUMIFS($AU$1035:AU1263,$AA$1035:AA1263,"*",$AC$1035:AC1263,"*")</f>
        <v>-335.99999999999977</v>
      </c>
      <c r="BW1134" s="87">
        <f>SUMIFS($AU$1035:AU1263,$AB$1035:AB1263,"*",$AC$1035:AC1263,"*")</f>
        <v>-143.99999999999966</v>
      </c>
      <c r="BX1134" s="87">
        <f>SUMIFS($AV$1035:AV1263,$Q$1035:Q1263,"F")</f>
        <v>34.153846153846246</v>
      </c>
      <c r="BY1134" s="87">
        <f>SUMIFS($AV$1035:AV1263,$Q$1035:Q1263,"S")</f>
        <v>20.914285714286223</v>
      </c>
      <c r="BZ1134" s="87">
        <f>SUMIFS($AV$1035:AV1263,$Q$1035:Q1263,"O")</f>
        <v>-445.13333333327751</v>
      </c>
    </row>
    <row r="1135" spans="1:78" ht="15.75" customHeight="1">
      <c r="A1135" s="45" t="s">
        <v>3357</v>
      </c>
      <c r="B1135" s="59">
        <v>45566</v>
      </c>
      <c r="C1135" s="46" t="s">
        <v>2847</v>
      </c>
      <c r="D1135" s="46" t="s">
        <v>98</v>
      </c>
      <c r="E1135" s="66"/>
      <c r="F1135" s="47"/>
      <c r="G1135" s="104" t="s">
        <v>3358</v>
      </c>
      <c r="H1135" s="49"/>
      <c r="I1135" s="49"/>
      <c r="J1135" s="49"/>
      <c r="K1135" s="50"/>
      <c r="L1135" s="49"/>
      <c r="M1135" s="49"/>
      <c r="N1135" s="49"/>
      <c r="O1135" s="50" t="s">
        <v>100</v>
      </c>
      <c r="P1135" s="50" t="s">
        <v>101</v>
      </c>
      <c r="Q1135" s="50" t="s">
        <v>198</v>
      </c>
      <c r="R1135" s="50">
        <v>5</v>
      </c>
      <c r="S1135" s="50">
        <v>0</v>
      </c>
      <c r="T1135" s="50">
        <v>5</v>
      </c>
      <c r="U1135" s="50" t="s">
        <v>22</v>
      </c>
      <c r="V1135" s="50" t="s">
        <v>2898</v>
      </c>
      <c r="W1135" s="50" t="s">
        <v>155</v>
      </c>
      <c r="X1135" s="50"/>
      <c r="Y1135" s="51">
        <f t="shared" ref="Y1127:Y1135" si="507">IF(ISBLANK(O1135),"",(IF(O1135=UPPER("IB"),0.005,0.01)))</f>
        <v>0.01</v>
      </c>
      <c r="Z1135" s="52">
        <f t="shared" ref="Z1127:Z1135" si="508">IF(ISBLANK(O1135),"",IF(O1135="IB",8.63*200,IF(O1135="IR",16*100,IF(O1135="YT",20*100,IF(O1135="YT-XT",24*200,IF(O1135="TED",80*100,IF(O1135="XT",29*200)))))))</f>
        <v>1600</v>
      </c>
      <c r="AA1135" s="52" t="s">
        <v>1889</v>
      </c>
      <c r="AB1135" s="52" t="s">
        <v>3359</v>
      </c>
      <c r="AC1135" s="52"/>
      <c r="AD1135" s="231">
        <v>95.76</v>
      </c>
      <c r="AE1135" s="49"/>
      <c r="AF1135" s="84"/>
      <c r="AG1135" s="49"/>
      <c r="AH1135" s="49"/>
      <c r="AI1135" s="49"/>
      <c r="AJ1135" s="226"/>
      <c r="AK1135" s="49"/>
      <c r="AL1135" s="113">
        <f t="shared" ref="AL1135:AL1143" si="509">-0.02*Z1135</f>
        <v>-32</v>
      </c>
      <c r="AM1135" s="113">
        <f t="shared" ref="AM1135:AM1210" si="510">AL1135*(R1135-S1135)</f>
        <v>-160</v>
      </c>
      <c r="AN1135" s="218"/>
      <c r="AO1135" s="49"/>
      <c r="AP1135" s="49"/>
      <c r="AQ1135" s="84" t="s">
        <v>142</v>
      </c>
      <c r="AR1135" s="49" t="s">
        <v>3360</v>
      </c>
      <c r="AS1135" s="55">
        <v>95.77</v>
      </c>
      <c r="AT1135" s="55">
        <f t="shared" ref="AT1135:AT1210" si="511">IF(ISBLANK(AS1135),,IF(U1135="S",AD1135-AS1135,AS1135-AD1135))</f>
        <v>9.9999999999909051E-3</v>
      </c>
      <c r="AU1135" s="54">
        <f t="shared" ref="AU1135:AU1210" si="512">AV1135*R1135</f>
        <v>79.99999999992724</v>
      </c>
      <c r="AV1135" s="56">
        <f t="shared" ref="AV1135:AV1143" si="513">IF(ISBLANK(AS1135),,(AT1135*Z1135))</f>
        <v>15.999999999985448</v>
      </c>
      <c r="AW1135" s="57" t="s">
        <v>101</v>
      </c>
      <c r="AX1135" s="153" t="s">
        <v>3361</v>
      </c>
      <c r="AY1135" s="153"/>
      <c r="AZ1135" s="153"/>
      <c r="BA1135" s="153"/>
      <c r="BB1135" s="153"/>
      <c r="BC1135" s="153"/>
      <c r="BD1135" s="151"/>
      <c r="BE1135" s="152"/>
      <c r="BF1135" s="151"/>
      <c r="BG1135" s="94">
        <f>SUM($AV$1035:AV1135)</f>
        <v>-235.41904761907924</v>
      </c>
      <c r="BH1135" s="95">
        <f>SUM($AU$1035:AU1135)</f>
        <v>-659.00000000009504</v>
      </c>
      <c r="BI1135" s="80">
        <f>SUMIFS($AU$1035:AU1264,$Q$1035:Q1264,"F")</f>
        <v>112.00000000000057</v>
      </c>
      <c r="BJ1135" s="80">
        <f>SUMIFS($AU$1035:AU1264,$Q$1035:Q1264,"S")</f>
        <v>-15.999999999994088</v>
      </c>
      <c r="BK1135" s="87">
        <f>SUMIFS($AU$1035:AU1264,$P$1035:P1264,"W")</f>
        <v>-960.00000000003297</v>
      </c>
      <c r="BL1135" s="87">
        <f>SUMIFS($AU$1035:AU1264,$P$1035:P1264,"R")</f>
        <v>1024.0000000000007</v>
      </c>
      <c r="BM1135" s="87">
        <f>SUMIFS($AU$1035:AU1264,$AQ$1035:AQ1264,"M")</f>
        <v>-899.79999999984489</v>
      </c>
      <c r="BN1135" s="87">
        <f>SUMIFS($AU$1035:AU1264,$AQ$1035:AQ1264,"H")</f>
        <v>1583.9999999998265</v>
      </c>
      <c r="BO1135" s="87">
        <f>SUMIFS($AU$1035:AU1264,$AQ$1035:AQ1264,"D")</f>
        <v>-479.9999999999896</v>
      </c>
      <c r="BP1135" s="87">
        <f>SUMIFS($AS$1035:AS1352,$AO$1035:AO1352,"W")</f>
        <v>0</v>
      </c>
      <c r="BQ1135" s="87">
        <f>SUMIFS($AU$1035:AU1264,$Q$1035:Q1264,"O")</f>
        <v>-1079.7999999999552</v>
      </c>
      <c r="BR1135" s="87">
        <f>SUMIFS($AU$1035:AU1264,$AA$1035:AA1264,"*")</f>
        <v>-499.79999999992333</v>
      </c>
      <c r="BS1135" s="87">
        <f>SUMIFS($AU$1035:AU1264,$AB$1035:AB1264,"*")</f>
        <v>-724.00000000009095</v>
      </c>
      <c r="BT1135" s="87">
        <f>SUMIFS($AU$1035:AU1264,$AC$1035:AC1264,"*")</f>
        <v>112.00000000000097</v>
      </c>
      <c r="BU1135" s="87">
        <f>SUMIFS($AU$1035:AU1264,$AA$1035:AA1264,"*",$AB$1035:AB1264,"*")</f>
        <v>47.999999999934744</v>
      </c>
      <c r="BV1135" s="87">
        <f>SUMIFS($AU$1035:AU1264,$AA$1035:AA1264,"*",$AC$1035:AC1264,"*")</f>
        <v>-335.99999999999977</v>
      </c>
      <c r="BW1135" s="87">
        <f>SUMIFS($AU$1035:AU1264,$AB$1035:AB1264,"*",$AC$1035:AC1264,"*")</f>
        <v>-143.99999999999966</v>
      </c>
      <c r="BX1135" s="87">
        <f>SUMIFS($AV$1035:AV1264,$Q$1035:Q1264,"F")</f>
        <v>34.153846153846246</v>
      </c>
      <c r="BY1135" s="87">
        <f>SUMIFS($AV$1035:AV1264,$Q$1035:Q1264,"S")</f>
        <v>20.914285714286223</v>
      </c>
      <c r="BZ1135" s="87">
        <f>SUMIFS($AV$1035:AV1264,$Q$1035:Q1264,"O")</f>
        <v>-445.13333333327751</v>
      </c>
    </row>
    <row r="1136" spans="1:78" ht="15.75" customHeight="1">
      <c r="A1136" s="45" t="s">
        <v>3357</v>
      </c>
      <c r="B1136" s="59"/>
      <c r="C1136" s="46"/>
      <c r="D1136" s="46"/>
      <c r="E1136" s="66"/>
      <c r="F1136" s="47"/>
      <c r="G1136" s="48"/>
      <c r="H1136" s="49"/>
      <c r="I1136" s="49"/>
      <c r="J1136" s="49"/>
      <c r="K1136" s="50"/>
      <c r="L1136" s="49"/>
      <c r="M1136" s="49"/>
      <c r="N1136" s="49"/>
      <c r="O1136" s="50"/>
      <c r="P1136" s="50"/>
      <c r="Q1136" s="50"/>
      <c r="R1136" s="50"/>
      <c r="S1136" s="50"/>
      <c r="T1136" s="50"/>
      <c r="U1136" s="50"/>
      <c r="V1136" s="50"/>
      <c r="W1136" s="50"/>
      <c r="X1136" s="50"/>
      <c r="Y1136" s="50"/>
      <c r="Z1136" s="50"/>
      <c r="AA1136" s="52"/>
      <c r="AB1136" s="52"/>
      <c r="AC1136" s="52"/>
      <c r="AD1136" s="231"/>
      <c r="AE1136" s="49"/>
      <c r="AF1136" s="84"/>
      <c r="AG1136" s="49"/>
      <c r="AH1136" s="49"/>
      <c r="AI1136" s="49"/>
      <c r="AJ1136" s="226"/>
      <c r="AK1136" s="49"/>
      <c r="AL1136" s="113">
        <f t="shared" si="509"/>
        <v>0</v>
      </c>
      <c r="AM1136" s="113">
        <f t="shared" si="510"/>
        <v>0</v>
      </c>
      <c r="AN1136" s="218"/>
      <c r="AO1136" s="49"/>
      <c r="AP1136" s="49"/>
      <c r="AQ1136" s="84" t="str">
        <f>UPPER(RIGHT(Journal_Live[[#This Row],[DURATION ]]))</f>
        <v/>
      </c>
      <c r="AR1136" s="49"/>
      <c r="AS1136" s="55"/>
      <c r="AT1136" s="55">
        <f t="shared" si="511"/>
        <v>0</v>
      </c>
      <c r="AU1136" s="54">
        <f t="shared" si="512"/>
        <v>0</v>
      </c>
      <c r="AV1136" s="56">
        <f t="shared" si="513"/>
        <v>0</v>
      </c>
      <c r="AW1136" s="57"/>
      <c r="AX1136" s="153" t="s">
        <v>3362</v>
      </c>
      <c r="AY1136" s="153" t="s">
        <v>3363</v>
      </c>
      <c r="AZ1136" s="153" t="s">
        <v>3364</v>
      </c>
      <c r="BA1136" s="153"/>
      <c r="BB1136" s="153"/>
      <c r="BC1136" s="153"/>
      <c r="BD1136" s="151"/>
      <c r="BE1136" s="152"/>
      <c r="BF1136" s="151"/>
      <c r="BG1136" s="94">
        <f>SUM($AV$1035:AV1136)</f>
        <v>-235.41904761907924</v>
      </c>
      <c r="BH1136" s="95">
        <f>SUM($AU$1035:AU1136)</f>
        <v>-659.00000000009504</v>
      </c>
      <c r="BI1136" s="80">
        <f>SUMIFS($AU$1035:AU1265,$Q$1035:Q1265,"F")</f>
        <v>112.00000000000057</v>
      </c>
      <c r="BJ1136" s="80">
        <f>SUMIFS($AU$1035:AU1265,$Q$1035:Q1265,"S")</f>
        <v>-15.999999999994088</v>
      </c>
      <c r="BK1136" s="87">
        <f>SUMIFS($AU$1035:AU1265,$P$1035:P1265,"W")</f>
        <v>-960.00000000003297</v>
      </c>
      <c r="BL1136" s="87">
        <f>SUMIFS($AU$1035:AU1265,$P$1035:P1265,"R")</f>
        <v>1024.0000000000007</v>
      </c>
      <c r="BM1136" s="87">
        <f>SUMIFS($AU$1035:AU1265,$AQ$1035:AQ1265,"M")</f>
        <v>-899.79999999984489</v>
      </c>
      <c r="BN1136" s="87">
        <f>SUMIFS($AU$1035:AU1265,$AQ$1035:AQ1265,"H")</f>
        <v>1583.9999999998265</v>
      </c>
      <c r="BO1136" s="87">
        <f>SUMIFS($AU$1035:AU1265,$AQ$1035:AQ1265,"D")</f>
        <v>-479.9999999999896</v>
      </c>
      <c r="BP1136" s="87">
        <f>SUMIFS($AS$1035:AS1353,$AO$1035:AO1353,"W")</f>
        <v>0</v>
      </c>
      <c r="BQ1136" s="87">
        <f>SUMIFS($AU$1035:AU1265,$Q$1035:Q1265,"O")</f>
        <v>-1079.7999999999552</v>
      </c>
      <c r="BR1136" s="87">
        <f>SUMIFS($AU$1035:AU1265,$AA$1035:AA1265,"*")</f>
        <v>-499.79999999992333</v>
      </c>
      <c r="BS1136" s="87">
        <f>SUMIFS($AU$1035:AU1265,$AB$1035:AB1265,"*")</f>
        <v>-724.00000000009095</v>
      </c>
      <c r="BT1136" s="87">
        <f>SUMIFS($AU$1035:AU1265,$AC$1035:AC1265,"*")</f>
        <v>112.00000000000097</v>
      </c>
      <c r="BU1136" s="87">
        <f>SUMIFS($AU$1035:AU1265,$AA$1035:AA1265,"*",$AB$1035:AB1265,"*")</f>
        <v>47.999999999934744</v>
      </c>
      <c r="BV1136" s="87">
        <f>SUMIFS($AU$1035:AU1265,$AA$1035:AA1265,"*",$AC$1035:AC1265,"*")</f>
        <v>-335.99999999999977</v>
      </c>
      <c r="BW1136" s="87">
        <f>SUMIFS($AU$1035:AU1265,$AB$1035:AB1265,"*",$AC$1035:AC1265,"*")</f>
        <v>-143.99999999999966</v>
      </c>
      <c r="BX1136" s="87">
        <f>SUMIFS($AV$1035:AV1265,$Q$1035:Q1265,"F")</f>
        <v>34.153846153846246</v>
      </c>
      <c r="BY1136" s="87">
        <f>SUMIFS($AV$1035:AV1265,$Q$1035:Q1265,"S")</f>
        <v>20.914285714286223</v>
      </c>
      <c r="BZ1136" s="87">
        <f>SUMIFS($AV$1035:AV1265,$Q$1035:Q1265,"O")</f>
        <v>-445.13333333327751</v>
      </c>
    </row>
    <row r="1137" spans="1:78" ht="15.75" customHeight="1">
      <c r="A1137" s="45" t="s">
        <v>3357</v>
      </c>
      <c r="B1137" s="59"/>
      <c r="C1137" s="46"/>
      <c r="D1137" s="46"/>
      <c r="E1137" s="66"/>
      <c r="F1137" s="47"/>
      <c r="G1137" s="48"/>
      <c r="H1137" s="49"/>
      <c r="I1137" s="49"/>
      <c r="J1137" s="49"/>
      <c r="K1137" s="50"/>
      <c r="L1137" s="49"/>
      <c r="M1137" s="49"/>
      <c r="N1137" s="49"/>
      <c r="O1137" s="50"/>
      <c r="P1137" s="50"/>
      <c r="Q1137" s="50"/>
      <c r="R1137" s="50"/>
      <c r="S1137" s="50"/>
      <c r="T1137" s="50"/>
      <c r="U1137" s="50"/>
      <c r="V1137" s="50"/>
      <c r="W1137" s="50"/>
      <c r="X1137" s="50"/>
      <c r="Y1137" s="50"/>
      <c r="Z1137" s="50"/>
      <c r="AA1137" s="52"/>
      <c r="AB1137" s="52"/>
      <c r="AC1137" s="52"/>
      <c r="AD1137" s="231"/>
      <c r="AE1137" s="49"/>
      <c r="AF1137" s="84"/>
      <c r="AG1137" s="49"/>
      <c r="AH1137" s="49"/>
      <c r="AI1137" s="49"/>
      <c r="AJ1137" s="226"/>
      <c r="AK1137" s="49"/>
      <c r="AL1137" s="113">
        <f t="shared" si="509"/>
        <v>0</v>
      </c>
      <c r="AM1137" s="113">
        <f t="shared" si="510"/>
        <v>0</v>
      </c>
      <c r="AN1137" s="218"/>
      <c r="AO1137" s="49"/>
      <c r="AP1137" s="49"/>
      <c r="AQ1137" s="84" t="str">
        <f>UPPER(RIGHT(Journal_Live[[#This Row],[DURATION ]]))</f>
        <v/>
      </c>
      <c r="AR1137" s="49"/>
      <c r="AS1137" s="55"/>
      <c r="AT1137" s="55">
        <f t="shared" si="511"/>
        <v>0</v>
      </c>
      <c r="AU1137" s="54">
        <f t="shared" si="512"/>
        <v>0</v>
      </c>
      <c r="AV1137" s="56">
        <f t="shared" si="513"/>
        <v>0</v>
      </c>
      <c r="AW1137" s="57"/>
      <c r="AX1137" s="153" t="s">
        <v>3365</v>
      </c>
      <c r="AY1137" s="153"/>
      <c r="AZ1137" s="153"/>
      <c r="BA1137" s="153"/>
      <c r="BB1137" s="153"/>
      <c r="BC1137" s="153"/>
      <c r="BD1137" s="151"/>
      <c r="BE1137" s="152"/>
      <c r="BF1137" s="151"/>
      <c r="BG1137" s="94">
        <f>SUM($AV$1035:AV1137)</f>
        <v>-235.41904761907924</v>
      </c>
      <c r="BH1137" s="95">
        <f>SUM($AU$1035:AU1137)</f>
        <v>-659.00000000009504</v>
      </c>
      <c r="BI1137" s="80">
        <f>SUMIFS($AU$1035:AU1266,$Q$1035:Q1266,"F")</f>
        <v>112.00000000000057</v>
      </c>
      <c r="BJ1137" s="80">
        <f>SUMIFS($AU$1035:AU1266,$Q$1035:Q1266,"S")</f>
        <v>-15.999999999994088</v>
      </c>
      <c r="BK1137" s="87">
        <f>SUMIFS($AU$1035:AU1266,$P$1035:P1266,"W")</f>
        <v>-960.00000000003297</v>
      </c>
      <c r="BL1137" s="87">
        <f>SUMIFS($AU$1035:AU1266,$P$1035:P1266,"R")</f>
        <v>1024.0000000000007</v>
      </c>
      <c r="BM1137" s="87">
        <f>SUMIFS($AU$1035:AU1266,$AQ$1035:AQ1266,"M")</f>
        <v>-899.79999999984489</v>
      </c>
      <c r="BN1137" s="87">
        <f>SUMIFS($AU$1035:AU1266,$AQ$1035:AQ1266,"H")</f>
        <v>1583.9999999998265</v>
      </c>
      <c r="BO1137" s="87">
        <f>SUMIFS($AU$1035:AU1266,$AQ$1035:AQ1266,"D")</f>
        <v>-479.9999999999896</v>
      </c>
      <c r="BP1137" s="87">
        <f>SUMIFS($AS$1035:AS1354,$AO$1035:AO1354,"W")</f>
        <v>0</v>
      </c>
      <c r="BQ1137" s="87">
        <f>SUMIFS($AU$1035:AU1266,$Q$1035:Q1266,"O")</f>
        <v>-1079.7999999999552</v>
      </c>
      <c r="BR1137" s="87">
        <f>SUMIFS($AU$1035:AU1266,$AA$1035:AA1266,"*")</f>
        <v>-499.79999999992333</v>
      </c>
      <c r="BS1137" s="87">
        <f>SUMIFS($AU$1035:AU1266,$AB$1035:AB1266,"*")</f>
        <v>-724.00000000009095</v>
      </c>
      <c r="BT1137" s="87">
        <f>SUMIFS($AU$1035:AU1266,$AC$1035:AC1266,"*")</f>
        <v>112.00000000000097</v>
      </c>
      <c r="BU1137" s="87">
        <f>SUMIFS($AU$1035:AU1266,$AA$1035:AA1266,"*",$AB$1035:AB1266,"*")</f>
        <v>47.999999999934744</v>
      </c>
      <c r="BV1137" s="87">
        <f>SUMIFS($AU$1035:AU1266,$AA$1035:AA1266,"*",$AC$1035:AC1266,"*")</f>
        <v>-335.99999999999977</v>
      </c>
      <c r="BW1137" s="87">
        <f>SUMIFS($AU$1035:AU1266,$AB$1035:AB1266,"*",$AC$1035:AC1266,"*")</f>
        <v>-143.99999999999966</v>
      </c>
      <c r="BX1137" s="87">
        <f>SUMIFS($AV$1035:AV1266,$Q$1035:Q1266,"F")</f>
        <v>34.153846153846246</v>
      </c>
      <c r="BY1137" s="87">
        <f>SUMIFS($AV$1035:AV1266,$Q$1035:Q1266,"S")</f>
        <v>20.914285714286223</v>
      </c>
      <c r="BZ1137" s="87">
        <f>SUMIFS($AV$1035:AV1266,$Q$1035:Q1266,"O")</f>
        <v>-445.13333333327751</v>
      </c>
    </row>
    <row r="1138" spans="1:78" ht="15.75" customHeight="1">
      <c r="A1138" s="45" t="s">
        <v>3357</v>
      </c>
      <c r="B1138" s="59">
        <v>45566</v>
      </c>
      <c r="C1138" s="46" t="s">
        <v>1160</v>
      </c>
      <c r="D1138" s="46" t="s">
        <v>98</v>
      </c>
      <c r="E1138" s="66" t="s">
        <v>3366</v>
      </c>
      <c r="F1138" s="47" t="s">
        <v>3367</v>
      </c>
      <c r="G1138" s="48"/>
      <c r="H1138" s="49">
        <v>1</v>
      </c>
      <c r="I1138" s="49"/>
      <c r="J1138" s="49"/>
      <c r="K1138" s="50" t="s">
        <v>142</v>
      </c>
      <c r="L1138" s="49"/>
      <c r="M1138" s="49"/>
      <c r="N1138" s="49"/>
      <c r="O1138" s="50"/>
      <c r="P1138" s="50"/>
      <c r="Q1138" s="50"/>
      <c r="R1138" s="50"/>
      <c r="S1138" s="50"/>
      <c r="T1138" s="50"/>
      <c r="U1138" s="50"/>
      <c r="V1138" s="50"/>
      <c r="W1138" s="50"/>
      <c r="X1138" s="50"/>
      <c r="Y1138" s="50"/>
      <c r="Z1138" s="50"/>
      <c r="AA1138" s="52"/>
      <c r="AB1138" s="52"/>
      <c r="AC1138" s="52"/>
      <c r="AD1138" s="231"/>
      <c r="AE1138" s="49"/>
      <c r="AF1138" s="84"/>
      <c r="AG1138" s="49"/>
      <c r="AH1138" s="49"/>
      <c r="AI1138" s="49"/>
      <c r="AJ1138" s="226"/>
      <c r="AK1138" s="49"/>
      <c r="AL1138" s="113">
        <f t="shared" si="509"/>
        <v>0</v>
      </c>
      <c r="AM1138" s="113">
        <f t="shared" si="510"/>
        <v>0</v>
      </c>
      <c r="AN1138" s="218"/>
      <c r="AO1138" s="49"/>
      <c r="AP1138" s="49"/>
      <c r="AQ1138" s="84" t="str">
        <f>UPPER(RIGHT(Journal_Live[[#This Row],[DURATION ]]))</f>
        <v/>
      </c>
      <c r="AR1138" s="49"/>
      <c r="AS1138" s="55"/>
      <c r="AT1138" s="55">
        <f t="shared" si="511"/>
        <v>0</v>
      </c>
      <c r="AU1138" s="54">
        <f t="shared" si="512"/>
        <v>0</v>
      </c>
      <c r="AV1138" s="56">
        <f t="shared" si="513"/>
        <v>0</v>
      </c>
      <c r="AW1138" s="57"/>
      <c r="AX1138" s="153"/>
      <c r="AY1138" s="153"/>
      <c r="AZ1138" s="153"/>
      <c r="BA1138" s="153"/>
      <c r="BB1138" s="153"/>
      <c r="BC1138" s="153"/>
      <c r="BD1138" s="151"/>
      <c r="BE1138" s="152"/>
      <c r="BF1138" s="151"/>
      <c r="BG1138" s="94">
        <f>SUM($AV$1035:AV1138)</f>
        <v>-235.41904761907924</v>
      </c>
      <c r="BH1138" s="95">
        <f>SUM($AU$1035:AU1138)</f>
        <v>-659.00000000009504</v>
      </c>
      <c r="BI1138" s="80">
        <f>SUMIFS($AU$1035:AU1267,$Q$1035:Q1267,"F")</f>
        <v>112.00000000000057</v>
      </c>
      <c r="BJ1138" s="80">
        <f>SUMIFS($AU$1035:AU1267,$Q$1035:Q1267,"S")</f>
        <v>-15.999999999994088</v>
      </c>
      <c r="BK1138" s="87">
        <f>SUMIFS($AU$1035:AU1267,$P$1035:P1267,"W")</f>
        <v>-960.00000000003297</v>
      </c>
      <c r="BL1138" s="87">
        <f>SUMIFS($AU$1035:AU1267,$P$1035:P1267,"R")</f>
        <v>1024.0000000000007</v>
      </c>
      <c r="BM1138" s="87">
        <f>SUMIFS($AU$1035:AU1267,$AQ$1035:AQ1267,"M")</f>
        <v>-899.79999999984489</v>
      </c>
      <c r="BN1138" s="87">
        <f>SUMIFS($AU$1035:AU1267,$AQ$1035:AQ1267,"H")</f>
        <v>1583.9999999998265</v>
      </c>
      <c r="BO1138" s="87">
        <f>SUMIFS($AU$1035:AU1267,$AQ$1035:AQ1267,"D")</f>
        <v>-479.9999999999896</v>
      </c>
      <c r="BP1138" s="87">
        <f>SUMIFS($AS$1035:AS1355,$AO$1035:AO1355,"W")</f>
        <v>0</v>
      </c>
      <c r="BQ1138" s="87">
        <f>SUMIFS($AU$1035:AU1267,$Q$1035:Q1267,"O")</f>
        <v>-1079.7999999999552</v>
      </c>
      <c r="BR1138" s="87">
        <f>SUMIFS($AU$1035:AU1267,$AA$1035:AA1267,"*")</f>
        <v>-499.79999999992333</v>
      </c>
      <c r="BS1138" s="87">
        <f>SUMIFS($AU$1035:AU1267,$AB$1035:AB1267,"*")</f>
        <v>-724.00000000009095</v>
      </c>
      <c r="BT1138" s="87">
        <f>SUMIFS($AU$1035:AU1267,$AC$1035:AC1267,"*")</f>
        <v>112.00000000000097</v>
      </c>
      <c r="BU1138" s="87">
        <f>SUMIFS($AU$1035:AU1267,$AA$1035:AA1267,"*",$AB$1035:AB1267,"*")</f>
        <v>47.999999999934744</v>
      </c>
      <c r="BV1138" s="87">
        <f>SUMIFS($AU$1035:AU1267,$AA$1035:AA1267,"*",$AC$1035:AC1267,"*")</f>
        <v>-335.99999999999977</v>
      </c>
      <c r="BW1138" s="87">
        <f>SUMIFS($AU$1035:AU1267,$AB$1035:AB1267,"*",$AC$1035:AC1267,"*")</f>
        <v>-143.99999999999966</v>
      </c>
      <c r="BX1138" s="87">
        <f>SUMIFS($AV$1035:AV1267,$Q$1035:Q1267,"F")</f>
        <v>34.153846153846246</v>
      </c>
      <c r="BY1138" s="87">
        <f>SUMIFS($AV$1035:AV1267,$Q$1035:Q1267,"S")</f>
        <v>20.914285714286223</v>
      </c>
      <c r="BZ1138" s="87">
        <f>SUMIFS($AV$1035:AV1267,$Q$1035:Q1267,"O")</f>
        <v>-445.13333333327751</v>
      </c>
    </row>
    <row r="1139" spans="1:78" ht="15.75" customHeight="1">
      <c r="A1139" s="45" t="s">
        <v>3357</v>
      </c>
      <c r="B1139" s="59"/>
      <c r="C1139" s="46"/>
      <c r="D1139" s="46"/>
      <c r="E1139" s="66" t="s">
        <v>3368</v>
      </c>
      <c r="F1139" s="47"/>
      <c r="G1139" s="48"/>
      <c r="H1139" s="49"/>
      <c r="I1139" s="49"/>
      <c r="J1139" s="49">
        <v>1</v>
      </c>
      <c r="K1139" s="50" t="s">
        <v>155</v>
      </c>
      <c r="L1139" s="49"/>
      <c r="M1139" s="49"/>
      <c r="N1139" s="49"/>
      <c r="O1139" s="50"/>
      <c r="P1139" s="50"/>
      <c r="Q1139" s="50"/>
      <c r="R1139" s="50"/>
      <c r="S1139" s="50"/>
      <c r="T1139" s="50"/>
      <c r="U1139" s="50"/>
      <c r="V1139" s="50"/>
      <c r="W1139" s="50"/>
      <c r="X1139" s="50"/>
      <c r="Y1139" s="50"/>
      <c r="Z1139" s="50"/>
      <c r="AA1139" s="52"/>
      <c r="AB1139" s="52"/>
      <c r="AC1139" s="52"/>
      <c r="AD1139" s="231"/>
      <c r="AE1139" s="49"/>
      <c r="AF1139" s="84"/>
      <c r="AG1139" s="49"/>
      <c r="AH1139" s="49"/>
      <c r="AI1139" s="49"/>
      <c r="AJ1139" s="226"/>
      <c r="AK1139" s="49"/>
      <c r="AL1139" s="113">
        <f t="shared" si="509"/>
        <v>0</v>
      </c>
      <c r="AM1139" s="113">
        <f t="shared" si="510"/>
        <v>0</v>
      </c>
      <c r="AN1139" s="218"/>
      <c r="AO1139" s="49"/>
      <c r="AP1139" s="49"/>
      <c r="AQ1139" s="84" t="str">
        <f>UPPER(RIGHT(Journal_Live[[#This Row],[DURATION ]]))</f>
        <v/>
      </c>
      <c r="AR1139" s="49"/>
      <c r="AS1139" s="55"/>
      <c r="AT1139" s="55">
        <f t="shared" si="511"/>
        <v>0</v>
      </c>
      <c r="AU1139" s="54">
        <f t="shared" si="512"/>
        <v>0</v>
      </c>
      <c r="AV1139" s="56">
        <f t="shared" si="513"/>
        <v>0</v>
      </c>
      <c r="AW1139" s="57"/>
      <c r="AX1139" s="153"/>
      <c r="AY1139" s="153"/>
      <c r="AZ1139" s="153"/>
      <c r="BA1139" s="153"/>
      <c r="BB1139" s="153"/>
      <c r="BC1139" s="153"/>
      <c r="BD1139" s="151"/>
      <c r="BE1139" s="152"/>
      <c r="BF1139" s="151"/>
      <c r="BG1139" s="94">
        <f>SUM($AV$1035:AV1139)</f>
        <v>-235.41904761907924</v>
      </c>
      <c r="BH1139" s="95">
        <f>SUM($AU$1035:AU1139)</f>
        <v>-659.00000000009504</v>
      </c>
      <c r="BI1139" s="80">
        <f>SUMIFS($AU$1035:AU1268,$Q$1035:Q1268,"F")</f>
        <v>112.00000000000057</v>
      </c>
      <c r="BJ1139" s="80">
        <f>SUMIFS($AU$1035:AU1268,$Q$1035:Q1268,"S")</f>
        <v>-15.999999999994088</v>
      </c>
      <c r="BK1139" s="87">
        <f>SUMIFS($AU$1035:AU1268,$P$1035:P1268,"W")</f>
        <v>-960.00000000003297</v>
      </c>
      <c r="BL1139" s="87">
        <f>SUMIFS($AU$1035:AU1268,$P$1035:P1268,"R")</f>
        <v>1024.0000000000007</v>
      </c>
      <c r="BM1139" s="87">
        <f>SUMIFS($AU$1035:AU1268,$AQ$1035:AQ1268,"M")</f>
        <v>-899.79999999984489</v>
      </c>
      <c r="BN1139" s="87">
        <f>SUMIFS($AU$1035:AU1268,$AQ$1035:AQ1268,"H")</f>
        <v>1583.9999999998265</v>
      </c>
      <c r="BO1139" s="87">
        <f>SUMIFS($AU$1035:AU1268,$AQ$1035:AQ1268,"D")</f>
        <v>-479.9999999999896</v>
      </c>
      <c r="BP1139" s="87">
        <f>SUMIFS($AS$1035:AS1356,$AO$1035:AO1356,"W")</f>
        <v>0</v>
      </c>
      <c r="BQ1139" s="87">
        <f>SUMIFS($AU$1035:AU1268,$Q$1035:Q1268,"O")</f>
        <v>-1079.7999999999552</v>
      </c>
      <c r="BR1139" s="87">
        <f>SUMIFS($AU$1035:AU1268,$AA$1035:AA1268,"*")</f>
        <v>-499.79999999992333</v>
      </c>
      <c r="BS1139" s="87">
        <f>SUMIFS($AU$1035:AU1268,$AB$1035:AB1268,"*")</f>
        <v>-724.00000000009095</v>
      </c>
      <c r="BT1139" s="87">
        <f>SUMIFS($AU$1035:AU1268,$AC$1035:AC1268,"*")</f>
        <v>112.00000000000097</v>
      </c>
      <c r="BU1139" s="87">
        <f>SUMIFS($AU$1035:AU1268,$AA$1035:AA1268,"*",$AB$1035:AB1268,"*")</f>
        <v>47.999999999934744</v>
      </c>
      <c r="BV1139" s="87">
        <f>SUMIFS($AU$1035:AU1268,$AA$1035:AA1268,"*",$AC$1035:AC1268,"*")</f>
        <v>-335.99999999999977</v>
      </c>
      <c r="BW1139" s="87">
        <f>SUMIFS($AU$1035:AU1268,$AB$1035:AB1268,"*",$AC$1035:AC1268,"*")</f>
        <v>-143.99999999999966</v>
      </c>
      <c r="BX1139" s="87">
        <f>SUMIFS($AV$1035:AV1268,$Q$1035:Q1268,"F")</f>
        <v>34.153846153846246</v>
      </c>
      <c r="BY1139" s="87">
        <f>SUMIFS($AV$1035:AV1268,$Q$1035:Q1268,"S")</f>
        <v>20.914285714286223</v>
      </c>
      <c r="BZ1139" s="87">
        <f>SUMIFS($AV$1035:AV1268,$Q$1035:Q1268,"O")</f>
        <v>-445.13333333327751</v>
      </c>
    </row>
    <row r="1140" spans="1:78" ht="15.75" customHeight="1">
      <c r="A1140" s="45" t="s">
        <v>3357</v>
      </c>
      <c r="B1140" s="59">
        <v>45566</v>
      </c>
      <c r="C1140" s="46" t="s">
        <v>1190</v>
      </c>
      <c r="D1140" s="46" t="s">
        <v>98</v>
      </c>
      <c r="E1140" s="66"/>
      <c r="F1140" s="47"/>
      <c r="G1140" s="48" t="s">
        <v>3369</v>
      </c>
      <c r="H1140" s="49"/>
      <c r="I1140" s="49"/>
      <c r="J1140" s="49"/>
      <c r="K1140" s="50"/>
      <c r="L1140" s="49"/>
      <c r="M1140" s="49"/>
      <c r="N1140" s="49"/>
      <c r="O1140" s="50" t="s">
        <v>196</v>
      </c>
      <c r="P1140" s="50" t="s">
        <v>197</v>
      </c>
      <c r="Q1140" s="50" t="s">
        <v>198</v>
      </c>
      <c r="R1140" s="50">
        <v>1</v>
      </c>
      <c r="S1140" s="50">
        <v>0</v>
      </c>
      <c r="T1140" s="50">
        <v>1</v>
      </c>
      <c r="U1140" s="50" t="s">
        <v>102</v>
      </c>
      <c r="V1140" s="50" t="s">
        <v>2898</v>
      </c>
      <c r="W1140" s="50" t="s">
        <v>155</v>
      </c>
      <c r="X1140" s="50"/>
      <c r="Y1140" s="51">
        <f>IF(ISBLANK(O1140),"",(IF(O1140=UPPER("IB"),0.005,0.01)))</f>
        <v>0.01</v>
      </c>
      <c r="Z1140" s="52">
        <f>IF(ISBLANK(O1140),"",IF(O1140="IB",8.63*200,IF(O1140="IR",16*100,IF(O1140="YT",20*100,IF(O1140="YT-XT",24*200,IF(O1140="TED",80*100,IF(O1140="XT",29*200)))))))</f>
        <v>5800</v>
      </c>
      <c r="AA1140" s="52" t="s">
        <v>3370</v>
      </c>
      <c r="AB1140" s="52"/>
      <c r="AC1140" s="52"/>
      <c r="AD1140" s="231">
        <v>96.055000000000007</v>
      </c>
      <c r="AE1140" s="49"/>
      <c r="AF1140" s="84"/>
      <c r="AG1140" s="49"/>
      <c r="AH1140" s="49"/>
      <c r="AI1140" s="49"/>
      <c r="AJ1140" s="226"/>
      <c r="AK1140" s="49"/>
      <c r="AL1140" s="113">
        <f t="shared" si="509"/>
        <v>-116</v>
      </c>
      <c r="AM1140" s="113">
        <f t="shared" si="510"/>
        <v>-116</v>
      </c>
      <c r="AN1140" s="218"/>
      <c r="AO1140" s="49"/>
      <c r="AP1140" s="49"/>
      <c r="AQ1140" s="84" t="s">
        <v>350</v>
      </c>
      <c r="AR1140" s="49"/>
      <c r="AS1140" s="55">
        <v>96.064999999999998</v>
      </c>
      <c r="AT1140" s="55">
        <f t="shared" si="511"/>
        <v>-9.9999999999909051E-3</v>
      </c>
      <c r="AU1140" s="54">
        <f t="shared" si="512"/>
        <v>-57.999999999947249</v>
      </c>
      <c r="AV1140" s="56">
        <f t="shared" si="513"/>
        <v>-57.999999999947249</v>
      </c>
      <c r="AW1140" s="57" t="s">
        <v>121</v>
      </c>
      <c r="AX1140" s="153"/>
      <c r="AY1140" s="153"/>
      <c r="AZ1140" s="153"/>
      <c r="BA1140" s="153"/>
      <c r="BB1140" s="153"/>
      <c r="BC1140" s="153"/>
      <c r="BD1140" s="151"/>
      <c r="BE1140" s="152"/>
      <c r="BF1140" s="151"/>
      <c r="BG1140" s="94">
        <f>SUM($AV$1035:AV1140)</f>
        <v>-293.41904761902651</v>
      </c>
      <c r="BH1140" s="95">
        <f>SUM($AU$1035:AU1140)</f>
        <v>-717.00000000004229</v>
      </c>
      <c r="BI1140" s="80">
        <f>SUMIFS($AU$1035:AU1269,$Q$1035:Q1269,"F")</f>
        <v>112.00000000000057</v>
      </c>
      <c r="BJ1140" s="80">
        <f>SUMIFS($AU$1035:AU1269,$Q$1035:Q1269,"S")</f>
        <v>-15.999999999994088</v>
      </c>
      <c r="BK1140" s="87">
        <f>SUMIFS($AU$1035:AU1269,$P$1035:P1269,"W")</f>
        <v>-960.00000000003297</v>
      </c>
      <c r="BL1140" s="87">
        <f>SUMIFS($AU$1035:AU1269,$P$1035:P1269,"R")</f>
        <v>1024.0000000000007</v>
      </c>
      <c r="BM1140" s="87">
        <f>SUMIFS($AU$1035:AU1269,$AQ$1035:AQ1269,"M")</f>
        <v>-899.79999999984489</v>
      </c>
      <c r="BN1140" s="87">
        <f>SUMIFS($AU$1035:AU1269,$AQ$1035:AQ1269,"H")</f>
        <v>1583.9999999998265</v>
      </c>
      <c r="BO1140" s="87">
        <f>SUMIFS($AU$1035:AU1269,$AQ$1035:AQ1269,"D")</f>
        <v>-479.9999999999896</v>
      </c>
      <c r="BP1140" s="87">
        <f>SUMIFS($AS$1035:AS1357,$AO$1035:AO1357,"W")</f>
        <v>0</v>
      </c>
      <c r="BQ1140" s="87">
        <f>SUMIFS($AU$1035:AU1269,$Q$1035:Q1269,"O")</f>
        <v>-1079.7999999999552</v>
      </c>
      <c r="BR1140" s="87">
        <f>SUMIFS($AU$1035:AU1269,$AA$1035:AA1269,"*")</f>
        <v>-499.79999999992333</v>
      </c>
      <c r="BS1140" s="87">
        <f>SUMIFS($AU$1035:AU1269,$AB$1035:AB1269,"*")</f>
        <v>-724.00000000009095</v>
      </c>
      <c r="BT1140" s="87">
        <f>SUMIFS($AU$1035:AU1269,$AC$1035:AC1269,"*")</f>
        <v>112.00000000000097</v>
      </c>
      <c r="BU1140" s="87">
        <f>SUMIFS($AU$1035:AU1269,$AA$1035:AA1269,"*",$AB$1035:AB1269,"*")</f>
        <v>47.999999999934744</v>
      </c>
      <c r="BV1140" s="87">
        <f>SUMIFS($AU$1035:AU1269,$AA$1035:AA1269,"*",$AC$1035:AC1269,"*")</f>
        <v>-335.99999999999977</v>
      </c>
      <c r="BW1140" s="87">
        <f>SUMIFS($AU$1035:AU1269,$AB$1035:AB1269,"*",$AC$1035:AC1269,"*")</f>
        <v>-143.99999999999966</v>
      </c>
      <c r="BX1140" s="87">
        <f>SUMIFS($AV$1035:AV1269,$Q$1035:Q1269,"F")</f>
        <v>34.153846153846246</v>
      </c>
      <c r="BY1140" s="87">
        <f>SUMIFS($AV$1035:AV1269,$Q$1035:Q1269,"S")</f>
        <v>20.914285714286223</v>
      </c>
      <c r="BZ1140" s="87">
        <f>SUMIFS($AV$1035:AV1269,$Q$1035:Q1269,"O")</f>
        <v>-445.13333333327751</v>
      </c>
    </row>
    <row r="1141" spans="1:78" ht="15.75" customHeight="1">
      <c r="A1141" s="45" t="s">
        <v>3357</v>
      </c>
      <c r="B1141" s="59"/>
      <c r="C1141" s="46"/>
      <c r="D1141" s="46"/>
      <c r="E1141" s="66"/>
      <c r="F1141" s="47"/>
      <c r="G1141" s="48"/>
      <c r="H1141" s="49"/>
      <c r="I1141" s="49"/>
      <c r="J1141" s="49"/>
      <c r="K1141" s="50"/>
      <c r="L1141" s="49"/>
      <c r="M1141" s="49"/>
      <c r="N1141" s="49"/>
      <c r="O1141" s="50"/>
      <c r="P1141" s="50"/>
      <c r="Q1141" s="50"/>
      <c r="R1141" s="50"/>
      <c r="S1141" s="50"/>
      <c r="T1141" s="50"/>
      <c r="U1141" s="50"/>
      <c r="V1141" s="50"/>
      <c r="W1141" s="50"/>
      <c r="X1141" s="50"/>
      <c r="Y1141" s="50"/>
      <c r="Z1141" s="50"/>
      <c r="AA1141" s="52"/>
      <c r="AB1141" s="52"/>
      <c r="AC1141" s="52"/>
      <c r="AD1141" s="231"/>
      <c r="AE1141" s="49"/>
      <c r="AF1141" s="84"/>
      <c r="AG1141" s="49"/>
      <c r="AH1141" s="49"/>
      <c r="AI1141" s="49"/>
      <c r="AJ1141" s="226"/>
      <c r="AK1141" s="49"/>
      <c r="AL1141" s="113">
        <f t="shared" si="509"/>
        <v>0</v>
      </c>
      <c r="AM1141" s="113">
        <f t="shared" si="510"/>
        <v>0</v>
      </c>
      <c r="AN1141" s="218"/>
      <c r="AO1141" s="49"/>
      <c r="AP1141" s="49"/>
      <c r="AQ1141" s="84" t="str">
        <f>UPPER(RIGHT(Journal_Live[[#This Row],[DURATION ]]))</f>
        <v/>
      </c>
      <c r="AR1141" s="49"/>
      <c r="AS1141" s="55"/>
      <c r="AT1141" s="55">
        <f t="shared" si="511"/>
        <v>0</v>
      </c>
      <c r="AU1141" s="54">
        <f t="shared" si="512"/>
        <v>0</v>
      </c>
      <c r="AV1141" s="56">
        <f t="shared" si="513"/>
        <v>0</v>
      </c>
      <c r="AW1141" s="57"/>
      <c r="AX1141" s="151" t="s">
        <v>3371</v>
      </c>
      <c r="AY1141" s="153" t="s">
        <v>3372</v>
      </c>
      <c r="AZ1141" s="153" t="s">
        <v>3373</v>
      </c>
      <c r="BA1141" s="153" t="s">
        <v>3374</v>
      </c>
      <c r="BB1141" s="153" t="s">
        <v>3375</v>
      </c>
      <c r="BC1141" s="153" t="s">
        <v>3376</v>
      </c>
      <c r="BD1141" s="151"/>
      <c r="BE1141" s="152"/>
      <c r="BF1141" s="151"/>
      <c r="BG1141" s="94">
        <f>SUM($AV$1035:AV1141)</f>
        <v>-293.41904761902651</v>
      </c>
      <c r="BH1141" s="95">
        <f>SUM($AU$1035:AU1141)</f>
        <v>-717.00000000004229</v>
      </c>
      <c r="BI1141" s="80">
        <f>SUMIFS($AU$1035:AU1270,$Q$1035:Q1270,"F")</f>
        <v>112.00000000000057</v>
      </c>
      <c r="BJ1141" s="80">
        <f>SUMIFS($AU$1035:AU1270,$Q$1035:Q1270,"S")</f>
        <v>-15.999999999994088</v>
      </c>
      <c r="BK1141" s="87">
        <f>SUMIFS($AU$1035:AU1270,$P$1035:P1270,"W")</f>
        <v>-960.00000000003297</v>
      </c>
      <c r="BL1141" s="87">
        <f>SUMIFS($AU$1035:AU1270,$P$1035:P1270,"R")</f>
        <v>1024.0000000000007</v>
      </c>
      <c r="BM1141" s="87">
        <f>SUMIFS($AU$1035:AU1270,$AQ$1035:AQ1270,"M")</f>
        <v>-899.79999999984489</v>
      </c>
      <c r="BN1141" s="87">
        <f>SUMIFS($AU$1035:AU1270,$AQ$1035:AQ1270,"H")</f>
        <v>1583.9999999998265</v>
      </c>
      <c r="BO1141" s="87">
        <f>SUMIFS($AU$1035:AU1270,$AQ$1035:AQ1270,"D")</f>
        <v>-479.9999999999896</v>
      </c>
      <c r="BP1141" s="87">
        <f>SUMIFS($AS$1035:AS1358,$AO$1035:AO1358,"W")</f>
        <v>0</v>
      </c>
      <c r="BQ1141" s="87">
        <f>SUMIFS($AU$1035:AU1270,$Q$1035:Q1270,"O")</f>
        <v>-1079.7999999999552</v>
      </c>
      <c r="BR1141" s="87">
        <f>SUMIFS($AU$1035:AU1270,$AA$1035:AA1270,"*")</f>
        <v>-499.79999999992333</v>
      </c>
      <c r="BS1141" s="87">
        <f>SUMIFS($AU$1035:AU1270,$AB$1035:AB1270,"*")</f>
        <v>-724.00000000009095</v>
      </c>
      <c r="BT1141" s="87">
        <f>SUMIFS($AU$1035:AU1270,$AC$1035:AC1270,"*")</f>
        <v>112.00000000000097</v>
      </c>
      <c r="BU1141" s="87">
        <f>SUMIFS($AU$1035:AU1270,$AA$1035:AA1270,"*",$AB$1035:AB1270,"*")</f>
        <v>47.999999999934744</v>
      </c>
      <c r="BV1141" s="87">
        <f>SUMIFS($AU$1035:AU1270,$AA$1035:AA1270,"*",$AC$1035:AC1270,"*")</f>
        <v>-335.99999999999977</v>
      </c>
      <c r="BW1141" s="87">
        <f>SUMIFS($AU$1035:AU1270,$AB$1035:AB1270,"*",$AC$1035:AC1270,"*")</f>
        <v>-143.99999999999966</v>
      </c>
      <c r="BX1141" s="87">
        <f>SUMIFS($AV$1035:AV1270,$Q$1035:Q1270,"F")</f>
        <v>34.153846153846246</v>
      </c>
      <c r="BY1141" s="87">
        <f>SUMIFS($AV$1035:AV1270,$Q$1035:Q1270,"S")</f>
        <v>20.914285714286223</v>
      </c>
      <c r="BZ1141" s="87">
        <f>SUMIFS($AV$1035:AV1270,$Q$1035:Q1270,"O")</f>
        <v>-445.13333333327751</v>
      </c>
    </row>
    <row r="1142" spans="1:78" ht="15.75" customHeight="1">
      <c r="A1142" s="45" t="s">
        <v>3357</v>
      </c>
      <c r="B1142" s="59"/>
      <c r="C1142" s="46"/>
      <c r="D1142" s="46"/>
      <c r="E1142" s="66"/>
      <c r="F1142" s="47"/>
      <c r="G1142" s="48"/>
      <c r="H1142" s="49"/>
      <c r="I1142" s="49"/>
      <c r="J1142" s="49"/>
      <c r="K1142" s="50"/>
      <c r="L1142" s="49"/>
      <c r="M1142" s="49"/>
      <c r="N1142" s="49"/>
      <c r="O1142" s="50"/>
      <c r="P1142" s="50"/>
      <c r="Q1142" s="50"/>
      <c r="R1142" s="50"/>
      <c r="S1142" s="50"/>
      <c r="T1142" s="50"/>
      <c r="U1142" s="50"/>
      <c r="V1142" s="50"/>
      <c r="W1142" s="50"/>
      <c r="X1142" s="50"/>
      <c r="Y1142" s="50"/>
      <c r="Z1142" s="50"/>
      <c r="AA1142" s="52"/>
      <c r="AB1142" s="52"/>
      <c r="AC1142" s="52"/>
      <c r="AD1142" s="231"/>
      <c r="AE1142" s="49"/>
      <c r="AF1142" s="84"/>
      <c r="AG1142" s="49"/>
      <c r="AH1142" s="49"/>
      <c r="AI1142" s="49"/>
      <c r="AJ1142" s="226"/>
      <c r="AK1142" s="49"/>
      <c r="AL1142" s="113">
        <f t="shared" si="509"/>
        <v>0</v>
      </c>
      <c r="AM1142" s="113">
        <f t="shared" si="510"/>
        <v>0</v>
      </c>
      <c r="AN1142" s="218"/>
      <c r="AO1142" s="49"/>
      <c r="AP1142" s="49"/>
      <c r="AQ1142" s="84" t="str">
        <f>UPPER(RIGHT(Journal_Live[[#This Row],[DURATION ]]))</f>
        <v/>
      </c>
      <c r="AR1142" s="49"/>
      <c r="AS1142" s="55"/>
      <c r="AT1142" s="55">
        <f t="shared" si="511"/>
        <v>0</v>
      </c>
      <c r="AU1142" s="54">
        <f t="shared" si="512"/>
        <v>0</v>
      </c>
      <c r="AV1142" s="56">
        <f t="shared" si="513"/>
        <v>0</v>
      </c>
      <c r="AW1142" s="57"/>
      <c r="AX1142" s="153" t="s">
        <v>3377</v>
      </c>
      <c r="AY1142" s="153"/>
      <c r="AZ1142" s="153"/>
      <c r="BA1142" s="153"/>
      <c r="BB1142" s="153"/>
      <c r="BC1142" s="153"/>
      <c r="BD1142" s="151"/>
      <c r="BE1142" s="152"/>
      <c r="BF1142" s="151"/>
      <c r="BG1142" s="94">
        <f>SUM($AV$1035:AV1142)</f>
        <v>-293.41904761902651</v>
      </c>
      <c r="BH1142" s="95">
        <f>SUM($AU$1035:AU1142)</f>
        <v>-717.00000000004229</v>
      </c>
      <c r="BI1142" s="80">
        <f>SUMIFS($AU$1035:AU1271,$Q$1035:Q1271,"F")</f>
        <v>112.00000000000057</v>
      </c>
      <c r="BJ1142" s="80">
        <f>SUMIFS($AU$1035:AU1271,$Q$1035:Q1271,"S")</f>
        <v>-15.999999999994088</v>
      </c>
      <c r="BK1142" s="87">
        <f>SUMIFS($AU$1035:AU1271,$P$1035:P1271,"W")</f>
        <v>-960.00000000003297</v>
      </c>
      <c r="BL1142" s="87">
        <f>SUMIFS($AU$1035:AU1271,$P$1035:P1271,"R")</f>
        <v>1024.0000000000007</v>
      </c>
      <c r="BM1142" s="87">
        <f>SUMIFS($AU$1035:AU1271,$AQ$1035:AQ1271,"M")</f>
        <v>-899.79999999984489</v>
      </c>
      <c r="BN1142" s="87">
        <f>SUMIFS($AU$1035:AU1271,$AQ$1035:AQ1271,"H")</f>
        <v>1583.9999999998265</v>
      </c>
      <c r="BO1142" s="87">
        <f>SUMIFS($AU$1035:AU1271,$AQ$1035:AQ1271,"D")</f>
        <v>-479.9999999999896</v>
      </c>
      <c r="BP1142" s="87">
        <f>SUMIFS($AS$1035:AS1359,$AO$1035:AO1359,"W")</f>
        <v>0</v>
      </c>
      <c r="BQ1142" s="87">
        <f>SUMIFS($AU$1035:AU1271,$Q$1035:Q1271,"O")</f>
        <v>-1079.7999999999552</v>
      </c>
      <c r="BR1142" s="87">
        <f>SUMIFS($AU$1035:AU1271,$AA$1035:AA1271,"*")</f>
        <v>-499.79999999992333</v>
      </c>
      <c r="BS1142" s="87">
        <f>SUMIFS($AU$1035:AU1271,$AB$1035:AB1271,"*")</f>
        <v>-724.00000000009095</v>
      </c>
      <c r="BT1142" s="87">
        <f>SUMIFS($AU$1035:AU1271,$AC$1035:AC1271,"*")</f>
        <v>112.00000000000097</v>
      </c>
      <c r="BU1142" s="87">
        <f>SUMIFS($AU$1035:AU1271,$AA$1035:AA1271,"*",$AB$1035:AB1271,"*")</f>
        <v>47.999999999934744</v>
      </c>
      <c r="BV1142" s="87">
        <f>SUMIFS($AU$1035:AU1271,$AA$1035:AA1271,"*",$AC$1035:AC1271,"*")</f>
        <v>-335.99999999999977</v>
      </c>
      <c r="BW1142" s="87">
        <f>SUMIFS($AU$1035:AU1271,$AB$1035:AB1271,"*",$AC$1035:AC1271,"*")</f>
        <v>-143.99999999999966</v>
      </c>
      <c r="BX1142" s="87">
        <f>SUMIFS($AV$1035:AV1271,$Q$1035:Q1271,"F")</f>
        <v>34.153846153846246</v>
      </c>
      <c r="BY1142" s="87">
        <f>SUMIFS($AV$1035:AV1271,$Q$1035:Q1271,"S")</f>
        <v>20.914285714286223</v>
      </c>
      <c r="BZ1142" s="87">
        <f>SUMIFS($AV$1035:AV1271,$Q$1035:Q1271,"O")</f>
        <v>-445.13333333327751</v>
      </c>
    </row>
    <row r="1143" spans="1:78" ht="15.75" customHeight="1">
      <c r="A1143" s="45" t="s">
        <v>3357</v>
      </c>
      <c r="B1143" s="59"/>
      <c r="C1143" s="46"/>
      <c r="D1143" s="46"/>
      <c r="E1143" s="66"/>
      <c r="F1143" s="47"/>
      <c r="G1143" s="48"/>
      <c r="H1143" s="49"/>
      <c r="I1143" s="49"/>
      <c r="J1143" s="49"/>
      <c r="K1143" s="50"/>
      <c r="L1143" s="49"/>
      <c r="M1143" s="49"/>
      <c r="N1143" s="49"/>
      <c r="O1143" s="50"/>
      <c r="P1143" s="50"/>
      <c r="Q1143" s="50"/>
      <c r="R1143" s="50"/>
      <c r="S1143" s="50"/>
      <c r="T1143" s="50"/>
      <c r="U1143" s="50"/>
      <c r="V1143" s="50"/>
      <c r="W1143" s="50"/>
      <c r="X1143" s="50"/>
      <c r="Y1143" s="50"/>
      <c r="Z1143" s="50"/>
      <c r="AA1143" s="52"/>
      <c r="AB1143" s="52"/>
      <c r="AC1143" s="52"/>
      <c r="AD1143" s="231"/>
      <c r="AE1143" s="49"/>
      <c r="AF1143" s="84"/>
      <c r="AG1143" s="49"/>
      <c r="AH1143" s="49"/>
      <c r="AI1143" s="49"/>
      <c r="AJ1143" s="226"/>
      <c r="AK1143" s="49"/>
      <c r="AL1143" s="113">
        <f t="shared" si="509"/>
        <v>0</v>
      </c>
      <c r="AM1143" s="113">
        <f t="shared" si="510"/>
        <v>0</v>
      </c>
      <c r="AN1143" s="218"/>
      <c r="AO1143" s="49"/>
      <c r="AP1143" s="49"/>
      <c r="AQ1143" s="84" t="str">
        <f>UPPER(RIGHT(Journal_Live[[#This Row],[DURATION ]]))</f>
        <v/>
      </c>
      <c r="AR1143" s="49"/>
      <c r="AS1143" s="55"/>
      <c r="AT1143" s="55">
        <f t="shared" si="511"/>
        <v>0</v>
      </c>
      <c r="AU1143" s="54">
        <f t="shared" si="512"/>
        <v>0</v>
      </c>
      <c r="AV1143" s="56">
        <f t="shared" si="513"/>
        <v>0</v>
      </c>
      <c r="AW1143" s="57"/>
      <c r="AX1143" s="153" t="s">
        <v>3378</v>
      </c>
      <c r="AY1143" s="153"/>
      <c r="AZ1143" s="153"/>
      <c r="BA1143" s="153"/>
      <c r="BB1143" s="153"/>
      <c r="BC1143" s="153"/>
      <c r="BD1143" s="151"/>
      <c r="BE1143" s="152"/>
      <c r="BF1143" s="151"/>
      <c r="BG1143" s="94">
        <f>SUM($AV$1035:AV1143)</f>
        <v>-293.41904761902651</v>
      </c>
      <c r="BH1143" s="95">
        <f>SUM($AU$1035:AU1143)</f>
        <v>-717.00000000004229</v>
      </c>
      <c r="BI1143" s="80">
        <f>SUMIFS($AU$1035:AU1272,$Q$1035:Q1272,"F")</f>
        <v>112.00000000000057</v>
      </c>
      <c r="BJ1143" s="80">
        <f>SUMIFS($AU$1035:AU1272,$Q$1035:Q1272,"S")</f>
        <v>-15.999999999994088</v>
      </c>
      <c r="BK1143" s="87">
        <f>SUMIFS($AU$1035:AU1272,$P$1035:P1272,"W")</f>
        <v>-960.00000000003297</v>
      </c>
      <c r="BL1143" s="87">
        <f>SUMIFS($AU$1035:AU1272,$P$1035:P1272,"R")</f>
        <v>1024.0000000000007</v>
      </c>
      <c r="BM1143" s="87">
        <f>SUMIFS($AU$1035:AU1272,$AQ$1035:AQ1272,"M")</f>
        <v>-899.79999999984489</v>
      </c>
      <c r="BN1143" s="87">
        <f>SUMIFS($AU$1035:AU1272,$AQ$1035:AQ1272,"H")</f>
        <v>1583.9999999998265</v>
      </c>
      <c r="BO1143" s="87">
        <f>SUMIFS($AU$1035:AU1272,$AQ$1035:AQ1272,"D")</f>
        <v>-479.9999999999896</v>
      </c>
      <c r="BP1143" s="87">
        <f>SUMIFS($AS$1035:AS1360,$AO$1035:AO1360,"W")</f>
        <v>0</v>
      </c>
      <c r="BQ1143" s="87">
        <f>SUMIFS($AU$1035:AU1272,$Q$1035:Q1272,"O")</f>
        <v>-1079.7999999999552</v>
      </c>
      <c r="BR1143" s="87">
        <f>SUMIFS($AU$1035:AU1272,$AA$1035:AA1272,"*")</f>
        <v>-499.79999999992333</v>
      </c>
      <c r="BS1143" s="87">
        <f>SUMIFS($AU$1035:AU1272,$AB$1035:AB1272,"*")</f>
        <v>-724.00000000009095</v>
      </c>
      <c r="BT1143" s="87">
        <f>SUMIFS($AU$1035:AU1272,$AC$1035:AC1272,"*")</f>
        <v>112.00000000000097</v>
      </c>
      <c r="BU1143" s="87">
        <f>SUMIFS($AU$1035:AU1272,$AA$1035:AA1272,"*",$AB$1035:AB1272,"*")</f>
        <v>47.999999999934744</v>
      </c>
      <c r="BV1143" s="87">
        <f>SUMIFS($AU$1035:AU1272,$AA$1035:AA1272,"*",$AC$1035:AC1272,"*")</f>
        <v>-335.99999999999977</v>
      </c>
      <c r="BW1143" s="87">
        <f>SUMIFS($AU$1035:AU1272,$AB$1035:AB1272,"*",$AC$1035:AC1272,"*")</f>
        <v>-143.99999999999966</v>
      </c>
      <c r="BX1143" s="87">
        <f>SUMIFS($AV$1035:AV1272,$Q$1035:Q1272,"F")</f>
        <v>34.153846153846246</v>
      </c>
      <c r="BY1143" s="87">
        <f>SUMIFS($AV$1035:AV1272,$Q$1035:Q1272,"S")</f>
        <v>20.914285714286223</v>
      </c>
      <c r="BZ1143" s="87">
        <f>SUMIFS($AV$1035:AV1272,$Q$1035:Q1272,"O")</f>
        <v>-445.13333333327751</v>
      </c>
    </row>
    <row r="1144" spans="1:78" ht="15.75" customHeight="1">
      <c r="A1144" s="45" t="s">
        <v>3357</v>
      </c>
      <c r="B1144" s="59">
        <v>45568</v>
      </c>
      <c r="C1144" s="46" t="s">
        <v>3256</v>
      </c>
      <c r="D1144" s="46" t="s">
        <v>107</v>
      </c>
      <c r="E1144" s="66"/>
      <c r="F1144" s="47"/>
      <c r="G1144" s="104" t="s">
        <v>3358</v>
      </c>
      <c r="H1144" s="49"/>
      <c r="I1144" s="49"/>
      <c r="J1144" s="49"/>
      <c r="K1144" s="50"/>
      <c r="L1144" s="49"/>
      <c r="M1144" s="49"/>
      <c r="N1144" s="49"/>
      <c r="O1144" s="50" t="s">
        <v>100</v>
      </c>
      <c r="P1144" s="50" t="s">
        <v>101</v>
      </c>
      <c r="Q1144" s="50" t="s">
        <v>198</v>
      </c>
      <c r="R1144" s="50">
        <v>5</v>
      </c>
      <c r="S1144" s="50">
        <v>2</v>
      </c>
      <c r="T1144" s="50">
        <v>5</v>
      </c>
      <c r="U1144" s="50" t="s">
        <v>22</v>
      </c>
      <c r="V1144" s="50" t="s">
        <v>2898</v>
      </c>
      <c r="W1144" s="50" t="s">
        <v>155</v>
      </c>
      <c r="X1144" s="50"/>
      <c r="Y1144" s="51">
        <f t="shared" ref="Y1144" si="514">IF(ISBLANK(O1144),"",(IF(O1144=UPPER("IB"),0.005,0.01)))</f>
        <v>0.01</v>
      </c>
      <c r="Z1144" s="52">
        <f t="shared" ref="Z1144" si="515">IF(ISBLANK(O1144),"",IF(O1144="IB",8.63*200,IF(O1144="IR",16*100,IF(O1144="YT",20*100,IF(O1144="YT-XT",24*200,IF(O1144="TED",80*100,IF(O1144="XT",29*200)))))))</f>
        <v>1600</v>
      </c>
      <c r="AA1144" s="52" t="s">
        <v>1889</v>
      </c>
      <c r="AB1144" s="52" t="s">
        <v>3359</v>
      </c>
      <c r="AC1144" s="52"/>
      <c r="AD1144" s="231">
        <f>(95.76*4+95.77*1)/5</f>
        <v>95.762</v>
      </c>
      <c r="AE1144" s="49"/>
      <c r="AF1144" s="84"/>
      <c r="AG1144" s="49"/>
      <c r="AH1144" s="49"/>
      <c r="AI1144" s="49"/>
      <c r="AJ1144" s="226"/>
      <c r="AK1144" s="49"/>
      <c r="AL1144" s="113">
        <f t="shared" ref="AL1144:AL1208" si="516">-0.02*Z1144</f>
        <v>-32</v>
      </c>
      <c r="AM1144" s="113">
        <f t="shared" si="510"/>
        <v>-96</v>
      </c>
      <c r="AN1144" s="218"/>
      <c r="AO1144" s="49"/>
      <c r="AP1144" s="49" t="s">
        <v>297</v>
      </c>
      <c r="AQ1144" s="84" t="s">
        <v>155</v>
      </c>
      <c r="AR1144" s="49" t="s">
        <v>115</v>
      </c>
      <c r="AS1144" s="55">
        <v>95.76</v>
      </c>
      <c r="AT1144" s="55">
        <f t="shared" si="511"/>
        <v>-1.9999999999953388E-3</v>
      </c>
      <c r="AU1144" s="54">
        <f t="shared" si="512"/>
        <v>-15.999999999962711</v>
      </c>
      <c r="AV1144" s="56">
        <f t="shared" ref="AV1144:AV1208" si="517">IF(ISBLANK(AS1144),,(AT1144*Z1144))</f>
        <v>-3.1999999999925421</v>
      </c>
      <c r="AW1144" s="57" t="s">
        <v>121</v>
      </c>
      <c r="AX1144" s="153"/>
      <c r="AY1144" s="153"/>
      <c r="AZ1144" s="153"/>
      <c r="BA1144" s="153"/>
      <c r="BB1144" s="153"/>
      <c r="BC1144" s="153"/>
      <c r="BD1144" s="151"/>
      <c r="BE1144" s="152"/>
      <c r="BF1144" s="151"/>
      <c r="BG1144" s="94">
        <f>SUM($AV$1035:AV1144)</f>
        <v>-296.61904761901906</v>
      </c>
      <c r="BH1144" s="95">
        <f>SUM($AU$1035:AU1144)</f>
        <v>-733.000000000005</v>
      </c>
      <c r="BI1144" s="80">
        <f>SUMIFS($AU$1035:AU1273,$Q$1035:Q1273,"F")</f>
        <v>112.00000000000057</v>
      </c>
      <c r="BJ1144" s="80">
        <f>SUMIFS($AU$1035:AU1273,$Q$1035:Q1273,"S")</f>
        <v>-15.999999999994088</v>
      </c>
      <c r="BK1144" s="87">
        <f>SUMIFS($AU$1035:AU1273,$P$1035:P1273,"W")</f>
        <v>-960.00000000003297</v>
      </c>
      <c r="BL1144" s="87">
        <f>SUMIFS($AU$1035:AU1273,$P$1035:P1273,"R")</f>
        <v>1024.0000000000007</v>
      </c>
      <c r="BM1144" s="87">
        <f>SUMIFS($AU$1035:AU1273,$AQ$1035:AQ1273,"M")</f>
        <v>-899.79999999984489</v>
      </c>
      <c r="BN1144" s="87">
        <f>SUMIFS($AU$1035:AU1273,$AQ$1035:AQ1273,"H")</f>
        <v>1583.9999999998265</v>
      </c>
      <c r="BO1144" s="87">
        <f>SUMIFS($AU$1035:AU1273,$AQ$1035:AQ1273,"D")</f>
        <v>-479.9999999999896</v>
      </c>
      <c r="BP1144" s="87">
        <f>SUMIFS($AS$1035:AS1361,$AO$1035:AO1361,"W")</f>
        <v>0</v>
      </c>
      <c r="BQ1144" s="87">
        <f>SUMIFS($AU$1035:AU1273,$Q$1035:Q1273,"O")</f>
        <v>-1079.7999999999552</v>
      </c>
      <c r="BR1144" s="87">
        <f>SUMIFS($AU$1035:AU1273,$AA$1035:AA1273,"*")</f>
        <v>-499.79999999992333</v>
      </c>
      <c r="BS1144" s="87">
        <f>SUMIFS($AU$1035:AU1273,$AB$1035:AB1273,"*")</f>
        <v>-724.00000000009095</v>
      </c>
      <c r="BT1144" s="87">
        <f>SUMIFS($AU$1035:AU1273,$AC$1035:AC1273,"*")</f>
        <v>112.00000000000097</v>
      </c>
      <c r="BU1144" s="87">
        <f>SUMIFS($AU$1035:AU1273,$AA$1035:AA1273,"*",$AB$1035:AB1273,"*")</f>
        <v>47.999999999934744</v>
      </c>
      <c r="BV1144" s="87">
        <f>SUMIFS($AU$1035:AU1273,$AA$1035:AA1273,"*",$AC$1035:AC1273,"*")</f>
        <v>-335.99999999999977</v>
      </c>
      <c r="BW1144" s="87">
        <f>SUMIFS($AU$1035:AU1273,$AB$1035:AB1273,"*",$AC$1035:AC1273,"*")</f>
        <v>-143.99999999999966</v>
      </c>
      <c r="BX1144" s="87">
        <f>SUMIFS($AV$1035:AV1273,$Q$1035:Q1273,"F")</f>
        <v>34.153846153846246</v>
      </c>
      <c r="BY1144" s="87">
        <f>SUMIFS($AV$1035:AV1273,$Q$1035:Q1273,"S")</f>
        <v>20.914285714286223</v>
      </c>
      <c r="BZ1144" s="87">
        <f>SUMIFS($AV$1035:AV1273,$Q$1035:Q1273,"O")</f>
        <v>-445.13333333327751</v>
      </c>
    </row>
    <row r="1145" spans="1:78" ht="15.75" customHeight="1">
      <c r="A1145" s="45" t="s">
        <v>3357</v>
      </c>
      <c r="B1145" s="59">
        <v>45568</v>
      </c>
      <c r="C1145" s="46" t="s">
        <v>3256</v>
      </c>
      <c r="D1145" s="46" t="s">
        <v>107</v>
      </c>
      <c r="E1145" s="66"/>
      <c r="F1145" s="47"/>
      <c r="G1145" s="104" t="s">
        <v>295</v>
      </c>
      <c r="H1145" s="49"/>
      <c r="I1145" s="49"/>
      <c r="J1145" s="49"/>
      <c r="K1145" s="50"/>
      <c r="L1145" s="49"/>
      <c r="M1145" s="49"/>
      <c r="N1145" s="49"/>
      <c r="O1145" s="50" t="s">
        <v>100</v>
      </c>
      <c r="P1145" s="50" t="s">
        <v>101</v>
      </c>
      <c r="Q1145" s="50" t="s">
        <v>102</v>
      </c>
      <c r="R1145" s="50">
        <v>3</v>
      </c>
      <c r="S1145" s="50">
        <v>0</v>
      </c>
      <c r="T1145" s="50">
        <v>3</v>
      </c>
      <c r="U1145" s="50" t="s">
        <v>102</v>
      </c>
      <c r="V1145" s="50" t="s">
        <v>2906</v>
      </c>
      <c r="W1145" s="50" t="s">
        <v>3086</v>
      </c>
      <c r="X1145" s="50" t="s">
        <v>3026</v>
      </c>
      <c r="Y1145" s="51">
        <f t="shared" ref="Y1145" si="518">IF(ISBLANK(O1145),"",(IF(O1145=UPPER("IB"),0.005,0.01)))</f>
        <v>0.01</v>
      </c>
      <c r="Z1145" s="52">
        <f t="shared" ref="Z1145" si="519">IF(ISBLANK(O1145),"",IF(O1145="IB",8.63*200,IF(O1145="IR",16*100,IF(O1145="YT",20*100,IF(O1145="YT-XT",24*200,IF(O1145="TED",80*100,IF(O1145="XT",29*200)))))))</f>
        <v>1600</v>
      </c>
      <c r="AA1145" s="52"/>
      <c r="AB1145" s="52" t="s">
        <v>3379</v>
      </c>
      <c r="AC1145" s="52"/>
      <c r="AD1145" s="231">
        <v>-0.17</v>
      </c>
      <c r="AE1145" s="49"/>
      <c r="AF1145" s="84"/>
      <c r="AG1145" s="49"/>
      <c r="AH1145" s="49"/>
      <c r="AI1145" s="49"/>
      <c r="AJ1145" s="226"/>
      <c r="AK1145" s="49"/>
      <c r="AL1145" s="113">
        <f>-0.03*Z1145</f>
        <v>-48</v>
      </c>
      <c r="AM1145" s="113">
        <f t="shared" si="510"/>
        <v>-144</v>
      </c>
      <c r="AN1145" s="218"/>
      <c r="AO1145" s="49"/>
      <c r="AP1145" s="49"/>
      <c r="AQ1145" s="84" t="s">
        <v>155</v>
      </c>
      <c r="AR1145" s="49" t="s">
        <v>176</v>
      </c>
      <c r="AS1145" s="55">
        <v>-0.14000000000000001</v>
      </c>
      <c r="AT1145" s="55">
        <f t="shared" si="511"/>
        <v>-0.03</v>
      </c>
      <c r="AU1145" s="54">
        <f t="shared" si="512"/>
        <v>-144</v>
      </c>
      <c r="AV1145" s="56">
        <f t="shared" si="517"/>
        <v>-48</v>
      </c>
      <c r="AW1145" s="57" t="s">
        <v>121</v>
      </c>
      <c r="AX1145" s="153"/>
      <c r="AY1145" s="153"/>
      <c r="AZ1145" s="153"/>
      <c r="BA1145" s="153"/>
      <c r="BB1145" s="153"/>
      <c r="BC1145" s="153"/>
      <c r="BD1145" s="151"/>
      <c r="BE1145" s="152"/>
      <c r="BF1145" s="151"/>
      <c r="BG1145" s="94">
        <f>SUM($AV$1035:AV1145)</f>
        <v>-344.61904761901906</v>
      </c>
      <c r="BH1145" s="95">
        <f>SUM($AU$1035:AU1145)</f>
        <v>-877.000000000005</v>
      </c>
      <c r="BI1145" s="80">
        <f>SUMIFS($AU$1035:AU1274,$Q$1035:Q1274,"F")</f>
        <v>112.00000000000057</v>
      </c>
      <c r="BJ1145" s="80">
        <f>SUMIFS($AU$1035:AU1274,$Q$1035:Q1274,"S")</f>
        <v>-15.999999999994088</v>
      </c>
      <c r="BK1145" s="87">
        <f>SUMIFS($AU$1035:AU1274,$P$1035:P1274,"W")</f>
        <v>-960.00000000003297</v>
      </c>
      <c r="BL1145" s="87">
        <f>SUMIFS($AU$1035:AU1274,$P$1035:P1274,"R")</f>
        <v>1024.0000000000007</v>
      </c>
      <c r="BM1145" s="87">
        <f>SUMIFS($AU$1035:AU1274,$AQ$1035:AQ1274,"M")</f>
        <v>-899.79999999984489</v>
      </c>
      <c r="BN1145" s="87">
        <f>SUMIFS($AU$1035:AU1274,$AQ$1035:AQ1274,"H")</f>
        <v>1583.9999999998265</v>
      </c>
      <c r="BO1145" s="87">
        <f>SUMIFS($AU$1035:AU1274,$AQ$1035:AQ1274,"D")</f>
        <v>-479.9999999999896</v>
      </c>
      <c r="BP1145" s="87">
        <f>SUMIFS($AS$1035:AS1362,$AO$1035:AO1362,"W")</f>
        <v>0</v>
      </c>
      <c r="BQ1145" s="87">
        <f>SUMIFS($AU$1035:AU1274,$Q$1035:Q1274,"O")</f>
        <v>-1079.7999999999552</v>
      </c>
      <c r="BR1145" s="87">
        <f>SUMIFS($AU$1035:AU1274,$AA$1035:AA1274,"*")</f>
        <v>-499.79999999992333</v>
      </c>
      <c r="BS1145" s="87">
        <f>SUMIFS($AU$1035:AU1274,$AB$1035:AB1274,"*")</f>
        <v>-724.00000000009095</v>
      </c>
      <c r="BT1145" s="87">
        <f>SUMIFS($AU$1035:AU1274,$AC$1035:AC1274,"*")</f>
        <v>112.00000000000097</v>
      </c>
      <c r="BU1145" s="87">
        <f>SUMIFS($AU$1035:AU1274,$AA$1035:AA1274,"*",$AB$1035:AB1274,"*")</f>
        <v>47.999999999934744</v>
      </c>
      <c r="BV1145" s="87">
        <f>SUMIFS($AU$1035:AU1274,$AA$1035:AA1274,"*",$AC$1035:AC1274,"*")</f>
        <v>-335.99999999999977</v>
      </c>
      <c r="BW1145" s="87">
        <f>SUMIFS($AU$1035:AU1274,$AB$1035:AB1274,"*",$AC$1035:AC1274,"*")</f>
        <v>-143.99999999999966</v>
      </c>
      <c r="BX1145" s="87">
        <f>SUMIFS($AV$1035:AV1274,$Q$1035:Q1274,"F")</f>
        <v>34.153846153846246</v>
      </c>
      <c r="BY1145" s="87">
        <f>SUMIFS($AV$1035:AV1274,$Q$1035:Q1274,"S")</f>
        <v>20.914285714286223</v>
      </c>
      <c r="BZ1145" s="87">
        <f>SUMIFS($AV$1035:AV1274,$Q$1035:Q1274,"O")</f>
        <v>-445.13333333327751</v>
      </c>
    </row>
    <row r="1146" spans="1:78" ht="15.75" customHeight="1">
      <c r="A1146" s="45" t="s">
        <v>3357</v>
      </c>
      <c r="B1146" s="59">
        <v>45568</v>
      </c>
      <c r="C1146" s="46" t="s">
        <v>3256</v>
      </c>
      <c r="D1146" s="46" t="s">
        <v>107</v>
      </c>
      <c r="E1146" s="66"/>
      <c r="F1146" s="47"/>
      <c r="G1146" s="104" t="s">
        <v>3380</v>
      </c>
      <c r="H1146" s="49"/>
      <c r="I1146" s="49"/>
      <c r="J1146" s="49"/>
      <c r="K1146" s="50"/>
      <c r="L1146" s="49"/>
      <c r="M1146" s="49"/>
      <c r="N1146" s="49"/>
      <c r="O1146" s="50" t="s">
        <v>100</v>
      </c>
      <c r="P1146" s="50" t="s">
        <v>101</v>
      </c>
      <c r="Q1146" s="50" t="s">
        <v>102</v>
      </c>
      <c r="R1146" s="50">
        <v>2</v>
      </c>
      <c r="S1146" s="50">
        <v>0</v>
      </c>
      <c r="T1146" s="50">
        <v>2</v>
      </c>
      <c r="U1146" s="50" t="s">
        <v>22</v>
      </c>
      <c r="V1146" s="50" t="s">
        <v>2906</v>
      </c>
      <c r="W1146" s="50" t="s">
        <v>3086</v>
      </c>
      <c r="X1146" s="50" t="s">
        <v>3035</v>
      </c>
      <c r="Y1146" s="51">
        <f t="shared" ref="Y1146" si="520">IF(ISBLANK(O1146),"",(IF(O1146=UPPER("IB"),0.005,0.01)))</f>
        <v>0.01</v>
      </c>
      <c r="Z1146" s="52">
        <f t="shared" ref="Z1146" si="521">IF(ISBLANK(O1146),"",IF(O1146="IB",8.63*200,IF(O1146="IR",16*100,IF(O1146="YT",20*100,IF(O1146="YT-XT",24*200,IF(O1146="TED",80*100,IF(O1146="XT",29*200)))))))</f>
        <v>1600</v>
      </c>
      <c r="AA1146" s="52"/>
      <c r="AB1146" s="52"/>
      <c r="AC1146" s="52" t="s">
        <v>3381</v>
      </c>
      <c r="AD1146" s="231">
        <v>-0.15</v>
      </c>
      <c r="AE1146" s="49"/>
      <c r="AF1146" s="84"/>
      <c r="AG1146" s="49"/>
      <c r="AH1146" s="49"/>
      <c r="AI1146" s="49"/>
      <c r="AJ1146" s="226"/>
      <c r="AK1146" s="49"/>
      <c r="AL1146" s="113">
        <f t="shared" si="516"/>
        <v>-32</v>
      </c>
      <c r="AM1146" s="113">
        <f t="shared" si="510"/>
        <v>-64</v>
      </c>
      <c r="AN1146" s="218"/>
      <c r="AO1146" s="49"/>
      <c r="AP1146" s="49"/>
      <c r="AQ1146" s="84" t="s">
        <v>155</v>
      </c>
      <c r="AR1146" s="49" t="s">
        <v>3382</v>
      </c>
      <c r="AS1146" s="55">
        <v>-0.14000000000000001</v>
      </c>
      <c r="AT1146" s="55">
        <f t="shared" si="511"/>
        <v>9.9999999999999811E-3</v>
      </c>
      <c r="AU1146" s="54">
        <f t="shared" si="512"/>
        <v>31.99999999999994</v>
      </c>
      <c r="AV1146" s="56">
        <f t="shared" si="517"/>
        <v>15.99999999999997</v>
      </c>
      <c r="AW1146" s="57" t="s">
        <v>101</v>
      </c>
      <c r="AX1146" s="153"/>
      <c r="AY1146" s="153"/>
      <c r="AZ1146" s="153"/>
      <c r="BA1146" s="153"/>
      <c r="BB1146" s="153"/>
      <c r="BC1146" s="153"/>
      <c r="BD1146" s="151"/>
      <c r="BE1146" s="152"/>
      <c r="BF1146" s="151"/>
      <c r="BG1146" s="94">
        <f>SUM($AV$1035:AV1146)</f>
        <v>-328.61904761901911</v>
      </c>
      <c r="BH1146" s="95">
        <f>SUM($AU$1035:AU1146)</f>
        <v>-845.00000000000512</v>
      </c>
      <c r="BI1146" s="80">
        <f>SUMIFS($AU$1035:AU1275,$Q$1035:Q1275,"F")</f>
        <v>112.00000000000057</v>
      </c>
      <c r="BJ1146" s="80">
        <f>SUMIFS($AU$1035:AU1275,$Q$1035:Q1275,"S")</f>
        <v>-15.999999999994088</v>
      </c>
      <c r="BK1146" s="87">
        <f>SUMIFS($AU$1035:AU1275,$P$1035:P1275,"W")</f>
        <v>-960.00000000003297</v>
      </c>
      <c r="BL1146" s="87">
        <f>SUMIFS($AU$1035:AU1275,$P$1035:P1275,"R")</f>
        <v>1024.0000000000007</v>
      </c>
      <c r="BM1146" s="87">
        <f>SUMIFS($AU$1035:AU1275,$AQ$1035:AQ1275,"M")</f>
        <v>-899.79999999984489</v>
      </c>
      <c r="BN1146" s="87">
        <f>SUMIFS($AU$1035:AU1275,$AQ$1035:AQ1275,"H")</f>
        <v>1583.9999999998265</v>
      </c>
      <c r="BO1146" s="87">
        <f>SUMIFS($AU$1035:AU1275,$AQ$1035:AQ1275,"D")</f>
        <v>-479.9999999999896</v>
      </c>
      <c r="BP1146" s="87">
        <f>SUMIFS($AS$1035:AS1363,$AO$1035:AO1363,"W")</f>
        <v>0</v>
      </c>
      <c r="BQ1146" s="87">
        <f>SUMIFS($AU$1035:AU1275,$Q$1035:Q1275,"O")</f>
        <v>-1079.7999999999552</v>
      </c>
      <c r="BR1146" s="87">
        <f>SUMIFS($AU$1035:AU1275,$AA$1035:AA1275,"*")</f>
        <v>-499.79999999992333</v>
      </c>
      <c r="BS1146" s="87">
        <f>SUMIFS($AU$1035:AU1275,$AB$1035:AB1275,"*")</f>
        <v>-724.00000000009095</v>
      </c>
      <c r="BT1146" s="87">
        <f>SUMIFS($AU$1035:AU1275,$AC$1035:AC1275,"*")</f>
        <v>112.00000000000097</v>
      </c>
      <c r="BU1146" s="87">
        <f>SUMIFS($AU$1035:AU1275,$AA$1035:AA1275,"*",$AB$1035:AB1275,"*")</f>
        <v>47.999999999934744</v>
      </c>
      <c r="BV1146" s="87">
        <f>SUMIFS($AU$1035:AU1275,$AA$1035:AA1275,"*",$AC$1035:AC1275,"*")</f>
        <v>-335.99999999999977</v>
      </c>
      <c r="BW1146" s="87">
        <f>SUMIFS($AU$1035:AU1275,$AB$1035:AB1275,"*",$AC$1035:AC1275,"*")</f>
        <v>-143.99999999999966</v>
      </c>
      <c r="BX1146" s="87">
        <f>SUMIFS($AV$1035:AV1275,$Q$1035:Q1275,"F")</f>
        <v>34.153846153846246</v>
      </c>
      <c r="BY1146" s="87">
        <f>SUMIFS($AV$1035:AV1275,$Q$1035:Q1275,"S")</f>
        <v>20.914285714286223</v>
      </c>
      <c r="BZ1146" s="87">
        <f>SUMIFS($AV$1035:AV1275,$Q$1035:Q1275,"O")</f>
        <v>-445.13333333327751</v>
      </c>
    </row>
    <row r="1147" spans="1:78" ht="15.75" customHeight="1">
      <c r="A1147" s="45" t="s">
        <v>3357</v>
      </c>
      <c r="B1147" s="59">
        <v>45569</v>
      </c>
      <c r="C1147" s="46" t="s">
        <v>3256</v>
      </c>
      <c r="D1147" s="46" t="s">
        <v>115</v>
      </c>
      <c r="E1147" s="66"/>
      <c r="F1147" s="47"/>
      <c r="G1147" s="48" t="s">
        <v>3383</v>
      </c>
      <c r="H1147" s="49"/>
      <c r="I1147" s="49"/>
      <c r="J1147" s="49"/>
      <c r="K1147" s="50"/>
      <c r="L1147" s="49"/>
      <c r="M1147" s="49"/>
      <c r="N1147" s="49"/>
      <c r="O1147" s="50" t="s">
        <v>100</v>
      </c>
      <c r="P1147" s="50" t="s">
        <v>101</v>
      </c>
      <c r="Q1147" s="50" t="s">
        <v>102</v>
      </c>
      <c r="R1147" s="50">
        <v>2</v>
      </c>
      <c r="S1147" s="50">
        <v>0</v>
      </c>
      <c r="T1147" s="50">
        <v>2</v>
      </c>
      <c r="U1147" s="50" t="s">
        <v>102</v>
      </c>
      <c r="V1147" s="50" t="s">
        <v>2906</v>
      </c>
      <c r="W1147" s="50" t="s">
        <v>155</v>
      </c>
      <c r="X1147" s="50"/>
      <c r="Y1147" s="51">
        <f t="shared" ref="Y1147" si="522">IF(ISBLANK(O1147),"",(IF(O1147=UPPER("IB"),0.005,0.01)))</f>
        <v>0.01</v>
      </c>
      <c r="Z1147" s="52">
        <f t="shared" ref="Z1147" si="523">IF(ISBLANK(O1147),"",IF(O1147="IB",8.63*200,IF(O1147="IR",16*100,IF(O1147="YT",20*100,IF(O1147="YT-XT",24*200,IF(O1147="TED",80*100,IF(O1147="XT",29*200)))))))</f>
        <v>1600</v>
      </c>
      <c r="AA1147" s="52" t="s">
        <v>3384</v>
      </c>
      <c r="AB1147" s="52"/>
      <c r="AC1147" s="52"/>
      <c r="AD1147" s="231">
        <v>-0.24</v>
      </c>
      <c r="AE1147" s="49"/>
      <c r="AF1147" s="84"/>
      <c r="AG1147" s="49"/>
      <c r="AH1147" s="49"/>
      <c r="AI1147" s="49"/>
      <c r="AJ1147" s="226"/>
      <c r="AK1147" s="49"/>
      <c r="AL1147" s="113">
        <f t="shared" ref="AL1147:AL1178" si="524">-0.02*Z1147</f>
        <v>-32</v>
      </c>
      <c r="AM1147" s="113">
        <f t="shared" ref="AM1147:AM1178" si="525">AL1147*(R1147-S1147)</f>
        <v>-64</v>
      </c>
      <c r="AN1147" s="218"/>
      <c r="AO1147" s="49"/>
      <c r="AP1147" s="49"/>
      <c r="AQ1147" s="84" t="s">
        <v>142</v>
      </c>
      <c r="AR1147" s="49" t="s">
        <v>3385</v>
      </c>
      <c r="AS1147" s="55">
        <v>-0.24</v>
      </c>
      <c r="AT1147" s="55">
        <f t="shared" ref="AT1147:AT1178" si="526">IF(ISBLANK(AS1147),,IF(U1147="S",AD1147-AS1147,AS1147-AD1147))</f>
        <v>0</v>
      </c>
      <c r="AU1147" s="54">
        <f t="shared" ref="AU1147:AU1178" si="527">AV1147*R1147</f>
        <v>0</v>
      </c>
      <c r="AV1147" s="56">
        <f t="shared" ref="AV1147:AV1178" si="528">IF(ISBLANK(AS1147),,(AT1147*Z1147))</f>
        <v>0</v>
      </c>
      <c r="AW1147" s="57" t="s">
        <v>155</v>
      </c>
      <c r="AX1147" s="153"/>
      <c r="AY1147" s="153"/>
      <c r="AZ1147" s="153"/>
      <c r="BA1147" s="153"/>
      <c r="BB1147" s="153"/>
      <c r="BC1147" s="153"/>
      <c r="BD1147" s="151"/>
      <c r="BE1147" s="152"/>
      <c r="BF1147" s="151"/>
      <c r="BG1147" s="94">
        <f>SUM($AV$1035:AV1147)</f>
        <v>-328.61904761901911</v>
      </c>
      <c r="BH1147" s="95">
        <f>SUM($AU$1035:AU1147)</f>
        <v>-845.00000000000512</v>
      </c>
      <c r="BI1147" s="80">
        <f>SUMIFS($AU$1035:AU1273,$Q$1035:Q1273,"F")</f>
        <v>112.00000000000057</v>
      </c>
      <c r="BJ1147" s="80">
        <f>SUMIFS($AU$1035:AU1273,$Q$1035:Q1273,"S")</f>
        <v>-15.999999999994088</v>
      </c>
      <c r="BK1147" s="87">
        <f>SUMIFS($AU$1035:AU1273,$P$1035:P1273,"W")</f>
        <v>-960.00000000003297</v>
      </c>
      <c r="BL1147" s="87">
        <f>SUMIFS($AU$1035:AU1273,$P$1035:P1273,"R")</f>
        <v>1024.0000000000007</v>
      </c>
      <c r="BM1147" s="87">
        <f>SUMIFS($AU$1035:AU1273,$AQ$1035:AQ1273,"M")</f>
        <v>-899.79999999984489</v>
      </c>
      <c r="BN1147" s="87">
        <f>SUMIFS($AU$1035:AU1273,$AQ$1035:AQ1273,"H")</f>
        <v>1583.9999999998265</v>
      </c>
      <c r="BO1147" s="87">
        <f>SUMIFS($AU$1035:AU1273,$AQ$1035:AQ1273,"D")</f>
        <v>-479.9999999999896</v>
      </c>
      <c r="BP1147" s="87">
        <f>SUMIFS($AS$1035:AS1361,$AO$1035:AO1361,"W")</f>
        <v>0</v>
      </c>
      <c r="BQ1147" s="87">
        <f>SUMIFS($AU$1035:AU1273,$Q$1035:Q1273,"O")</f>
        <v>-1079.7999999999552</v>
      </c>
      <c r="BR1147" s="87">
        <f>SUMIFS($AU$1035:AU1273,$AA$1035:AA1273,"*")</f>
        <v>-499.79999999992333</v>
      </c>
      <c r="BS1147" s="87">
        <f>SUMIFS($AU$1035:AU1273,$AB$1035:AB1273,"*")</f>
        <v>-724.00000000009095</v>
      </c>
      <c r="BT1147" s="87">
        <f>SUMIFS($AU$1035:AU1273,$AC$1035:AC1273,"*")</f>
        <v>112.00000000000097</v>
      </c>
      <c r="BU1147" s="87">
        <f>SUMIFS($AU$1035:AU1273,$AA$1035:AA1273,"*",$AB$1035:AB1273,"*")</f>
        <v>47.999999999934744</v>
      </c>
      <c r="BV1147" s="87">
        <f>SUMIFS($AU$1035:AU1273,$AA$1035:AA1273,"*",$AC$1035:AC1273,"*")</f>
        <v>-335.99999999999977</v>
      </c>
      <c r="BW1147" s="87">
        <f>SUMIFS($AU$1035:AU1273,$AB$1035:AB1273,"*",$AC$1035:AC1273,"*")</f>
        <v>-143.99999999999966</v>
      </c>
      <c r="BX1147" s="87">
        <f>SUMIFS($AV$1035:AV1273,$Q$1035:Q1273,"F")</f>
        <v>34.153846153846246</v>
      </c>
      <c r="BY1147" s="87">
        <f>SUMIFS($AV$1035:AV1273,$Q$1035:Q1273,"S")</f>
        <v>20.914285714286223</v>
      </c>
      <c r="BZ1147" s="87">
        <f>SUMIFS($AV$1035:AV1273,$Q$1035:Q1273,"O")</f>
        <v>-445.13333333327751</v>
      </c>
    </row>
    <row r="1148" spans="1:78" ht="15.75" customHeight="1">
      <c r="A1148" s="45" t="s">
        <v>3357</v>
      </c>
      <c r="B1148" s="59">
        <v>45569</v>
      </c>
      <c r="C1148" s="46" t="s">
        <v>2847</v>
      </c>
      <c r="D1148" s="46" t="s">
        <v>115</v>
      </c>
      <c r="E1148" s="66"/>
      <c r="F1148" s="47"/>
      <c r="G1148" s="104" t="s">
        <v>2694</v>
      </c>
      <c r="H1148" s="49"/>
      <c r="I1148" s="49"/>
      <c r="J1148" s="49"/>
      <c r="K1148" s="50"/>
      <c r="L1148" s="49"/>
      <c r="M1148" s="49"/>
      <c r="N1148" s="49"/>
      <c r="O1148" s="50" t="s">
        <v>100</v>
      </c>
      <c r="P1148" s="50" t="s">
        <v>101</v>
      </c>
      <c r="Q1148" s="50" t="s">
        <v>102</v>
      </c>
      <c r="R1148" s="50">
        <v>12</v>
      </c>
      <c r="S1148" s="50">
        <v>0</v>
      </c>
      <c r="T1148" s="50">
        <v>12</v>
      </c>
      <c r="U1148" s="50" t="s">
        <v>102</v>
      </c>
      <c r="V1148" s="50" t="s">
        <v>2906</v>
      </c>
      <c r="W1148" s="50" t="s">
        <v>22</v>
      </c>
      <c r="X1148" s="50" t="s">
        <v>3002</v>
      </c>
      <c r="Y1148" s="51">
        <f t="shared" ref="Y1148" si="529">IF(ISBLANK(O1148),"",(IF(O1148=UPPER("IB"),0.005,0.01)))</f>
        <v>0.01</v>
      </c>
      <c r="Z1148" s="52">
        <f t="shared" ref="Z1148" si="530">IF(ISBLANK(O1148),"",IF(O1148="IB",8.63*200,IF(O1148="IR",16*100,IF(O1148="YT",20*100,IF(O1148="YT-XT",24*200,IF(O1148="TED",80*100,IF(O1148="XT",29*200)))))))</f>
        <v>1600</v>
      </c>
      <c r="AA1148" s="52" t="s">
        <v>3386</v>
      </c>
      <c r="AB1148" s="52"/>
      <c r="AC1148" s="52"/>
      <c r="AD1148" s="231">
        <v>-0.06</v>
      </c>
      <c r="AE1148" s="49"/>
      <c r="AF1148" s="84"/>
      <c r="AG1148" s="49"/>
      <c r="AH1148" s="49"/>
      <c r="AI1148" s="49"/>
      <c r="AJ1148" s="226"/>
      <c r="AK1148" s="49"/>
      <c r="AL1148" s="113">
        <f t="shared" si="524"/>
        <v>-32</v>
      </c>
      <c r="AM1148" s="113">
        <f t="shared" si="525"/>
        <v>-384</v>
      </c>
      <c r="AN1148" s="218"/>
      <c r="AO1148" s="49"/>
      <c r="AP1148" s="49"/>
      <c r="AQ1148" s="84" t="s">
        <v>142</v>
      </c>
      <c r="AR1148" s="49" t="s">
        <v>147</v>
      </c>
      <c r="AS1148" s="55">
        <v>-7.0000000000000007E-2</v>
      </c>
      <c r="AT1148" s="55">
        <f t="shared" si="526"/>
        <v>1.0000000000000009E-2</v>
      </c>
      <c r="AU1148" s="54">
        <f t="shared" si="527"/>
        <v>192.00000000000017</v>
      </c>
      <c r="AV1148" s="56">
        <f t="shared" si="528"/>
        <v>16.000000000000014</v>
      </c>
      <c r="AW1148" s="57" t="s">
        <v>101</v>
      </c>
      <c r="AX1148" s="153"/>
      <c r="AY1148" s="153"/>
      <c r="AZ1148" s="153"/>
      <c r="BA1148" s="153"/>
      <c r="BB1148" s="153"/>
      <c r="BC1148" s="153"/>
      <c r="BD1148" s="151"/>
      <c r="BE1148" s="152"/>
      <c r="BF1148" s="151"/>
      <c r="BG1148" s="94">
        <f>SUM($AV$1035:AV1148)</f>
        <v>-312.61904761901911</v>
      </c>
      <c r="BH1148" s="95">
        <f>SUM($AU$1035:AU1148)</f>
        <v>-653.000000000005</v>
      </c>
      <c r="BI1148" s="80">
        <f>SUMIFS($AU$1035:AU1274,$Q$1035:Q1274,"F")</f>
        <v>112.00000000000057</v>
      </c>
      <c r="BJ1148" s="80">
        <f>SUMIFS($AU$1035:AU1274,$Q$1035:Q1274,"S")</f>
        <v>-15.999999999994088</v>
      </c>
      <c r="BK1148" s="87">
        <f>SUMIFS($AU$1035:AU1274,$P$1035:P1274,"W")</f>
        <v>-960.00000000003297</v>
      </c>
      <c r="BL1148" s="87">
        <f>SUMIFS($AU$1035:AU1274,$P$1035:P1274,"R")</f>
        <v>1024.0000000000007</v>
      </c>
      <c r="BM1148" s="87">
        <f>SUMIFS($AU$1035:AU1274,$AQ$1035:AQ1274,"M")</f>
        <v>-899.79999999984489</v>
      </c>
      <c r="BN1148" s="87">
        <f>SUMIFS($AU$1035:AU1274,$AQ$1035:AQ1274,"H")</f>
        <v>1583.9999999998265</v>
      </c>
      <c r="BO1148" s="87">
        <f>SUMIFS($AU$1035:AU1274,$AQ$1035:AQ1274,"D")</f>
        <v>-479.9999999999896</v>
      </c>
      <c r="BP1148" s="87">
        <f>SUMIFS($AS$1035:AS1362,$AO$1035:AO1362,"W")</f>
        <v>0</v>
      </c>
      <c r="BQ1148" s="87">
        <f>SUMIFS($AU$1035:AU1274,$Q$1035:Q1274,"O")</f>
        <v>-1079.7999999999552</v>
      </c>
      <c r="BR1148" s="87">
        <f>SUMIFS($AU$1035:AU1274,$AA$1035:AA1274,"*")</f>
        <v>-499.79999999992333</v>
      </c>
      <c r="BS1148" s="87">
        <f>SUMIFS($AU$1035:AU1274,$AB$1035:AB1274,"*")</f>
        <v>-724.00000000009095</v>
      </c>
      <c r="BT1148" s="87">
        <f>SUMIFS($AU$1035:AU1274,$AC$1035:AC1274,"*")</f>
        <v>112.00000000000097</v>
      </c>
      <c r="BU1148" s="87">
        <f>SUMIFS($AU$1035:AU1274,$AA$1035:AA1274,"*",$AB$1035:AB1274,"*")</f>
        <v>47.999999999934744</v>
      </c>
      <c r="BV1148" s="87">
        <f>SUMIFS($AU$1035:AU1274,$AA$1035:AA1274,"*",$AC$1035:AC1274,"*")</f>
        <v>-335.99999999999977</v>
      </c>
      <c r="BW1148" s="87">
        <f>SUMIFS($AU$1035:AU1274,$AB$1035:AB1274,"*",$AC$1035:AC1274,"*")</f>
        <v>-143.99999999999966</v>
      </c>
      <c r="BX1148" s="87">
        <f>SUMIFS($AV$1035:AV1274,$Q$1035:Q1274,"F")</f>
        <v>34.153846153846246</v>
      </c>
      <c r="BY1148" s="87">
        <f>SUMIFS($AV$1035:AV1274,$Q$1035:Q1274,"S")</f>
        <v>20.914285714286223</v>
      </c>
      <c r="BZ1148" s="87">
        <f>SUMIFS($AV$1035:AV1274,$Q$1035:Q1274,"O")</f>
        <v>-445.13333333327751</v>
      </c>
    </row>
    <row r="1149" spans="1:78" ht="15.75" customHeight="1">
      <c r="A1149" s="45" t="s">
        <v>3357</v>
      </c>
      <c r="B1149" s="59">
        <v>45569</v>
      </c>
      <c r="C1149" s="46" t="s">
        <v>1143</v>
      </c>
      <c r="D1149" s="46" t="s">
        <v>115</v>
      </c>
      <c r="E1149" s="66" t="s">
        <v>3387</v>
      </c>
      <c r="F1149" s="47" t="s">
        <v>3291</v>
      </c>
      <c r="G1149" s="48"/>
      <c r="H1149" s="49">
        <v>1</v>
      </c>
      <c r="I1149" s="49"/>
      <c r="J1149" s="49"/>
      <c r="K1149" s="50" t="s">
        <v>142</v>
      </c>
      <c r="L1149" s="49"/>
      <c r="M1149" s="49"/>
      <c r="N1149" s="49"/>
      <c r="O1149" s="50"/>
      <c r="P1149" s="50"/>
      <c r="Q1149" s="50"/>
      <c r="R1149" s="50"/>
      <c r="S1149" s="50"/>
      <c r="T1149" s="50"/>
      <c r="U1149" s="50"/>
      <c r="V1149" s="50"/>
      <c r="W1149" s="50"/>
      <c r="X1149" s="50"/>
      <c r="Y1149" s="50"/>
      <c r="Z1149" s="50"/>
      <c r="AA1149" s="52"/>
      <c r="AB1149" s="52"/>
      <c r="AC1149" s="52"/>
      <c r="AD1149" s="231"/>
      <c r="AE1149" s="49"/>
      <c r="AF1149" s="84"/>
      <c r="AG1149" s="49"/>
      <c r="AH1149" s="49"/>
      <c r="AI1149" s="49"/>
      <c r="AJ1149" s="226"/>
      <c r="AK1149" s="49"/>
      <c r="AL1149" s="113">
        <f t="shared" ref="AL1149:AL1164" si="531">-0.02*Z1149</f>
        <v>0</v>
      </c>
      <c r="AM1149" s="113">
        <f t="shared" ref="AM1149:AM1164" si="532">AL1149*(R1149-S1149)</f>
        <v>0</v>
      </c>
      <c r="AN1149" s="218"/>
      <c r="AO1149" s="49"/>
      <c r="AP1149" s="49"/>
      <c r="AQ1149" s="84" t="str">
        <f>UPPER(RIGHT(Journal_Live[[#This Row],[DURATION ]]))</f>
        <v/>
      </c>
      <c r="AR1149" s="49"/>
      <c r="AS1149" s="55"/>
      <c r="AT1149" s="55">
        <f t="shared" ref="AT1149:AT1164" si="533">IF(ISBLANK(AS1149),,IF(U1149="S",AD1149-AS1149,AS1149-AD1149))</f>
        <v>0</v>
      </c>
      <c r="AU1149" s="54">
        <f t="shared" ref="AU1149:AU1164" si="534">AV1149*R1149</f>
        <v>0</v>
      </c>
      <c r="AV1149" s="56">
        <f t="shared" ref="AV1149:AV1164" si="535">IF(ISBLANK(AS1149),,(AT1149*Z1149))</f>
        <v>0</v>
      </c>
      <c r="AW1149" s="57"/>
      <c r="AX1149" s="153"/>
      <c r="AY1149" s="153"/>
      <c r="AZ1149" s="153"/>
      <c r="BA1149" s="153"/>
      <c r="BB1149" s="153"/>
      <c r="BC1149" s="153"/>
      <c r="BD1149" s="151"/>
      <c r="BE1149" s="152"/>
      <c r="BF1149" s="151"/>
      <c r="BG1149" s="94">
        <f>SUM($AV$1035:AV1149)</f>
        <v>-312.61904761901911</v>
      </c>
      <c r="BH1149" s="95">
        <f>SUM($AU$1035:AU1149)</f>
        <v>-653.000000000005</v>
      </c>
      <c r="BI1149" s="80">
        <f>SUMIFS($AU$1035:AU1267,$Q$1035:Q1267,"F")</f>
        <v>112.00000000000057</v>
      </c>
      <c r="BJ1149" s="80">
        <f>SUMIFS($AU$1035:AU1267,$Q$1035:Q1267,"S")</f>
        <v>-15.999999999994088</v>
      </c>
      <c r="BK1149" s="87">
        <f>SUMIFS($AU$1035:AU1267,$P$1035:P1267,"W")</f>
        <v>-960.00000000003297</v>
      </c>
      <c r="BL1149" s="87">
        <f>SUMIFS($AU$1035:AU1267,$P$1035:P1267,"R")</f>
        <v>1024.0000000000007</v>
      </c>
      <c r="BM1149" s="87">
        <f>SUMIFS($AU$1035:AU1267,$AQ$1035:AQ1267,"M")</f>
        <v>-899.79999999984489</v>
      </c>
      <c r="BN1149" s="87">
        <f>SUMIFS($AU$1035:AU1267,$AQ$1035:AQ1267,"H")</f>
        <v>1583.9999999998265</v>
      </c>
      <c r="BO1149" s="87">
        <f>SUMIFS($AU$1035:AU1267,$AQ$1035:AQ1267,"D")</f>
        <v>-479.9999999999896</v>
      </c>
      <c r="BP1149" s="87">
        <f>SUMIFS($AS$1035:AS1355,$AO$1035:AO1355,"W")</f>
        <v>0</v>
      </c>
      <c r="BQ1149" s="87">
        <f>SUMIFS($AU$1035:AU1267,$Q$1035:Q1267,"O")</f>
        <v>-1079.7999999999552</v>
      </c>
      <c r="BR1149" s="87">
        <f>SUMIFS($AU$1035:AU1267,$AA$1035:AA1267,"*")</f>
        <v>-499.79999999992333</v>
      </c>
      <c r="BS1149" s="87">
        <f>SUMIFS($AU$1035:AU1267,$AB$1035:AB1267,"*")</f>
        <v>-724.00000000009095</v>
      </c>
      <c r="BT1149" s="87">
        <f>SUMIFS($AU$1035:AU1267,$AC$1035:AC1267,"*")</f>
        <v>112.00000000000097</v>
      </c>
      <c r="BU1149" s="87">
        <f>SUMIFS($AU$1035:AU1267,$AA$1035:AA1267,"*",$AB$1035:AB1267,"*")</f>
        <v>47.999999999934744</v>
      </c>
      <c r="BV1149" s="87">
        <f>SUMIFS($AU$1035:AU1267,$AA$1035:AA1267,"*",$AC$1035:AC1267,"*")</f>
        <v>-335.99999999999977</v>
      </c>
      <c r="BW1149" s="87">
        <f>SUMIFS($AU$1035:AU1267,$AB$1035:AB1267,"*",$AC$1035:AC1267,"*")</f>
        <v>-143.99999999999966</v>
      </c>
      <c r="BX1149" s="87">
        <f>SUMIFS($AV$1035:AV1267,$Q$1035:Q1267,"F")</f>
        <v>34.153846153846246</v>
      </c>
      <c r="BY1149" s="87">
        <f>SUMIFS($AV$1035:AV1267,$Q$1035:Q1267,"S")</f>
        <v>20.914285714286223</v>
      </c>
      <c r="BZ1149" s="87">
        <f>SUMIFS($AV$1035:AV1267,$Q$1035:Q1267,"O")</f>
        <v>-445.13333333327751</v>
      </c>
    </row>
    <row r="1150" spans="1:78" ht="15.75" customHeight="1">
      <c r="A1150" s="45" t="s">
        <v>3357</v>
      </c>
      <c r="B1150" s="59"/>
      <c r="C1150" s="46"/>
      <c r="D1150" s="46"/>
      <c r="E1150" s="66" t="s">
        <v>3388</v>
      </c>
      <c r="F1150" s="47" t="s">
        <v>3389</v>
      </c>
      <c r="G1150" s="48"/>
      <c r="H1150" s="49"/>
      <c r="I1150" s="49"/>
      <c r="J1150" s="49">
        <v>1</v>
      </c>
      <c r="K1150" s="50" t="s">
        <v>142</v>
      </c>
      <c r="L1150" s="49"/>
      <c r="M1150" s="49"/>
      <c r="N1150" s="49"/>
      <c r="O1150" s="50"/>
      <c r="P1150" s="50"/>
      <c r="Q1150" s="50"/>
      <c r="R1150" s="50"/>
      <c r="S1150" s="50"/>
      <c r="T1150" s="50"/>
      <c r="U1150" s="50"/>
      <c r="V1150" s="50"/>
      <c r="W1150" s="50"/>
      <c r="X1150" s="50"/>
      <c r="Y1150" s="50"/>
      <c r="Z1150" s="50"/>
      <c r="AA1150" s="52"/>
      <c r="AB1150" s="52"/>
      <c r="AC1150" s="52"/>
      <c r="AD1150" s="231"/>
      <c r="AE1150" s="49"/>
      <c r="AF1150" s="84"/>
      <c r="AG1150" s="49"/>
      <c r="AH1150" s="49"/>
      <c r="AI1150" s="49"/>
      <c r="AJ1150" s="226"/>
      <c r="AK1150" s="49"/>
      <c r="AL1150" s="113">
        <f t="shared" si="531"/>
        <v>0</v>
      </c>
      <c r="AM1150" s="113">
        <f t="shared" si="532"/>
        <v>0</v>
      </c>
      <c r="AN1150" s="218"/>
      <c r="AO1150" s="49"/>
      <c r="AP1150" s="49"/>
      <c r="AQ1150" s="84" t="str">
        <f>UPPER(RIGHT(Journal_Live[[#This Row],[DURATION ]]))</f>
        <v/>
      </c>
      <c r="AR1150" s="49"/>
      <c r="AS1150" s="55"/>
      <c r="AT1150" s="55">
        <f t="shared" si="533"/>
        <v>0</v>
      </c>
      <c r="AU1150" s="54">
        <f t="shared" si="534"/>
        <v>0</v>
      </c>
      <c r="AV1150" s="56">
        <f t="shared" si="535"/>
        <v>0</v>
      </c>
      <c r="AW1150" s="57"/>
      <c r="AX1150" s="153"/>
      <c r="AY1150" s="153"/>
      <c r="AZ1150" s="153"/>
      <c r="BA1150" s="153"/>
      <c r="BB1150" s="153"/>
      <c r="BC1150" s="153"/>
      <c r="BD1150" s="151"/>
      <c r="BE1150" s="152"/>
      <c r="BF1150" s="151"/>
      <c r="BG1150" s="94">
        <f>SUM($AV$1035:AV1150)</f>
        <v>-312.61904761901911</v>
      </c>
      <c r="BH1150" s="95">
        <f>SUM($AU$1035:AU1150)</f>
        <v>-653.000000000005</v>
      </c>
      <c r="BI1150" s="80">
        <f>SUMIFS($AU$1035:AU1268,$Q$1035:Q1268,"F")</f>
        <v>112.00000000000057</v>
      </c>
      <c r="BJ1150" s="80">
        <f>SUMIFS($AU$1035:AU1268,$Q$1035:Q1268,"S")</f>
        <v>-15.999999999994088</v>
      </c>
      <c r="BK1150" s="87">
        <f>SUMIFS($AU$1035:AU1268,$P$1035:P1268,"W")</f>
        <v>-960.00000000003297</v>
      </c>
      <c r="BL1150" s="87">
        <f>SUMIFS($AU$1035:AU1268,$P$1035:P1268,"R")</f>
        <v>1024.0000000000007</v>
      </c>
      <c r="BM1150" s="87">
        <f>SUMIFS($AU$1035:AU1268,$AQ$1035:AQ1268,"M")</f>
        <v>-899.79999999984489</v>
      </c>
      <c r="BN1150" s="87">
        <f>SUMIFS($AU$1035:AU1268,$AQ$1035:AQ1268,"H")</f>
        <v>1583.9999999998265</v>
      </c>
      <c r="BO1150" s="87">
        <f>SUMIFS($AU$1035:AU1268,$AQ$1035:AQ1268,"D")</f>
        <v>-479.9999999999896</v>
      </c>
      <c r="BP1150" s="87">
        <f>SUMIFS($AS$1035:AS1356,$AO$1035:AO1356,"W")</f>
        <v>0</v>
      </c>
      <c r="BQ1150" s="87">
        <f>SUMIFS($AU$1035:AU1268,$Q$1035:Q1268,"O")</f>
        <v>-1079.7999999999552</v>
      </c>
      <c r="BR1150" s="87">
        <f>SUMIFS($AU$1035:AU1268,$AA$1035:AA1268,"*")</f>
        <v>-499.79999999992333</v>
      </c>
      <c r="BS1150" s="87">
        <f>SUMIFS($AU$1035:AU1268,$AB$1035:AB1268,"*")</f>
        <v>-724.00000000009095</v>
      </c>
      <c r="BT1150" s="87">
        <f>SUMIFS($AU$1035:AU1268,$AC$1035:AC1268,"*")</f>
        <v>112.00000000000097</v>
      </c>
      <c r="BU1150" s="87">
        <f>SUMIFS($AU$1035:AU1268,$AA$1035:AA1268,"*",$AB$1035:AB1268,"*")</f>
        <v>47.999999999934744</v>
      </c>
      <c r="BV1150" s="87">
        <f>SUMIFS($AU$1035:AU1268,$AA$1035:AA1268,"*",$AC$1035:AC1268,"*")</f>
        <v>-335.99999999999977</v>
      </c>
      <c r="BW1150" s="87">
        <f>SUMIFS($AU$1035:AU1268,$AB$1035:AB1268,"*",$AC$1035:AC1268,"*")</f>
        <v>-143.99999999999966</v>
      </c>
      <c r="BX1150" s="87">
        <f>SUMIFS($AV$1035:AV1268,$Q$1035:Q1268,"F")</f>
        <v>34.153846153846246</v>
      </c>
      <c r="BY1150" s="87">
        <f>SUMIFS($AV$1035:AV1268,$Q$1035:Q1268,"S")</f>
        <v>20.914285714286223</v>
      </c>
      <c r="BZ1150" s="87">
        <f>SUMIFS($AV$1035:AV1268,$Q$1035:Q1268,"O")</f>
        <v>-445.13333333327751</v>
      </c>
    </row>
    <row r="1151" spans="1:78" ht="15.75" customHeight="1">
      <c r="A1151" s="45" t="s">
        <v>3357</v>
      </c>
      <c r="B1151" s="59">
        <v>45569</v>
      </c>
      <c r="C1151" s="46" t="s">
        <v>147</v>
      </c>
      <c r="D1151" s="46" t="s">
        <v>115</v>
      </c>
      <c r="E1151" s="66"/>
      <c r="F1151" s="47"/>
      <c r="G1151" s="104" t="s">
        <v>3390</v>
      </c>
      <c r="H1151" s="49"/>
      <c r="I1151" s="49"/>
      <c r="J1151" s="49"/>
      <c r="K1151" s="50"/>
      <c r="L1151" s="49"/>
      <c r="M1151" s="49"/>
      <c r="N1151" s="49"/>
      <c r="O1151" s="50" t="s">
        <v>100</v>
      </c>
      <c r="P1151" s="50" t="s">
        <v>101</v>
      </c>
      <c r="Q1151" s="50" t="s">
        <v>127</v>
      </c>
      <c r="R1151" s="50">
        <v>12</v>
      </c>
      <c r="S1151" s="50">
        <v>0</v>
      </c>
      <c r="T1151" s="50">
        <v>12</v>
      </c>
      <c r="U1151" s="50" t="s">
        <v>22</v>
      </c>
      <c r="V1151" s="50" t="s">
        <v>2906</v>
      </c>
      <c r="W1151" s="50" t="s">
        <v>22</v>
      </c>
      <c r="X1151" s="50" t="s">
        <v>3009</v>
      </c>
      <c r="Y1151" s="51">
        <f t="shared" ref="Y1151" si="536">IF(ISBLANK(O1151),"",(IF(O1151=UPPER("IB"),0.005,0.01)))</f>
        <v>0.01</v>
      </c>
      <c r="Z1151" s="52">
        <f t="shared" ref="Z1151" si="537">IF(ISBLANK(O1151),"",IF(O1151="IB",8.63*200,IF(O1151="IR",16*100,IF(O1151="YT",20*100,IF(O1151="YT-XT",24*200,IF(O1151="TED",80*100,IF(O1151="XT",29*200)))))))</f>
        <v>1600</v>
      </c>
      <c r="AA1151" s="52" t="s">
        <v>3391</v>
      </c>
      <c r="AB1151" s="52"/>
      <c r="AC1151" s="52"/>
      <c r="AD1151" s="231">
        <v>-0.1</v>
      </c>
      <c r="AE1151" s="49"/>
      <c r="AF1151" s="84"/>
      <c r="AG1151" s="49"/>
      <c r="AH1151" s="49"/>
      <c r="AI1151" s="49"/>
      <c r="AJ1151" s="226"/>
      <c r="AK1151" s="49"/>
      <c r="AL1151" s="113">
        <f t="shared" si="531"/>
        <v>-32</v>
      </c>
      <c r="AM1151" s="113">
        <f t="shared" si="532"/>
        <v>-384</v>
      </c>
      <c r="AN1151" s="218"/>
      <c r="AO1151" s="49"/>
      <c r="AP1151" s="49"/>
      <c r="AQ1151" s="84"/>
      <c r="AR1151" s="49"/>
      <c r="AS1151" s="55">
        <v>-0.1</v>
      </c>
      <c r="AT1151" s="55">
        <f t="shared" si="533"/>
        <v>0</v>
      </c>
      <c r="AU1151" s="54">
        <f t="shared" si="534"/>
        <v>0</v>
      </c>
      <c r="AV1151" s="56">
        <f t="shared" si="535"/>
        <v>0</v>
      </c>
      <c r="AW1151" s="57" t="s">
        <v>155</v>
      </c>
      <c r="AX1151" s="153"/>
      <c r="AY1151" s="153"/>
      <c r="AZ1151" s="153"/>
      <c r="BA1151" s="153"/>
      <c r="BB1151" s="153"/>
      <c r="BC1151" s="153"/>
      <c r="BD1151" s="151"/>
      <c r="BE1151" s="152"/>
      <c r="BF1151" s="151"/>
      <c r="BG1151" s="94">
        <f>SUM($AV$1035:AV1151)</f>
        <v>-312.61904761901911</v>
      </c>
      <c r="BH1151" s="95">
        <f>SUM($AU$1035:AU1151)</f>
        <v>-653.000000000005</v>
      </c>
      <c r="BI1151" s="80">
        <f>SUMIFS($AU$1035:AU1269,$Q$1035:Q1269,"F")</f>
        <v>112.00000000000057</v>
      </c>
      <c r="BJ1151" s="80">
        <f>SUMIFS($AU$1035:AU1269,$Q$1035:Q1269,"S")</f>
        <v>-15.999999999994088</v>
      </c>
      <c r="BK1151" s="87">
        <f>SUMIFS($AU$1035:AU1269,$P$1035:P1269,"W")</f>
        <v>-960.00000000003297</v>
      </c>
      <c r="BL1151" s="87">
        <f>SUMIFS($AU$1035:AU1269,$P$1035:P1269,"R")</f>
        <v>1024.0000000000007</v>
      </c>
      <c r="BM1151" s="87">
        <f>SUMIFS($AU$1035:AU1269,$AQ$1035:AQ1269,"M")</f>
        <v>-899.79999999984489</v>
      </c>
      <c r="BN1151" s="87">
        <f>SUMIFS($AU$1035:AU1269,$AQ$1035:AQ1269,"H")</f>
        <v>1583.9999999998265</v>
      </c>
      <c r="BO1151" s="87">
        <f>SUMIFS($AU$1035:AU1269,$AQ$1035:AQ1269,"D")</f>
        <v>-479.9999999999896</v>
      </c>
      <c r="BP1151" s="87">
        <f>SUMIFS($AS$1035:AS1357,$AO$1035:AO1357,"W")</f>
        <v>0</v>
      </c>
      <c r="BQ1151" s="87">
        <f>SUMIFS($AU$1035:AU1269,$Q$1035:Q1269,"O")</f>
        <v>-1079.7999999999552</v>
      </c>
      <c r="BR1151" s="87">
        <f>SUMIFS($AU$1035:AU1269,$AA$1035:AA1269,"*")</f>
        <v>-499.79999999992333</v>
      </c>
      <c r="BS1151" s="87">
        <f>SUMIFS($AU$1035:AU1269,$AB$1035:AB1269,"*")</f>
        <v>-724.00000000009095</v>
      </c>
      <c r="BT1151" s="87">
        <f>SUMIFS($AU$1035:AU1269,$AC$1035:AC1269,"*")</f>
        <v>112.00000000000097</v>
      </c>
      <c r="BU1151" s="87">
        <f>SUMIFS($AU$1035:AU1269,$AA$1035:AA1269,"*",$AB$1035:AB1269,"*")</f>
        <v>47.999999999934744</v>
      </c>
      <c r="BV1151" s="87">
        <f>SUMIFS($AU$1035:AU1269,$AA$1035:AA1269,"*",$AC$1035:AC1269,"*")</f>
        <v>-335.99999999999977</v>
      </c>
      <c r="BW1151" s="87">
        <f>SUMIFS($AU$1035:AU1269,$AB$1035:AB1269,"*",$AC$1035:AC1269,"*")</f>
        <v>-143.99999999999966</v>
      </c>
      <c r="BX1151" s="87">
        <f>SUMIFS($AV$1035:AV1269,$Q$1035:Q1269,"F")</f>
        <v>34.153846153846246</v>
      </c>
      <c r="BY1151" s="87">
        <f>SUMIFS($AV$1035:AV1269,$Q$1035:Q1269,"S")</f>
        <v>20.914285714286223</v>
      </c>
      <c r="BZ1151" s="87">
        <f>SUMIFS($AV$1035:AV1269,$Q$1035:Q1269,"O")</f>
        <v>-445.13333333327751</v>
      </c>
    </row>
    <row r="1152" spans="1:78" ht="15.75" customHeight="1">
      <c r="A1152" s="45" t="s">
        <v>3357</v>
      </c>
      <c r="B1152" s="59">
        <v>45569</v>
      </c>
      <c r="C1152" s="46" t="s">
        <v>147</v>
      </c>
      <c r="D1152" s="46" t="s">
        <v>115</v>
      </c>
      <c r="E1152" s="66"/>
      <c r="F1152" s="47"/>
      <c r="G1152" s="104" t="s">
        <v>3392</v>
      </c>
      <c r="H1152" s="49"/>
      <c r="I1152" s="49"/>
      <c r="J1152" s="49"/>
      <c r="K1152" s="50"/>
      <c r="L1152" s="49"/>
      <c r="M1152" s="49"/>
      <c r="N1152" s="49"/>
      <c r="O1152" s="50" t="s">
        <v>100</v>
      </c>
      <c r="P1152" s="50" t="s">
        <v>101</v>
      </c>
      <c r="Q1152" s="50" t="s">
        <v>102</v>
      </c>
      <c r="R1152" s="50">
        <v>2</v>
      </c>
      <c r="S1152" s="50">
        <v>0</v>
      </c>
      <c r="T1152" s="50">
        <v>2</v>
      </c>
      <c r="U1152" s="50" t="s">
        <v>22</v>
      </c>
      <c r="V1152" s="50" t="s">
        <v>2906</v>
      </c>
      <c r="W1152" s="50" t="s">
        <v>22</v>
      </c>
      <c r="X1152" s="50" t="s">
        <v>3035</v>
      </c>
      <c r="Y1152" s="51">
        <f t="shared" ref="Y1152" si="538">IF(ISBLANK(O1152),"",(IF(O1152=UPPER("IB"),0.005,0.01)))</f>
        <v>0.01</v>
      </c>
      <c r="Z1152" s="52">
        <f t="shared" ref="Z1152" si="539">IF(ISBLANK(O1152),"",IF(O1152="IB",8.63*200,IF(O1152="IR",16*100,IF(O1152="YT",20*100,IF(O1152="YT-XT",24*200,IF(O1152="TED",80*100,IF(O1152="XT",29*200)))))))</f>
        <v>1600</v>
      </c>
      <c r="AA1152" s="52" t="s">
        <v>3393</v>
      </c>
      <c r="AB1152" s="52"/>
      <c r="AC1152" s="52"/>
      <c r="AD1152" s="231">
        <v>-0.15</v>
      </c>
      <c r="AE1152" s="49"/>
      <c r="AF1152" s="84"/>
      <c r="AG1152" s="49"/>
      <c r="AH1152" s="49"/>
      <c r="AI1152" s="49"/>
      <c r="AJ1152" s="226"/>
      <c r="AK1152" s="49"/>
      <c r="AL1152" s="113">
        <f t="shared" si="531"/>
        <v>-32</v>
      </c>
      <c r="AM1152" s="113">
        <f t="shared" si="532"/>
        <v>-64</v>
      </c>
      <c r="AN1152" s="218"/>
      <c r="AO1152" s="49"/>
      <c r="AP1152" s="49"/>
      <c r="AQ1152" s="84"/>
      <c r="AR1152" s="49"/>
      <c r="AS1152" s="55">
        <v>-0.15</v>
      </c>
      <c r="AT1152" s="55">
        <f t="shared" si="533"/>
        <v>0</v>
      </c>
      <c r="AU1152" s="54">
        <f t="shared" si="534"/>
        <v>0</v>
      </c>
      <c r="AV1152" s="56">
        <f t="shared" si="535"/>
        <v>0</v>
      </c>
      <c r="AW1152" s="57" t="s">
        <v>155</v>
      </c>
      <c r="AX1152" s="153"/>
      <c r="AY1152" s="153"/>
      <c r="AZ1152" s="153"/>
      <c r="BA1152" s="153"/>
      <c r="BB1152" s="153"/>
      <c r="BC1152" s="153"/>
      <c r="BD1152" s="151"/>
      <c r="BE1152" s="152"/>
      <c r="BF1152" s="151"/>
      <c r="BG1152" s="94">
        <f>SUM($AV$1035:AV1152)</f>
        <v>-312.61904761901911</v>
      </c>
      <c r="BH1152" s="95">
        <f>SUM($AU$1035:AU1152)</f>
        <v>-653.000000000005</v>
      </c>
      <c r="BI1152" s="80">
        <f>SUMIFS($AU$1035:AU1270,$Q$1035:Q1270,"F")</f>
        <v>112.00000000000057</v>
      </c>
      <c r="BJ1152" s="80">
        <f>SUMIFS($AU$1035:AU1270,$Q$1035:Q1270,"S")</f>
        <v>-15.999999999994088</v>
      </c>
      <c r="BK1152" s="87">
        <f>SUMIFS($AU$1035:AU1270,$P$1035:P1270,"W")</f>
        <v>-960.00000000003297</v>
      </c>
      <c r="BL1152" s="87">
        <f>SUMIFS($AU$1035:AU1270,$P$1035:P1270,"R")</f>
        <v>1024.0000000000007</v>
      </c>
      <c r="BM1152" s="87">
        <f>SUMIFS($AU$1035:AU1270,$AQ$1035:AQ1270,"M")</f>
        <v>-899.79999999984489</v>
      </c>
      <c r="BN1152" s="87">
        <f>SUMIFS($AU$1035:AU1270,$AQ$1035:AQ1270,"H")</f>
        <v>1583.9999999998265</v>
      </c>
      <c r="BO1152" s="87">
        <f>SUMIFS($AU$1035:AU1270,$AQ$1035:AQ1270,"D")</f>
        <v>-479.9999999999896</v>
      </c>
      <c r="BP1152" s="87">
        <f>SUMIFS($AS$1035:AS1358,$AO$1035:AO1358,"W")</f>
        <v>0</v>
      </c>
      <c r="BQ1152" s="87">
        <f>SUMIFS($AU$1035:AU1270,$Q$1035:Q1270,"O")</f>
        <v>-1079.7999999999552</v>
      </c>
      <c r="BR1152" s="87">
        <f>SUMIFS($AU$1035:AU1270,$AA$1035:AA1270,"*")</f>
        <v>-499.79999999992333</v>
      </c>
      <c r="BS1152" s="87">
        <f>SUMIFS($AU$1035:AU1270,$AB$1035:AB1270,"*")</f>
        <v>-724.00000000009095</v>
      </c>
      <c r="BT1152" s="87">
        <f>SUMIFS($AU$1035:AU1270,$AC$1035:AC1270,"*")</f>
        <v>112.00000000000097</v>
      </c>
      <c r="BU1152" s="87">
        <f>SUMIFS($AU$1035:AU1270,$AA$1035:AA1270,"*",$AB$1035:AB1270,"*")</f>
        <v>47.999999999934744</v>
      </c>
      <c r="BV1152" s="87">
        <f>SUMIFS($AU$1035:AU1270,$AA$1035:AA1270,"*",$AC$1035:AC1270,"*")</f>
        <v>-335.99999999999977</v>
      </c>
      <c r="BW1152" s="87">
        <f>SUMIFS($AU$1035:AU1270,$AB$1035:AB1270,"*",$AC$1035:AC1270,"*")</f>
        <v>-143.99999999999966</v>
      </c>
      <c r="BX1152" s="87">
        <f>SUMIFS($AV$1035:AV1270,$Q$1035:Q1270,"F")</f>
        <v>34.153846153846246</v>
      </c>
      <c r="BY1152" s="87">
        <f>SUMIFS($AV$1035:AV1270,$Q$1035:Q1270,"S")</f>
        <v>20.914285714286223</v>
      </c>
      <c r="BZ1152" s="87">
        <f>SUMIFS($AV$1035:AV1270,$Q$1035:Q1270,"O")</f>
        <v>-445.13333333327751</v>
      </c>
    </row>
    <row r="1153" spans="1:78" ht="15.75" customHeight="1">
      <c r="A1153" s="45" t="s">
        <v>3357</v>
      </c>
      <c r="B1153" s="59">
        <v>45569</v>
      </c>
      <c r="C1153" s="46" t="s">
        <v>147</v>
      </c>
      <c r="D1153" s="46" t="s">
        <v>115</v>
      </c>
      <c r="E1153" s="66"/>
      <c r="F1153" s="47"/>
      <c r="G1153" s="104" t="s">
        <v>295</v>
      </c>
      <c r="H1153" s="49"/>
      <c r="I1153" s="49"/>
      <c r="J1153" s="49"/>
      <c r="K1153" s="50"/>
      <c r="L1153" s="49"/>
      <c r="M1153" s="49"/>
      <c r="N1153" s="49"/>
      <c r="O1153" s="50" t="s">
        <v>100</v>
      </c>
      <c r="P1153" s="50" t="s">
        <v>101</v>
      </c>
      <c r="Q1153" s="50" t="s">
        <v>102</v>
      </c>
      <c r="R1153" s="50">
        <v>5</v>
      </c>
      <c r="S1153" s="50">
        <v>0</v>
      </c>
      <c r="T1153" s="50">
        <v>5</v>
      </c>
      <c r="U1153" s="50" t="s">
        <v>102</v>
      </c>
      <c r="V1153" s="50"/>
      <c r="W1153" s="50"/>
      <c r="X1153" s="50" t="s">
        <v>3026</v>
      </c>
      <c r="Y1153" s="51">
        <f t="shared" ref="Y1153" si="540">IF(ISBLANK(O1153),"",(IF(O1153=UPPER("IB"),0.005,0.01)))</f>
        <v>0.01</v>
      </c>
      <c r="Z1153" s="52">
        <f t="shared" ref="Z1153" si="541">IF(ISBLANK(O1153),"",IF(O1153="IB",8.63*200,IF(O1153="IR",16*100,IF(O1153="YT",20*100,IF(O1153="YT-XT",24*200,IF(O1153="TED",80*100,IF(O1153="XT",29*200)))))))</f>
        <v>1600</v>
      </c>
      <c r="AA1153" s="52" t="s">
        <v>289</v>
      </c>
      <c r="AB1153" s="52"/>
      <c r="AC1153" s="52"/>
      <c r="AD1153" s="231">
        <v>-0.15</v>
      </c>
      <c r="AE1153" s="49"/>
      <c r="AF1153" s="84"/>
      <c r="AG1153" s="49"/>
      <c r="AH1153" s="49"/>
      <c r="AI1153" s="49"/>
      <c r="AJ1153" s="226"/>
      <c r="AK1153" s="49"/>
      <c r="AL1153" s="113">
        <f t="shared" si="531"/>
        <v>-32</v>
      </c>
      <c r="AM1153" s="113">
        <f t="shared" si="532"/>
        <v>-160</v>
      </c>
      <c r="AN1153" s="218"/>
      <c r="AO1153" s="49"/>
      <c r="AP1153" s="49"/>
      <c r="AQ1153" s="84" t="s">
        <v>350</v>
      </c>
      <c r="AR1153" s="49"/>
      <c r="AS1153" s="55">
        <v>-0.15</v>
      </c>
      <c r="AT1153" s="55">
        <f t="shared" si="533"/>
        <v>0</v>
      </c>
      <c r="AU1153" s="54">
        <f t="shared" si="534"/>
        <v>0</v>
      </c>
      <c r="AV1153" s="56">
        <f t="shared" si="535"/>
        <v>0</v>
      </c>
      <c r="AW1153" s="57" t="s">
        <v>155</v>
      </c>
      <c r="AX1153" s="153"/>
      <c r="AY1153" s="153"/>
      <c r="AZ1153" s="153"/>
      <c r="BA1153" s="153"/>
      <c r="BB1153" s="153"/>
      <c r="BC1153" s="153"/>
      <c r="BD1153" s="151"/>
      <c r="BE1153" s="152"/>
      <c r="BF1153" s="151"/>
      <c r="BG1153" s="94">
        <f>SUM($AV$1035:AV1153)</f>
        <v>-312.61904761901911</v>
      </c>
      <c r="BH1153" s="95">
        <f>SUM($AU$1035:AU1153)</f>
        <v>-653.000000000005</v>
      </c>
      <c r="BI1153" s="80">
        <f>SUMIFS($AU$1035:AU1271,$Q$1035:Q1271,"F")</f>
        <v>112.00000000000057</v>
      </c>
      <c r="BJ1153" s="80">
        <f>SUMIFS($AU$1035:AU1271,$Q$1035:Q1271,"S")</f>
        <v>-15.999999999994088</v>
      </c>
      <c r="BK1153" s="87">
        <f>SUMIFS($AU$1035:AU1271,$P$1035:P1271,"W")</f>
        <v>-960.00000000003297</v>
      </c>
      <c r="BL1153" s="87">
        <f>SUMIFS($AU$1035:AU1271,$P$1035:P1271,"R")</f>
        <v>1024.0000000000007</v>
      </c>
      <c r="BM1153" s="87">
        <f>SUMIFS($AU$1035:AU1271,$AQ$1035:AQ1271,"M")</f>
        <v>-899.79999999984489</v>
      </c>
      <c r="BN1153" s="87">
        <f>SUMIFS($AU$1035:AU1271,$AQ$1035:AQ1271,"H")</f>
        <v>1583.9999999998265</v>
      </c>
      <c r="BO1153" s="87">
        <f>SUMIFS($AU$1035:AU1271,$AQ$1035:AQ1271,"D")</f>
        <v>-479.9999999999896</v>
      </c>
      <c r="BP1153" s="87">
        <f>SUMIFS($AS$1035:AS1359,$AO$1035:AO1359,"W")</f>
        <v>0</v>
      </c>
      <c r="BQ1153" s="87">
        <f>SUMIFS($AU$1035:AU1271,$Q$1035:Q1271,"O")</f>
        <v>-1079.7999999999552</v>
      </c>
      <c r="BR1153" s="87">
        <f>SUMIFS($AU$1035:AU1271,$AA$1035:AA1271,"*")</f>
        <v>-499.79999999992333</v>
      </c>
      <c r="BS1153" s="87">
        <f>SUMIFS($AU$1035:AU1271,$AB$1035:AB1271,"*")</f>
        <v>-724.00000000009095</v>
      </c>
      <c r="BT1153" s="87">
        <f>SUMIFS($AU$1035:AU1271,$AC$1035:AC1271,"*")</f>
        <v>112.00000000000097</v>
      </c>
      <c r="BU1153" s="87">
        <f>SUMIFS($AU$1035:AU1271,$AA$1035:AA1271,"*",$AB$1035:AB1271,"*")</f>
        <v>47.999999999934744</v>
      </c>
      <c r="BV1153" s="87">
        <f>SUMIFS($AU$1035:AU1271,$AA$1035:AA1271,"*",$AC$1035:AC1271,"*")</f>
        <v>-335.99999999999977</v>
      </c>
      <c r="BW1153" s="87">
        <f>SUMIFS($AU$1035:AU1271,$AB$1035:AB1271,"*",$AC$1035:AC1271,"*")</f>
        <v>-143.99999999999966</v>
      </c>
      <c r="BX1153" s="87">
        <f>SUMIFS($AV$1035:AV1271,$Q$1035:Q1271,"F")</f>
        <v>34.153846153846246</v>
      </c>
      <c r="BY1153" s="87">
        <f>SUMIFS($AV$1035:AV1271,$Q$1035:Q1271,"S")</f>
        <v>20.914285714286223</v>
      </c>
      <c r="BZ1153" s="87">
        <f>SUMIFS($AV$1035:AV1271,$Q$1035:Q1271,"O")</f>
        <v>-445.13333333327751</v>
      </c>
    </row>
    <row r="1154" spans="1:78" ht="15.75" customHeight="1">
      <c r="A1154" s="45" t="s">
        <v>3357</v>
      </c>
      <c r="B1154" s="59">
        <v>45569</v>
      </c>
      <c r="C1154" s="46" t="s">
        <v>147</v>
      </c>
      <c r="D1154" s="46" t="s">
        <v>115</v>
      </c>
      <c r="E1154" s="66"/>
      <c r="F1154" s="47"/>
      <c r="G1154" s="48" t="s">
        <v>3394</v>
      </c>
      <c r="H1154" s="49"/>
      <c r="I1154" s="49"/>
      <c r="J1154" s="49"/>
      <c r="K1154" s="50"/>
      <c r="L1154" s="49"/>
      <c r="M1154" s="49"/>
      <c r="N1154" s="49"/>
      <c r="O1154" s="50" t="s">
        <v>476</v>
      </c>
      <c r="P1154" s="50"/>
      <c r="Q1154" s="50" t="s">
        <v>198</v>
      </c>
      <c r="R1154" s="50">
        <v>1</v>
      </c>
      <c r="S1154" s="50">
        <v>0</v>
      </c>
      <c r="T1154" s="50">
        <v>1</v>
      </c>
      <c r="U1154" s="50" t="s">
        <v>102</v>
      </c>
      <c r="V1154" s="50" t="s">
        <v>2898</v>
      </c>
      <c r="W1154" s="50" t="s">
        <v>3086</v>
      </c>
      <c r="X1154" s="50"/>
      <c r="Y1154" s="51">
        <f t="shared" ref="Y1154" si="542">IF(ISBLANK(O1154),"",(IF(O1154=UPPER("IB"),0.005,0.01)))</f>
        <v>0.01</v>
      </c>
      <c r="Z1154" s="52">
        <f t="shared" ref="Z1154" si="543">IF(ISBLANK(O1154),"",IF(O1154="IB",8.63*200,IF(O1154="IR",16*100,IF(O1154="YT",20*100,IF(O1154="YT-XT",24*200,IF(O1154="TED",80*100,IF(O1154="XT",29*200)))))))</f>
        <v>2000</v>
      </c>
      <c r="AA1154" s="52" t="s">
        <v>908</v>
      </c>
      <c r="AB1154" s="52"/>
      <c r="AC1154" s="52"/>
      <c r="AD1154" s="231">
        <v>96.36</v>
      </c>
      <c r="AE1154" s="49"/>
      <c r="AF1154" s="84"/>
      <c r="AG1154" s="49"/>
      <c r="AH1154" s="49"/>
      <c r="AI1154" s="49"/>
      <c r="AJ1154" s="226"/>
      <c r="AK1154" s="49"/>
      <c r="AL1154" s="113">
        <f t="shared" si="531"/>
        <v>-40</v>
      </c>
      <c r="AM1154" s="113">
        <f t="shared" si="532"/>
        <v>-40</v>
      </c>
      <c r="AN1154" s="218"/>
      <c r="AO1154" s="49"/>
      <c r="AP1154" s="49"/>
      <c r="AQ1154" s="84" t="s">
        <v>350</v>
      </c>
      <c r="AR1154" s="49" t="s">
        <v>3395</v>
      </c>
      <c r="AS1154" s="55">
        <v>96.35</v>
      </c>
      <c r="AT1154" s="55">
        <f t="shared" si="533"/>
        <v>1.0000000000005116E-2</v>
      </c>
      <c r="AU1154" s="54">
        <f t="shared" si="534"/>
        <v>20.000000000010232</v>
      </c>
      <c r="AV1154" s="56">
        <f t="shared" si="535"/>
        <v>20.000000000010232</v>
      </c>
      <c r="AW1154" s="57" t="s">
        <v>101</v>
      </c>
      <c r="AX1154" s="153"/>
      <c r="AY1154" s="153"/>
      <c r="AZ1154" s="153"/>
      <c r="BA1154" s="153"/>
      <c r="BB1154" s="153"/>
      <c r="BC1154" s="153"/>
      <c r="BD1154" s="151"/>
      <c r="BE1154" s="152"/>
      <c r="BF1154" s="151"/>
      <c r="BG1154" s="94">
        <f>SUM($AV$1035:AV1154)</f>
        <v>-292.61904761900888</v>
      </c>
      <c r="BH1154" s="95">
        <f>SUM($AU$1035:AU1154)</f>
        <v>-632.99999999999477</v>
      </c>
      <c r="BI1154" s="80">
        <f>SUMIFS($AU$1035:AU1272,$Q$1035:Q1272,"F")</f>
        <v>112.00000000000057</v>
      </c>
      <c r="BJ1154" s="80">
        <f>SUMIFS($AU$1035:AU1272,$Q$1035:Q1272,"S")</f>
        <v>-15.999999999994088</v>
      </c>
      <c r="BK1154" s="87">
        <f>SUMIFS($AU$1035:AU1272,$P$1035:P1272,"W")</f>
        <v>-960.00000000003297</v>
      </c>
      <c r="BL1154" s="87">
        <f>SUMIFS($AU$1035:AU1272,$P$1035:P1272,"R")</f>
        <v>1024.0000000000007</v>
      </c>
      <c r="BM1154" s="87">
        <f>SUMIFS($AU$1035:AU1272,$AQ$1035:AQ1272,"M")</f>
        <v>-899.79999999984489</v>
      </c>
      <c r="BN1154" s="87">
        <f>SUMIFS($AU$1035:AU1272,$AQ$1035:AQ1272,"H")</f>
        <v>1583.9999999998265</v>
      </c>
      <c r="BO1154" s="87">
        <f>SUMIFS($AU$1035:AU1272,$AQ$1035:AQ1272,"D")</f>
        <v>-479.9999999999896</v>
      </c>
      <c r="BP1154" s="87">
        <f>SUMIFS($AS$1035:AS1360,$AO$1035:AO1360,"W")</f>
        <v>0</v>
      </c>
      <c r="BQ1154" s="87">
        <f>SUMIFS($AU$1035:AU1272,$Q$1035:Q1272,"O")</f>
        <v>-1079.7999999999552</v>
      </c>
      <c r="BR1154" s="87">
        <f>SUMIFS($AU$1035:AU1272,$AA$1035:AA1272,"*")</f>
        <v>-499.79999999992333</v>
      </c>
      <c r="BS1154" s="87">
        <f>SUMIFS($AU$1035:AU1272,$AB$1035:AB1272,"*")</f>
        <v>-724.00000000009095</v>
      </c>
      <c r="BT1154" s="87">
        <f>SUMIFS($AU$1035:AU1272,$AC$1035:AC1272,"*")</f>
        <v>112.00000000000097</v>
      </c>
      <c r="BU1154" s="87">
        <f>SUMIFS($AU$1035:AU1272,$AA$1035:AA1272,"*",$AB$1035:AB1272,"*")</f>
        <v>47.999999999934744</v>
      </c>
      <c r="BV1154" s="87">
        <f>SUMIFS($AU$1035:AU1272,$AA$1035:AA1272,"*",$AC$1035:AC1272,"*")</f>
        <v>-335.99999999999977</v>
      </c>
      <c r="BW1154" s="87">
        <f>SUMIFS($AU$1035:AU1272,$AB$1035:AB1272,"*",$AC$1035:AC1272,"*")</f>
        <v>-143.99999999999966</v>
      </c>
      <c r="BX1154" s="87">
        <f>SUMIFS($AV$1035:AV1272,$Q$1035:Q1272,"F")</f>
        <v>34.153846153846246</v>
      </c>
      <c r="BY1154" s="87">
        <f>SUMIFS($AV$1035:AV1272,$Q$1035:Q1272,"S")</f>
        <v>20.914285714286223</v>
      </c>
      <c r="BZ1154" s="87">
        <f>SUMIFS($AV$1035:AV1272,$Q$1035:Q1272,"O")</f>
        <v>-445.13333333327751</v>
      </c>
    </row>
    <row r="1155" spans="1:78" ht="15.75" customHeight="1">
      <c r="A1155" s="45" t="s">
        <v>3357</v>
      </c>
      <c r="B1155" s="59">
        <v>45569</v>
      </c>
      <c r="C1155" s="46" t="s">
        <v>147</v>
      </c>
      <c r="D1155" s="46" t="s">
        <v>115</v>
      </c>
      <c r="E1155" s="66"/>
      <c r="F1155" s="47"/>
      <c r="G1155" s="104" t="s">
        <v>276</v>
      </c>
      <c r="H1155" s="49"/>
      <c r="I1155" s="49"/>
      <c r="J1155" s="49"/>
      <c r="K1155" s="50"/>
      <c r="L1155" s="49"/>
      <c r="M1155" s="49"/>
      <c r="N1155" s="49"/>
      <c r="O1155" s="50" t="s">
        <v>100</v>
      </c>
      <c r="P1155" s="50" t="s">
        <v>101</v>
      </c>
      <c r="Q1155" s="50" t="s">
        <v>102</v>
      </c>
      <c r="R1155" s="50">
        <v>4</v>
      </c>
      <c r="S1155" s="50">
        <v>0</v>
      </c>
      <c r="T1155" s="50">
        <v>4</v>
      </c>
      <c r="U1155" s="50" t="s">
        <v>102</v>
      </c>
      <c r="V1155" s="50" t="s">
        <v>2898</v>
      </c>
      <c r="W1155" s="50" t="s">
        <v>155</v>
      </c>
      <c r="X1155" s="50" t="s">
        <v>3002</v>
      </c>
      <c r="Y1155" s="51">
        <f t="shared" ref="Y1155" si="544">IF(ISBLANK(O1155),"",(IF(O1155=UPPER("IB"),0.005,0.01)))</f>
        <v>0.01</v>
      </c>
      <c r="Z1155" s="52">
        <f t="shared" ref="Z1155" si="545">IF(ISBLANK(O1155),"",IF(O1155="IB",8.63*200,IF(O1155="IR",16*100,IF(O1155="YT",20*100,IF(O1155="YT-XT",24*200,IF(O1155="TED",80*100,IF(O1155="XT",29*200)))))))</f>
        <v>1600</v>
      </c>
      <c r="AA1155" s="52" t="s">
        <v>3396</v>
      </c>
      <c r="AB1155" s="52"/>
      <c r="AC1155" s="52"/>
      <c r="AD1155" s="231">
        <v>-0.36</v>
      </c>
      <c r="AE1155" s="49"/>
      <c r="AF1155" s="84"/>
      <c r="AG1155" s="49"/>
      <c r="AH1155" s="49"/>
      <c r="AI1155" s="49"/>
      <c r="AJ1155" s="226"/>
      <c r="AK1155" s="49"/>
      <c r="AL1155" s="113">
        <f t="shared" si="531"/>
        <v>-32</v>
      </c>
      <c r="AM1155" s="113">
        <f t="shared" si="532"/>
        <v>-128</v>
      </c>
      <c r="AN1155" s="218"/>
      <c r="AO1155" s="49"/>
      <c r="AP1155" s="49"/>
      <c r="AQ1155" s="84" t="s">
        <v>350</v>
      </c>
      <c r="AR1155" s="49"/>
      <c r="AS1155" s="55">
        <v>-0.36</v>
      </c>
      <c r="AT1155" s="55">
        <f t="shared" si="533"/>
        <v>0</v>
      </c>
      <c r="AU1155" s="54">
        <f t="shared" si="534"/>
        <v>0</v>
      </c>
      <c r="AV1155" s="56">
        <f t="shared" si="535"/>
        <v>0</v>
      </c>
      <c r="AW1155" s="57" t="s">
        <v>155</v>
      </c>
      <c r="AX1155" s="153"/>
      <c r="AY1155" s="153"/>
      <c r="AZ1155" s="153"/>
      <c r="BA1155" s="153"/>
      <c r="BB1155" s="153"/>
      <c r="BC1155" s="153"/>
      <c r="BD1155" s="151"/>
      <c r="BE1155" s="152"/>
      <c r="BF1155" s="151"/>
      <c r="BG1155" s="94">
        <f>SUM($AV$1035:AV1155)</f>
        <v>-292.61904761900888</v>
      </c>
      <c r="BH1155" s="95">
        <f>SUM($AU$1035:AU1155)</f>
        <v>-632.99999999999477</v>
      </c>
      <c r="BI1155" s="80">
        <f>SUMIFS($AU$1035:AU1273,$Q$1035:Q1273,"F")</f>
        <v>112.00000000000057</v>
      </c>
      <c r="BJ1155" s="80">
        <f>SUMIFS($AU$1035:AU1273,$Q$1035:Q1273,"S")</f>
        <v>-15.999999999994088</v>
      </c>
      <c r="BK1155" s="87">
        <f>SUMIFS($AU$1035:AU1273,$P$1035:P1273,"W")</f>
        <v>-960.00000000003297</v>
      </c>
      <c r="BL1155" s="87">
        <f>SUMIFS($AU$1035:AU1273,$P$1035:P1273,"R")</f>
        <v>1024.0000000000007</v>
      </c>
      <c r="BM1155" s="87">
        <f>SUMIFS($AU$1035:AU1273,$AQ$1035:AQ1273,"M")</f>
        <v>-899.79999999984489</v>
      </c>
      <c r="BN1155" s="87">
        <f>SUMIFS($AU$1035:AU1273,$AQ$1035:AQ1273,"H")</f>
        <v>1583.9999999998265</v>
      </c>
      <c r="BO1155" s="87">
        <f>SUMIFS($AU$1035:AU1273,$AQ$1035:AQ1273,"D")</f>
        <v>-479.9999999999896</v>
      </c>
      <c r="BP1155" s="87">
        <f>SUMIFS($AS$1035:AS1361,$AO$1035:AO1361,"W")</f>
        <v>0</v>
      </c>
      <c r="BQ1155" s="87">
        <f>SUMIFS($AU$1035:AU1273,$Q$1035:Q1273,"O")</f>
        <v>-1079.7999999999552</v>
      </c>
      <c r="BR1155" s="87">
        <f>SUMIFS($AU$1035:AU1273,$AA$1035:AA1273,"*")</f>
        <v>-499.79999999992333</v>
      </c>
      <c r="BS1155" s="87">
        <f>SUMIFS($AU$1035:AU1273,$AB$1035:AB1273,"*")</f>
        <v>-724.00000000009095</v>
      </c>
      <c r="BT1155" s="87">
        <f>SUMIFS($AU$1035:AU1273,$AC$1035:AC1273,"*")</f>
        <v>112.00000000000097</v>
      </c>
      <c r="BU1155" s="87">
        <f>SUMIFS($AU$1035:AU1273,$AA$1035:AA1273,"*",$AB$1035:AB1273,"*")</f>
        <v>47.999999999934744</v>
      </c>
      <c r="BV1155" s="87">
        <f>SUMIFS($AU$1035:AU1273,$AA$1035:AA1273,"*",$AC$1035:AC1273,"*")</f>
        <v>-335.99999999999977</v>
      </c>
      <c r="BW1155" s="87">
        <f>SUMIFS($AU$1035:AU1273,$AB$1035:AB1273,"*",$AC$1035:AC1273,"*")</f>
        <v>-143.99999999999966</v>
      </c>
      <c r="BX1155" s="87">
        <f>SUMIFS($AV$1035:AV1273,$Q$1035:Q1273,"F")</f>
        <v>34.153846153846246</v>
      </c>
      <c r="BY1155" s="87">
        <f>SUMIFS($AV$1035:AV1273,$Q$1035:Q1273,"S")</f>
        <v>20.914285714286223</v>
      </c>
      <c r="BZ1155" s="87">
        <f>SUMIFS($AV$1035:AV1273,$Q$1035:Q1273,"O")</f>
        <v>-445.13333333327751</v>
      </c>
    </row>
    <row r="1156" spans="1:78" ht="15.75" customHeight="1">
      <c r="A1156" s="45" t="s">
        <v>3357</v>
      </c>
      <c r="B1156" s="59">
        <v>45569</v>
      </c>
      <c r="C1156" s="46" t="s">
        <v>147</v>
      </c>
      <c r="D1156" s="46" t="s">
        <v>115</v>
      </c>
      <c r="E1156" s="66"/>
      <c r="F1156" s="47"/>
      <c r="G1156" s="48" t="s">
        <v>3397</v>
      </c>
      <c r="H1156" s="49"/>
      <c r="I1156" s="49"/>
      <c r="J1156" s="49"/>
      <c r="K1156" s="50"/>
      <c r="L1156" s="49"/>
      <c r="M1156" s="49"/>
      <c r="N1156" s="49"/>
      <c r="O1156" s="50" t="s">
        <v>100</v>
      </c>
      <c r="P1156" s="50" t="s">
        <v>101</v>
      </c>
      <c r="Q1156" s="50" t="s">
        <v>102</v>
      </c>
      <c r="R1156" s="50">
        <v>24</v>
      </c>
      <c r="S1156" s="50">
        <v>0</v>
      </c>
      <c r="T1156" s="50">
        <v>24</v>
      </c>
      <c r="U1156" s="50" t="s">
        <v>22</v>
      </c>
      <c r="V1156" s="50" t="s">
        <v>2898</v>
      </c>
      <c r="W1156" s="50" t="s">
        <v>155</v>
      </c>
      <c r="X1156" s="50" t="s">
        <v>3026</v>
      </c>
      <c r="Y1156" s="51">
        <f t="shared" ref="Y1156:Y1157" si="546">IF(ISBLANK(O1156),"",(IF(O1156=UPPER("IB"),0.005,0.01)))</f>
        <v>0.01</v>
      </c>
      <c r="Z1156" s="52">
        <f t="shared" ref="Z1156:Z1157" si="547">IF(ISBLANK(O1156),"",IF(O1156="IB",8.63*200,IF(O1156="IR",16*100,IF(O1156="YT",20*100,IF(O1156="YT-XT",24*200,IF(O1156="TED",80*100,IF(O1156="XT",29*200)))))))</f>
        <v>1600</v>
      </c>
      <c r="AA1156" s="52"/>
      <c r="AB1156" s="52"/>
      <c r="AC1156" s="52" t="s">
        <v>3398</v>
      </c>
      <c r="AD1156" s="231">
        <v>-0.01</v>
      </c>
      <c r="AE1156" s="49"/>
      <c r="AF1156" s="84"/>
      <c r="AG1156" s="49"/>
      <c r="AH1156" s="49"/>
      <c r="AI1156" s="49"/>
      <c r="AJ1156" s="226"/>
      <c r="AK1156" s="49"/>
      <c r="AL1156" s="113">
        <f t="shared" si="531"/>
        <v>-32</v>
      </c>
      <c r="AM1156" s="113">
        <f t="shared" si="532"/>
        <v>-768</v>
      </c>
      <c r="AN1156" s="218"/>
      <c r="AO1156" s="49"/>
      <c r="AP1156" s="49"/>
      <c r="AQ1156" s="84" t="str">
        <f>UPPER(RIGHT(Journal_Live[[#This Row],[DURATION ]]))</f>
        <v/>
      </c>
      <c r="AR1156" s="49"/>
      <c r="AS1156" s="55">
        <v>-0.01</v>
      </c>
      <c r="AT1156" s="55">
        <f t="shared" si="533"/>
        <v>0</v>
      </c>
      <c r="AU1156" s="54">
        <f t="shared" si="534"/>
        <v>0</v>
      </c>
      <c r="AV1156" s="56">
        <f t="shared" si="535"/>
        <v>0</v>
      </c>
      <c r="AW1156" s="57" t="s">
        <v>155</v>
      </c>
      <c r="AX1156" s="153"/>
      <c r="AY1156" s="153"/>
      <c r="AZ1156" s="153"/>
      <c r="BA1156" s="153"/>
      <c r="BB1156" s="153"/>
      <c r="BC1156" s="153"/>
      <c r="BD1156" s="151"/>
      <c r="BE1156" s="152"/>
      <c r="BF1156" s="151"/>
      <c r="BG1156" s="94">
        <f>SUM($AV$1035:AV1156)</f>
        <v>-292.61904761900888</v>
      </c>
      <c r="BH1156" s="95">
        <f>SUM($AU$1035:AU1156)</f>
        <v>-632.99999999999477</v>
      </c>
      <c r="BI1156" s="80">
        <f>SUMIFS($AU$1035:AU1274,$Q$1035:Q1274,"F")</f>
        <v>112.00000000000057</v>
      </c>
      <c r="BJ1156" s="80">
        <f>SUMIFS($AU$1035:AU1274,$Q$1035:Q1274,"S")</f>
        <v>-15.999999999994088</v>
      </c>
      <c r="BK1156" s="87">
        <f>SUMIFS($AU$1035:AU1274,$P$1035:P1274,"W")</f>
        <v>-960.00000000003297</v>
      </c>
      <c r="BL1156" s="87">
        <f>SUMIFS($AU$1035:AU1274,$P$1035:P1274,"R")</f>
        <v>1024.0000000000007</v>
      </c>
      <c r="BM1156" s="87">
        <f>SUMIFS($AU$1035:AU1274,$AQ$1035:AQ1274,"M")</f>
        <v>-899.79999999984489</v>
      </c>
      <c r="BN1156" s="87">
        <f>SUMIFS($AU$1035:AU1274,$AQ$1035:AQ1274,"H")</f>
        <v>1583.9999999998265</v>
      </c>
      <c r="BO1156" s="87">
        <f>SUMIFS($AU$1035:AU1274,$AQ$1035:AQ1274,"D")</f>
        <v>-479.9999999999896</v>
      </c>
      <c r="BP1156" s="87">
        <f>SUMIFS($AS$1035:AS1362,$AO$1035:AO1362,"W")</f>
        <v>0</v>
      </c>
      <c r="BQ1156" s="87">
        <f>SUMIFS($AU$1035:AU1274,$Q$1035:Q1274,"O")</f>
        <v>-1079.7999999999552</v>
      </c>
      <c r="BR1156" s="87">
        <f>SUMIFS($AU$1035:AU1274,$AA$1035:AA1274,"*")</f>
        <v>-499.79999999992333</v>
      </c>
      <c r="BS1156" s="87">
        <f>SUMIFS($AU$1035:AU1274,$AB$1035:AB1274,"*")</f>
        <v>-724.00000000009095</v>
      </c>
      <c r="BT1156" s="87">
        <f>SUMIFS($AU$1035:AU1274,$AC$1035:AC1274,"*")</f>
        <v>112.00000000000097</v>
      </c>
      <c r="BU1156" s="87">
        <f>SUMIFS($AU$1035:AU1274,$AA$1035:AA1274,"*",$AB$1035:AB1274,"*")</f>
        <v>47.999999999934744</v>
      </c>
      <c r="BV1156" s="87">
        <f>SUMIFS($AU$1035:AU1274,$AA$1035:AA1274,"*",$AC$1035:AC1274,"*")</f>
        <v>-335.99999999999977</v>
      </c>
      <c r="BW1156" s="87">
        <f>SUMIFS($AU$1035:AU1274,$AB$1035:AB1274,"*",$AC$1035:AC1274,"*")</f>
        <v>-143.99999999999966</v>
      </c>
      <c r="BX1156" s="87">
        <f>SUMIFS($AV$1035:AV1274,$Q$1035:Q1274,"F")</f>
        <v>34.153846153846246</v>
      </c>
      <c r="BY1156" s="87">
        <f>SUMIFS($AV$1035:AV1274,$Q$1035:Q1274,"S")</f>
        <v>20.914285714286223</v>
      </c>
      <c r="BZ1156" s="87">
        <f>SUMIFS($AV$1035:AV1274,$Q$1035:Q1274,"O")</f>
        <v>-445.13333333327751</v>
      </c>
    </row>
    <row r="1157" spans="1:78" ht="15.75" customHeight="1">
      <c r="A1157" s="45" t="s">
        <v>3357</v>
      </c>
      <c r="B1157" s="59">
        <v>45569</v>
      </c>
      <c r="C1157" s="46" t="s">
        <v>147</v>
      </c>
      <c r="D1157" s="46" t="s">
        <v>115</v>
      </c>
      <c r="E1157" s="66"/>
      <c r="F1157" s="47"/>
      <c r="G1157" s="48" t="s">
        <v>2672</v>
      </c>
      <c r="H1157" s="49"/>
      <c r="I1157" s="49"/>
      <c r="J1157" s="49"/>
      <c r="K1157" s="50"/>
      <c r="L1157" s="49"/>
      <c r="M1157" s="49"/>
      <c r="N1157" s="49"/>
      <c r="O1157" s="50" t="s">
        <v>100</v>
      </c>
      <c r="P1157" s="50" t="s">
        <v>101</v>
      </c>
      <c r="Q1157" s="50" t="s">
        <v>198</v>
      </c>
      <c r="R1157" s="50">
        <v>2</v>
      </c>
      <c r="S1157" s="50">
        <v>0</v>
      </c>
      <c r="T1157" s="50">
        <v>2</v>
      </c>
      <c r="U1157" s="50" t="s">
        <v>22</v>
      </c>
      <c r="V1157" s="50" t="s">
        <v>2898</v>
      </c>
      <c r="W1157" s="50" t="s">
        <v>155</v>
      </c>
      <c r="X1157" s="50"/>
      <c r="Y1157" s="51">
        <f t="shared" si="546"/>
        <v>0.01</v>
      </c>
      <c r="Z1157" s="52">
        <f t="shared" si="547"/>
        <v>1600</v>
      </c>
      <c r="AA1157" s="52"/>
      <c r="AB1157" s="52" t="s">
        <v>3399</v>
      </c>
      <c r="AC1157" s="52"/>
      <c r="AD1157" s="231">
        <v>95.72</v>
      </c>
      <c r="AE1157" s="49"/>
      <c r="AF1157" s="84"/>
      <c r="AG1157" s="49"/>
      <c r="AH1157" s="49"/>
      <c r="AI1157" s="49"/>
      <c r="AJ1157" s="226"/>
      <c r="AK1157" s="49"/>
      <c r="AL1157" s="113">
        <f t="shared" si="531"/>
        <v>-32</v>
      </c>
      <c r="AM1157" s="113">
        <f t="shared" si="532"/>
        <v>-64</v>
      </c>
      <c r="AN1157" s="218"/>
      <c r="AO1157" s="49"/>
      <c r="AP1157" s="49"/>
      <c r="AQ1157" s="84" t="s">
        <v>350</v>
      </c>
      <c r="AR1157" s="49" t="s">
        <v>3400</v>
      </c>
      <c r="AS1157" s="55">
        <v>95.73</v>
      </c>
      <c r="AT1157" s="55">
        <f t="shared" si="533"/>
        <v>1.0000000000005116E-2</v>
      </c>
      <c r="AU1157" s="54">
        <f t="shared" si="534"/>
        <v>32.000000000016371</v>
      </c>
      <c r="AV1157" s="56">
        <f t="shared" si="535"/>
        <v>16.000000000008185</v>
      </c>
      <c r="AW1157" s="57" t="s">
        <v>101</v>
      </c>
      <c r="AX1157" s="153"/>
      <c r="AY1157" s="153"/>
      <c r="AZ1157" s="153"/>
      <c r="BA1157" s="153"/>
      <c r="BB1157" s="153"/>
      <c r="BC1157" s="153"/>
      <c r="BD1157" s="151"/>
      <c r="BE1157" s="152"/>
      <c r="BF1157" s="151"/>
      <c r="BG1157" s="94">
        <f>SUM($AV$1035:AV1157)</f>
        <v>-276.6190476190007</v>
      </c>
      <c r="BH1157" s="95">
        <f>SUM($AU$1035:AU1157)</f>
        <v>-600.9999999999784</v>
      </c>
      <c r="BI1157" s="80">
        <f>SUMIFS($AU$1035:AU1267,$Q$1035:Q1267,"F")</f>
        <v>112.00000000000057</v>
      </c>
      <c r="BJ1157" s="80">
        <f>SUMIFS($AU$1035:AU1267,$Q$1035:Q1267,"S")</f>
        <v>-15.999999999994088</v>
      </c>
      <c r="BK1157" s="87">
        <f>SUMIFS($AU$1035:AU1267,$P$1035:P1267,"W")</f>
        <v>-960.00000000003297</v>
      </c>
      <c r="BL1157" s="87">
        <f>SUMIFS($AU$1035:AU1267,$P$1035:P1267,"R")</f>
        <v>1024.0000000000007</v>
      </c>
      <c r="BM1157" s="87">
        <f>SUMIFS($AU$1035:AU1267,$AQ$1035:AQ1267,"M")</f>
        <v>-899.79999999984489</v>
      </c>
      <c r="BN1157" s="87">
        <f>SUMIFS($AU$1035:AU1267,$AQ$1035:AQ1267,"H")</f>
        <v>1583.9999999998265</v>
      </c>
      <c r="BO1157" s="87">
        <f>SUMIFS($AU$1035:AU1267,$AQ$1035:AQ1267,"D")</f>
        <v>-479.9999999999896</v>
      </c>
      <c r="BP1157" s="87">
        <f>SUMIFS($AS$1035:AS1355,$AO$1035:AO1355,"W")</f>
        <v>0</v>
      </c>
      <c r="BQ1157" s="87">
        <f>SUMIFS($AU$1035:AU1267,$Q$1035:Q1267,"O")</f>
        <v>-1079.7999999999552</v>
      </c>
      <c r="BR1157" s="87">
        <f>SUMIFS($AU$1035:AU1267,$AA$1035:AA1267,"*")</f>
        <v>-499.79999999992333</v>
      </c>
      <c r="BS1157" s="87">
        <f>SUMIFS($AU$1035:AU1267,$AB$1035:AB1267,"*")</f>
        <v>-724.00000000009095</v>
      </c>
      <c r="BT1157" s="87">
        <f>SUMIFS($AU$1035:AU1267,$AC$1035:AC1267,"*")</f>
        <v>112.00000000000097</v>
      </c>
      <c r="BU1157" s="87">
        <f>SUMIFS($AU$1035:AU1267,$AA$1035:AA1267,"*",$AB$1035:AB1267,"*")</f>
        <v>47.999999999934744</v>
      </c>
      <c r="BV1157" s="87">
        <f>SUMIFS($AU$1035:AU1267,$AA$1035:AA1267,"*",$AC$1035:AC1267,"*")</f>
        <v>-335.99999999999977</v>
      </c>
      <c r="BW1157" s="87">
        <f>SUMIFS($AU$1035:AU1267,$AB$1035:AB1267,"*",$AC$1035:AC1267,"*")</f>
        <v>-143.99999999999966</v>
      </c>
      <c r="BX1157" s="87">
        <f>SUMIFS($AV$1035:AV1267,$Q$1035:Q1267,"F")</f>
        <v>34.153846153846246</v>
      </c>
      <c r="BY1157" s="87">
        <f>SUMIFS($AV$1035:AV1267,$Q$1035:Q1267,"S")</f>
        <v>20.914285714286223</v>
      </c>
      <c r="BZ1157" s="87">
        <f>SUMIFS($AV$1035:AV1267,$Q$1035:Q1267,"O")</f>
        <v>-445.13333333327751</v>
      </c>
    </row>
    <row r="1158" spans="1:78" ht="15.75" customHeight="1">
      <c r="A1158" s="45" t="s">
        <v>3357</v>
      </c>
      <c r="B1158" s="59">
        <v>45569</v>
      </c>
      <c r="C1158" s="46" t="s">
        <v>147</v>
      </c>
      <c r="D1158" s="46" t="s">
        <v>115</v>
      </c>
      <c r="E1158" s="66"/>
      <c r="F1158" s="47"/>
      <c r="G1158" s="109" t="s">
        <v>1756</v>
      </c>
      <c r="H1158" s="49"/>
      <c r="I1158" s="49"/>
      <c r="J1158" s="49"/>
      <c r="K1158" s="50"/>
      <c r="L1158" s="49"/>
      <c r="M1158" s="49"/>
      <c r="N1158" s="49"/>
      <c r="O1158" s="50" t="s">
        <v>100</v>
      </c>
      <c r="P1158" s="50" t="s">
        <v>101</v>
      </c>
      <c r="Q1158" s="50" t="s">
        <v>127</v>
      </c>
      <c r="R1158" s="50">
        <v>26</v>
      </c>
      <c r="S1158" s="50">
        <v>0</v>
      </c>
      <c r="T1158" s="50">
        <v>16</v>
      </c>
      <c r="U1158" s="50" t="s">
        <v>102</v>
      </c>
      <c r="V1158" s="50" t="s">
        <v>2906</v>
      </c>
      <c r="W1158" s="50" t="s">
        <v>2916</v>
      </c>
      <c r="X1158" s="50" t="s">
        <v>3125</v>
      </c>
      <c r="Y1158" s="51">
        <f>IF(ISBLANK(O1158),"",(IF(O1158=UPPER("IB"),0.005,0.01)))</f>
        <v>0.01</v>
      </c>
      <c r="Z1158" s="52">
        <f>IF(ISBLANK(O1158),"",IF(O1158="IB",8.63*200,IF(O1158="IR",16*100,IF(O1158="YT",20*100,IF(O1158="YT-XT",24*200,IF(O1158="TED",80*100,IF(O1158="XT",29*200)))))))</f>
        <v>1600</v>
      </c>
      <c r="AA1158" s="52" t="s">
        <v>3401</v>
      </c>
      <c r="AB1158" s="52" t="s">
        <v>3402</v>
      </c>
      <c r="AC1158" s="52" t="s">
        <v>3403</v>
      </c>
      <c r="AD1158" s="231">
        <f>-(0.06*16+0.05*10)/26</f>
        <v>-5.6153846153846151E-2</v>
      </c>
      <c r="AE1158" s="49"/>
      <c r="AF1158" s="84"/>
      <c r="AG1158" s="49"/>
      <c r="AH1158" s="49"/>
      <c r="AI1158" s="49"/>
      <c r="AJ1158" s="226"/>
      <c r="AK1158" s="49"/>
      <c r="AL1158" s="113">
        <f>-0.02*Z1158</f>
        <v>-32</v>
      </c>
      <c r="AM1158" s="113">
        <f t="shared" si="532"/>
        <v>-832</v>
      </c>
      <c r="AN1158" s="218"/>
      <c r="AO1158" s="49"/>
      <c r="AP1158" s="49"/>
      <c r="AQ1158" s="84" t="str">
        <f>UPPER(RIGHT(Journal_Live[[#This Row],[DURATION ]]))</f>
        <v/>
      </c>
      <c r="AR1158" s="49"/>
      <c r="AS1158" s="55">
        <v>-0.05</v>
      </c>
      <c r="AT1158" s="55">
        <f t="shared" si="533"/>
        <v>-6.1538461538461486E-3</v>
      </c>
      <c r="AU1158" s="54">
        <f t="shared" si="534"/>
        <v>-255.99999999999977</v>
      </c>
      <c r="AV1158" s="56">
        <f>IF(ISBLANK(AS1158),,(AT1158*Z1158))</f>
        <v>-9.8461538461538378</v>
      </c>
      <c r="AW1158" s="57" t="s">
        <v>121</v>
      </c>
      <c r="AX1158" s="151" t="s">
        <v>3404</v>
      </c>
      <c r="AY1158" s="153" t="s">
        <v>3405</v>
      </c>
      <c r="AZ1158" s="153" t="s">
        <v>3406</v>
      </c>
      <c r="BA1158" s="153" t="s">
        <v>3407</v>
      </c>
      <c r="BB1158" s="153"/>
      <c r="BC1158" s="153"/>
      <c r="BD1158" s="151"/>
      <c r="BE1158" s="152"/>
      <c r="BF1158" s="151"/>
      <c r="BG1158" s="94">
        <f>SUM($AV$1035:AV1158)</f>
        <v>-286.46520146515451</v>
      </c>
      <c r="BH1158" s="95">
        <f>SUM($AU$1035:AU1158)</f>
        <v>-856.99999999997817</v>
      </c>
      <c r="BI1158" s="80">
        <f>SUMIFS($AU$1035:AU1268,$Q$1035:Q1268,"F")</f>
        <v>112.00000000000057</v>
      </c>
      <c r="BJ1158" s="80">
        <f>SUMIFS($AU$1035:AU1268,$Q$1035:Q1268,"S")</f>
        <v>-15.999999999994088</v>
      </c>
      <c r="BK1158" s="87">
        <f>SUMIFS($AU$1035:AU1268,$P$1035:P1268,"W")</f>
        <v>-960.00000000003297</v>
      </c>
      <c r="BL1158" s="87">
        <f>SUMIFS($AU$1035:AU1268,$P$1035:P1268,"R")</f>
        <v>1024.0000000000007</v>
      </c>
      <c r="BM1158" s="87">
        <f>SUMIFS($AU$1035:AU1268,$AQ$1035:AQ1268,"M")</f>
        <v>-899.79999999984489</v>
      </c>
      <c r="BN1158" s="87">
        <f>SUMIFS($AU$1035:AU1268,$AQ$1035:AQ1268,"H")</f>
        <v>1583.9999999998265</v>
      </c>
      <c r="BO1158" s="87">
        <f>SUMIFS($AU$1035:AU1268,$AQ$1035:AQ1268,"D")</f>
        <v>-479.9999999999896</v>
      </c>
      <c r="BP1158" s="87">
        <f>SUMIFS($AS$1035:AS1356,$AO$1035:AO1356,"W")</f>
        <v>0</v>
      </c>
      <c r="BQ1158" s="87">
        <f>SUMIFS($AU$1035:AU1268,$Q$1035:Q1268,"O")</f>
        <v>-1079.7999999999552</v>
      </c>
      <c r="BR1158" s="87">
        <f>SUMIFS($AU$1035:AU1268,$AA$1035:AA1268,"*")</f>
        <v>-499.79999999992333</v>
      </c>
      <c r="BS1158" s="87">
        <f>SUMIFS($AU$1035:AU1268,$AB$1035:AB1268,"*")</f>
        <v>-724.00000000009095</v>
      </c>
      <c r="BT1158" s="87">
        <f>SUMIFS($AU$1035:AU1268,$AC$1035:AC1268,"*")</f>
        <v>112.00000000000097</v>
      </c>
      <c r="BU1158" s="87">
        <f>SUMIFS($AU$1035:AU1268,$AA$1035:AA1268,"*",$AB$1035:AB1268,"*")</f>
        <v>47.999999999934744</v>
      </c>
      <c r="BV1158" s="87">
        <f>SUMIFS($AU$1035:AU1268,$AA$1035:AA1268,"*",$AC$1035:AC1268,"*")</f>
        <v>-335.99999999999977</v>
      </c>
      <c r="BW1158" s="87">
        <f>SUMIFS($AU$1035:AU1268,$AB$1035:AB1268,"*",$AC$1035:AC1268,"*")</f>
        <v>-143.99999999999966</v>
      </c>
      <c r="BX1158" s="87">
        <f>SUMIFS($AV$1035:AV1268,$Q$1035:Q1268,"F")</f>
        <v>34.153846153846246</v>
      </c>
      <c r="BY1158" s="87">
        <f>SUMIFS($AV$1035:AV1268,$Q$1035:Q1268,"S")</f>
        <v>20.914285714286223</v>
      </c>
      <c r="BZ1158" s="87">
        <f>SUMIFS($AV$1035:AV1268,$Q$1035:Q1268,"O")</f>
        <v>-445.13333333327751</v>
      </c>
    </row>
    <row r="1159" spans="1:78" ht="15.75" customHeight="1">
      <c r="A1159" s="45" t="s">
        <v>3357</v>
      </c>
      <c r="B1159" s="59">
        <v>45569</v>
      </c>
      <c r="C1159" s="46" t="s">
        <v>147</v>
      </c>
      <c r="D1159" s="46" t="s">
        <v>115</v>
      </c>
      <c r="E1159" s="66"/>
      <c r="F1159" s="47"/>
      <c r="G1159" s="48" t="s">
        <v>2821</v>
      </c>
      <c r="H1159" s="49"/>
      <c r="I1159" s="49"/>
      <c r="J1159" s="49"/>
      <c r="K1159" s="50"/>
      <c r="L1159" s="49"/>
      <c r="M1159" s="49"/>
      <c r="N1159" s="49"/>
      <c r="O1159" s="50" t="s">
        <v>100</v>
      </c>
      <c r="P1159" s="50" t="s">
        <v>101</v>
      </c>
      <c r="Q1159" s="50" t="s">
        <v>102</v>
      </c>
      <c r="R1159" s="50">
        <v>10</v>
      </c>
      <c r="S1159" s="50">
        <v>0</v>
      </c>
      <c r="T1159" s="50">
        <v>10</v>
      </c>
      <c r="U1159" s="50" t="s">
        <v>102</v>
      </c>
      <c r="V1159" s="50" t="s">
        <v>2898</v>
      </c>
      <c r="W1159" s="50" t="s">
        <v>20</v>
      </c>
      <c r="X1159" s="50" t="s">
        <v>3002</v>
      </c>
      <c r="Y1159" s="51">
        <f>IF(ISBLANK(O1159),"",(IF(O1159=UPPER("IB"),0.005,0.01)))</f>
        <v>0.01</v>
      </c>
      <c r="Z1159" s="52">
        <f>IF(ISBLANK(O1159),"",IF(O1159="IB",8.63*200,IF(O1159="IR",16*100,IF(O1159="YT",20*100,IF(O1159="YT-XT",24*200,IF(O1159="TED",80*100,IF(O1159="XT",29*200)))))))</f>
        <v>1600</v>
      </c>
      <c r="AA1159" s="52" t="s">
        <v>3408</v>
      </c>
      <c r="AB1159" s="52"/>
      <c r="AC1159" s="52"/>
      <c r="AD1159" s="231">
        <v>-0.35</v>
      </c>
      <c r="AE1159" s="49"/>
      <c r="AF1159" s="84"/>
      <c r="AG1159" s="49"/>
      <c r="AH1159" s="49"/>
      <c r="AI1159" s="49"/>
      <c r="AJ1159" s="226"/>
      <c r="AK1159" s="49"/>
      <c r="AL1159" s="113">
        <f>-0.02*Z1159</f>
        <v>-32</v>
      </c>
      <c r="AM1159" s="113">
        <f t="shared" si="532"/>
        <v>-320</v>
      </c>
      <c r="AN1159" s="218"/>
      <c r="AO1159" s="49"/>
      <c r="AP1159" s="49"/>
      <c r="AQ1159" s="84" t="s">
        <v>350</v>
      </c>
      <c r="AR1159" s="49" t="s">
        <v>712</v>
      </c>
      <c r="AS1159" s="55">
        <v>-0.36</v>
      </c>
      <c r="AT1159" s="55">
        <f t="shared" si="533"/>
        <v>1.0000000000000009E-2</v>
      </c>
      <c r="AU1159" s="54">
        <f t="shared" si="534"/>
        <v>160.00000000000014</v>
      </c>
      <c r="AV1159" s="56">
        <f>IF(ISBLANK(AS1159),,(AT1159*Z1159))</f>
        <v>16.000000000000014</v>
      </c>
      <c r="AW1159" s="57" t="s">
        <v>101</v>
      </c>
      <c r="AX1159" s="153"/>
      <c r="AY1159" s="153"/>
      <c r="AZ1159" s="153"/>
      <c r="BA1159" s="153"/>
      <c r="BB1159" s="153"/>
      <c r="BC1159" s="153"/>
      <c r="BD1159" s="151"/>
      <c r="BE1159" s="152"/>
      <c r="BF1159" s="151"/>
      <c r="BG1159" s="94">
        <f>SUM($AV$1035:AV1159)</f>
        <v>-270.46520146515451</v>
      </c>
      <c r="BH1159" s="95">
        <f>SUM($AU$1035:AU1159)</f>
        <v>-696.99999999997806</v>
      </c>
      <c r="BI1159" s="80">
        <f>SUMIFS($AU$1035:AU1269,$Q$1035:Q1269,"F")</f>
        <v>112.00000000000057</v>
      </c>
      <c r="BJ1159" s="80">
        <f>SUMIFS($AU$1035:AU1269,$Q$1035:Q1269,"S")</f>
        <v>-15.999999999994088</v>
      </c>
      <c r="BK1159" s="87">
        <f>SUMIFS($AU$1035:AU1269,$P$1035:P1269,"W")</f>
        <v>-960.00000000003297</v>
      </c>
      <c r="BL1159" s="87">
        <f>SUMIFS($AU$1035:AU1269,$P$1035:P1269,"R")</f>
        <v>1024.0000000000007</v>
      </c>
      <c r="BM1159" s="87">
        <f>SUMIFS($AU$1035:AU1269,$AQ$1035:AQ1269,"M")</f>
        <v>-899.79999999984489</v>
      </c>
      <c r="BN1159" s="87">
        <f>SUMIFS($AU$1035:AU1269,$AQ$1035:AQ1269,"H")</f>
        <v>1583.9999999998265</v>
      </c>
      <c r="BO1159" s="87">
        <f>SUMIFS($AU$1035:AU1269,$AQ$1035:AQ1269,"D")</f>
        <v>-479.9999999999896</v>
      </c>
      <c r="BP1159" s="87">
        <f>SUMIFS($AS$1035:AS1357,$AO$1035:AO1357,"W")</f>
        <v>0</v>
      </c>
      <c r="BQ1159" s="87">
        <f>SUMIFS($AU$1035:AU1269,$Q$1035:Q1269,"O")</f>
        <v>-1079.7999999999552</v>
      </c>
      <c r="BR1159" s="87">
        <f>SUMIFS($AU$1035:AU1269,$AA$1035:AA1269,"*")</f>
        <v>-499.79999999992333</v>
      </c>
      <c r="BS1159" s="87">
        <f>SUMIFS($AU$1035:AU1269,$AB$1035:AB1269,"*")</f>
        <v>-724.00000000009095</v>
      </c>
      <c r="BT1159" s="87">
        <f>SUMIFS($AU$1035:AU1269,$AC$1035:AC1269,"*")</f>
        <v>112.00000000000097</v>
      </c>
      <c r="BU1159" s="87">
        <f>SUMIFS($AU$1035:AU1269,$AA$1035:AA1269,"*",$AB$1035:AB1269,"*")</f>
        <v>47.999999999934744</v>
      </c>
      <c r="BV1159" s="87">
        <f>SUMIFS($AU$1035:AU1269,$AA$1035:AA1269,"*",$AC$1035:AC1269,"*")</f>
        <v>-335.99999999999977</v>
      </c>
      <c r="BW1159" s="87">
        <f>SUMIFS($AU$1035:AU1269,$AB$1035:AB1269,"*",$AC$1035:AC1269,"*")</f>
        <v>-143.99999999999966</v>
      </c>
      <c r="BX1159" s="87">
        <f>SUMIFS($AV$1035:AV1269,$Q$1035:Q1269,"F")</f>
        <v>34.153846153846246</v>
      </c>
      <c r="BY1159" s="87">
        <f>SUMIFS($AV$1035:AV1269,$Q$1035:Q1269,"S")</f>
        <v>20.914285714286223</v>
      </c>
      <c r="BZ1159" s="87">
        <f>SUMIFS($AV$1035:AV1269,$Q$1035:Q1269,"O")</f>
        <v>-445.13333333327751</v>
      </c>
    </row>
    <row r="1160" spans="1:78" ht="15.75" customHeight="1">
      <c r="A1160" s="45" t="s">
        <v>3357</v>
      </c>
      <c r="B1160" s="59">
        <v>45569</v>
      </c>
      <c r="C1160" s="46" t="s">
        <v>147</v>
      </c>
      <c r="D1160" s="46" t="s">
        <v>115</v>
      </c>
      <c r="E1160" s="66"/>
      <c r="F1160" s="47"/>
      <c r="G1160" s="48" t="s">
        <v>2672</v>
      </c>
      <c r="H1160" s="49"/>
      <c r="I1160" s="49"/>
      <c r="J1160" s="49"/>
      <c r="K1160" s="50"/>
      <c r="L1160" s="49"/>
      <c r="M1160" s="49"/>
      <c r="N1160" s="49"/>
      <c r="O1160" s="50" t="s">
        <v>100</v>
      </c>
      <c r="P1160" s="50" t="s">
        <v>101</v>
      </c>
      <c r="Q1160" s="50" t="s">
        <v>198</v>
      </c>
      <c r="R1160" s="50">
        <v>4</v>
      </c>
      <c r="S1160" s="50">
        <v>0</v>
      </c>
      <c r="T1160" s="50">
        <v>4</v>
      </c>
      <c r="U1160" s="50" t="s">
        <v>22</v>
      </c>
      <c r="V1160" s="50" t="s">
        <v>2898</v>
      </c>
      <c r="W1160" s="50" t="s">
        <v>155</v>
      </c>
      <c r="X1160" s="50"/>
      <c r="Y1160" s="51">
        <f t="shared" ref="Y1160" si="548">IF(ISBLANK(O1160),"",(IF(O1160=UPPER("IB"),0.005,0.01)))</f>
        <v>0.01</v>
      </c>
      <c r="Z1160" s="52">
        <f t="shared" ref="Z1160" si="549">IF(ISBLANK(O1160),"",IF(O1160="IB",8.63*200,IF(O1160="IR",16*100,IF(O1160="YT",20*100,IF(O1160="YT-XT",24*200,IF(O1160="TED",80*100,IF(O1160="XT",29*200)))))))</f>
        <v>1600</v>
      </c>
      <c r="AA1160" s="52"/>
      <c r="AB1160" s="52" t="s">
        <v>3399</v>
      </c>
      <c r="AC1160" s="52"/>
      <c r="AD1160" s="231">
        <v>95.72</v>
      </c>
      <c r="AE1160" s="49"/>
      <c r="AF1160" s="84"/>
      <c r="AG1160" s="49"/>
      <c r="AH1160" s="49"/>
      <c r="AI1160" s="49"/>
      <c r="AJ1160" s="226"/>
      <c r="AK1160" s="49"/>
      <c r="AL1160" s="113">
        <f t="shared" si="531"/>
        <v>-32</v>
      </c>
      <c r="AM1160" s="113">
        <f t="shared" si="532"/>
        <v>-128</v>
      </c>
      <c r="AN1160" s="218"/>
      <c r="AO1160" s="49"/>
      <c r="AP1160" s="49"/>
      <c r="AQ1160" s="84" t="str">
        <f>UPPER(RIGHT(Journal_Live[[#This Row],[DURATION ]]))</f>
        <v/>
      </c>
      <c r="AR1160" s="49"/>
      <c r="AS1160" s="55">
        <v>95.72</v>
      </c>
      <c r="AT1160" s="55">
        <f t="shared" si="533"/>
        <v>0</v>
      </c>
      <c r="AU1160" s="54">
        <f t="shared" si="534"/>
        <v>0</v>
      </c>
      <c r="AV1160" s="56">
        <f t="shared" si="535"/>
        <v>0</v>
      </c>
      <c r="AW1160" s="57" t="s">
        <v>155</v>
      </c>
      <c r="AX1160" s="153"/>
      <c r="AY1160" s="153"/>
      <c r="AZ1160" s="153"/>
      <c r="BA1160" s="153"/>
      <c r="BB1160" s="153"/>
      <c r="BC1160" s="153"/>
      <c r="BD1160" s="151"/>
      <c r="BE1160" s="152"/>
      <c r="BF1160" s="151"/>
      <c r="BG1160" s="94">
        <f>SUM($AV$1035:AV1160)</f>
        <v>-270.46520146515451</v>
      </c>
      <c r="BH1160" s="95">
        <f>SUM($AU$1035:AU1160)</f>
        <v>-696.99999999997806</v>
      </c>
      <c r="BI1160" s="80">
        <f>SUMIFS($AU$1035:AU1270,$Q$1035:Q1270,"F")</f>
        <v>112.00000000000057</v>
      </c>
      <c r="BJ1160" s="80">
        <f>SUMIFS($AU$1035:AU1270,$Q$1035:Q1270,"S")</f>
        <v>-15.999999999994088</v>
      </c>
      <c r="BK1160" s="87">
        <f>SUMIFS($AU$1035:AU1270,$P$1035:P1270,"W")</f>
        <v>-960.00000000003297</v>
      </c>
      <c r="BL1160" s="87">
        <f>SUMIFS($AU$1035:AU1270,$P$1035:P1270,"R")</f>
        <v>1024.0000000000007</v>
      </c>
      <c r="BM1160" s="87">
        <f>SUMIFS($AU$1035:AU1270,$AQ$1035:AQ1270,"M")</f>
        <v>-899.79999999984489</v>
      </c>
      <c r="BN1160" s="87">
        <f>SUMIFS($AU$1035:AU1270,$AQ$1035:AQ1270,"H")</f>
        <v>1583.9999999998265</v>
      </c>
      <c r="BO1160" s="87">
        <f>SUMIFS($AU$1035:AU1270,$AQ$1035:AQ1270,"D")</f>
        <v>-479.9999999999896</v>
      </c>
      <c r="BP1160" s="87">
        <f>SUMIFS($AS$1035:AS1358,$AO$1035:AO1358,"W")</f>
        <v>0</v>
      </c>
      <c r="BQ1160" s="87">
        <f>SUMIFS($AU$1035:AU1270,$Q$1035:Q1270,"O")</f>
        <v>-1079.7999999999552</v>
      </c>
      <c r="BR1160" s="87">
        <f>SUMIFS($AU$1035:AU1270,$AA$1035:AA1270,"*")</f>
        <v>-499.79999999992333</v>
      </c>
      <c r="BS1160" s="87">
        <f>SUMIFS($AU$1035:AU1270,$AB$1035:AB1270,"*")</f>
        <v>-724.00000000009095</v>
      </c>
      <c r="BT1160" s="87">
        <f>SUMIFS($AU$1035:AU1270,$AC$1035:AC1270,"*")</f>
        <v>112.00000000000097</v>
      </c>
      <c r="BU1160" s="87">
        <f>SUMIFS($AU$1035:AU1270,$AA$1035:AA1270,"*",$AB$1035:AB1270,"*")</f>
        <v>47.999999999934744</v>
      </c>
      <c r="BV1160" s="87">
        <f>SUMIFS($AU$1035:AU1270,$AA$1035:AA1270,"*",$AC$1035:AC1270,"*")</f>
        <v>-335.99999999999977</v>
      </c>
      <c r="BW1160" s="87">
        <f>SUMIFS($AU$1035:AU1270,$AB$1035:AB1270,"*",$AC$1035:AC1270,"*")</f>
        <v>-143.99999999999966</v>
      </c>
      <c r="BX1160" s="87">
        <f>SUMIFS($AV$1035:AV1270,$Q$1035:Q1270,"F")</f>
        <v>34.153846153846246</v>
      </c>
      <c r="BY1160" s="87">
        <f>SUMIFS($AV$1035:AV1270,$Q$1035:Q1270,"S")</f>
        <v>20.914285714286223</v>
      </c>
      <c r="BZ1160" s="87">
        <f>SUMIFS($AV$1035:AV1270,$Q$1035:Q1270,"O")</f>
        <v>-445.13333333327751</v>
      </c>
    </row>
    <row r="1161" spans="1:78" ht="15.75" customHeight="1">
      <c r="A1161" s="45" t="s">
        <v>3357</v>
      </c>
      <c r="B1161" s="59">
        <v>45569</v>
      </c>
      <c r="C1161" s="46" t="s">
        <v>147</v>
      </c>
      <c r="D1161" s="46" t="s">
        <v>115</v>
      </c>
      <c r="E1161" s="66"/>
      <c r="F1161" s="47"/>
      <c r="G1161" s="48" t="s">
        <v>2672</v>
      </c>
      <c r="H1161" s="49"/>
      <c r="I1161" s="49"/>
      <c r="J1161" s="49"/>
      <c r="K1161" s="50"/>
      <c r="L1161" s="49"/>
      <c r="M1161" s="49"/>
      <c r="N1161" s="49"/>
      <c r="O1161" s="50" t="s">
        <v>100</v>
      </c>
      <c r="P1161" s="50" t="s">
        <v>101</v>
      </c>
      <c r="Q1161" s="50" t="s">
        <v>198</v>
      </c>
      <c r="R1161" s="50">
        <v>4</v>
      </c>
      <c r="S1161" s="50">
        <v>0</v>
      </c>
      <c r="T1161" s="50">
        <v>4</v>
      </c>
      <c r="U1161" s="50" t="s">
        <v>22</v>
      </c>
      <c r="V1161" s="50" t="s">
        <v>2898</v>
      </c>
      <c r="W1161" s="50" t="s">
        <v>155</v>
      </c>
      <c r="X1161" s="50"/>
      <c r="Y1161" s="51">
        <f t="shared" ref="Y1161:Y1162" si="550">IF(ISBLANK(O1161),"",(IF(O1161=UPPER("IB"),0.005,0.01)))</f>
        <v>0.01</v>
      </c>
      <c r="Z1161" s="52">
        <f t="shared" ref="Z1161:Z1162" si="551">IF(ISBLANK(O1161),"",IF(O1161="IB",8.63*200,IF(O1161="IR",16*100,IF(O1161="YT",20*100,IF(O1161="YT-XT",24*200,IF(O1161="TED",80*100,IF(O1161="XT",29*200)))))))</f>
        <v>1600</v>
      </c>
      <c r="AA1161" s="52"/>
      <c r="AB1161" s="52" t="s">
        <v>3399</v>
      </c>
      <c r="AC1161" s="52"/>
      <c r="AD1161" s="231">
        <v>95.71</v>
      </c>
      <c r="AE1161" s="49"/>
      <c r="AF1161" s="84"/>
      <c r="AG1161" s="49"/>
      <c r="AH1161" s="49"/>
      <c r="AI1161" s="49"/>
      <c r="AJ1161" s="226"/>
      <c r="AK1161" s="49"/>
      <c r="AL1161" s="113">
        <f t="shared" si="531"/>
        <v>-32</v>
      </c>
      <c r="AM1161" s="113">
        <f t="shared" si="532"/>
        <v>-128</v>
      </c>
      <c r="AN1161" s="218"/>
      <c r="AO1161" s="49"/>
      <c r="AP1161" s="49"/>
      <c r="AQ1161" s="84" t="str">
        <f>UPPER(RIGHT(Journal_Live[[#This Row],[DURATION ]]))</f>
        <v/>
      </c>
      <c r="AR1161" s="49"/>
      <c r="AS1161" s="55">
        <f>(95.7*2+95.7*2)/4</f>
        <v>95.7</v>
      </c>
      <c r="AT1161" s="55">
        <f t="shared" si="533"/>
        <v>-9.9999999999909051E-3</v>
      </c>
      <c r="AU1161" s="54">
        <f t="shared" si="534"/>
        <v>-63.999999999941792</v>
      </c>
      <c r="AV1161" s="56">
        <f t="shared" si="535"/>
        <v>-15.999999999985448</v>
      </c>
      <c r="AW1161" s="57" t="s">
        <v>121</v>
      </c>
      <c r="AX1161" s="153"/>
      <c r="AY1161" s="153"/>
      <c r="AZ1161" s="153"/>
      <c r="BA1161" s="153"/>
      <c r="BB1161" s="153"/>
      <c r="BC1161" s="153"/>
      <c r="BD1161" s="151"/>
      <c r="BE1161" s="152"/>
      <c r="BF1161" s="151"/>
      <c r="BG1161" s="94">
        <f>SUM($AV$1035:AV1161)</f>
        <v>-286.46520146513996</v>
      </c>
      <c r="BH1161" s="95">
        <f>SUM($AU$1035:AU1161)</f>
        <v>-760.99999999991985</v>
      </c>
      <c r="BI1161" s="80">
        <f>SUMIFS($AU$1035:AU1271,$Q$1035:Q1271,"F")</f>
        <v>112.00000000000057</v>
      </c>
      <c r="BJ1161" s="80">
        <f>SUMIFS($AU$1035:AU1271,$Q$1035:Q1271,"S")</f>
        <v>-15.999999999994088</v>
      </c>
      <c r="BK1161" s="87">
        <f>SUMIFS($AU$1035:AU1271,$P$1035:P1271,"W")</f>
        <v>-960.00000000003297</v>
      </c>
      <c r="BL1161" s="87">
        <f>SUMIFS($AU$1035:AU1271,$P$1035:P1271,"R")</f>
        <v>1024.0000000000007</v>
      </c>
      <c r="BM1161" s="87">
        <f>SUMIFS($AU$1035:AU1271,$AQ$1035:AQ1271,"M")</f>
        <v>-899.79999999984489</v>
      </c>
      <c r="BN1161" s="87">
        <f>SUMIFS($AU$1035:AU1271,$AQ$1035:AQ1271,"H")</f>
        <v>1583.9999999998265</v>
      </c>
      <c r="BO1161" s="87">
        <f>SUMIFS($AU$1035:AU1271,$AQ$1035:AQ1271,"D")</f>
        <v>-479.9999999999896</v>
      </c>
      <c r="BP1161" s="87">
        <f>SUMIFS($AS$1035:AS1359,$AO$1035:AO1359,"W")</f>
        <v>0</v>
      </c>
      <c r="BQ1161" s="87">
        <f>SUMIFS($AU$1035:AU1271,$Q$1035:Q1271,"O")</f>
        <v>-1079.7999999999552</v>
      </c>
      <c r="BR1161" s="87">
        <f>SUMIFS($AU$1035:AU1271,$AA$1035:AA1271,"*")</f>
        <v>-499.79999999992333</v>
      </c>
      <c r="BS1161" s="87">
        <f>SUMIFS($AU$1035:AU1271,$AB$1035:AB1271,"*")</f>
        <v>-724.00000000009095</v>
      </c>
      <c r="BT1161" s="87">
        <f>SUMIFS($AU$1035:AU1271,$AC$1035:AC1271,"*")</f>
        <v>112.00000000000097</v>
      </c>
      <c r="BU1161" s="87">
        <f>SUMIFS($AU$1035:AU1271,$AA$1035:AA1271,"*",$AB$1035:AB1271,"*")</f>
        <v>47.999999999934744</v>
      </c>
      <c r="BV1161" s="87">
        <f>SUMIFS($AU$1035:AU1271,$AA$1035:AA1271,"*",$AC$1035:AC1271,"*")</f>
        <v>-335.99999999999977</v>
      </c>
      <c r="BW1161" s="87">
        <f>SUMIFS($AU$1035:AU1271,$AB$1035:AB1271,"*",$AC$1035:AC1271,"*")</f>
        <v>-143.99999999999966</v>
      </c>
      <c r="BX1161" s="87">
        <f>SUMIFS($AV$1035:AV1271,$Q$1035:Q1271,"F")</f>
        <v>34.153846153846246</v>
      </c>
      <c r="BY1161" s="87">
        <f>SUMIFS($AV$1035:AV1271,$Q$1035:Q1271,"S")</f>
        <v>20.914285714286223</v>
      </c>
      <c r="BZ1161" s="87">
        <f>SUMIFS($AV$1035:AV1271,$Q$1035:Q1271,"O")</f>
        <v>-445.13333333327751</v>
      </c>
    </row>
    <row r="1162" spans="1:78" ht="15.75" customHeight="1">
      <c r="A1162" s="45" t="s">
        <v>3357</v>
      </c>
      <c r="B1162" s="59">
        <v>45569</v>
      </c>
      <c r="C1162" s="46" t="s">
        <v>147</v>
      </c>
      <c r="D1162" s="46" t="s">
        <v>115</v>
      </c>
      <c r="E1162" s="66"/>
      <c r="F1162" s="47"/>
      <c r="G1162" s="104" t="s">
        <v>2466</v>
      </c>
      <c r="H1162" s="49"/>
      <c r="I1162" s="49"/>
      <c r="J1162" s="49"/>
      <c r="K1162" s="50"/>
      <c r="L1162" s="49"/>
      <c r="M1162" s="49"/>
      <c r="N1162" s="49"/>
      <c r="O1162" s="50" t="s">
        <v>100</v>
      </c>
      <c r="P1162" s="50" t="s">
        <v>101</v>
      </c>
      <c r="Q1162" s="50" t="s">
        <v>102</v>
      </c>
      <c r="R1162" s="50">
        <v>4</v>
      </c>
      <c r="S1162" s="50">
        <v>0</v>
      </c>
      <c r="T1162" s="50">
        <v>4</v>
      </c>
      <c r="U1162" s="50" t="s">
        <v>22</v>
      </c>
      <c r="V1162" s="50" t="s">
        <v>2898</v>
      </c>
      <c r="W1162" s="50" t="s">
        <v>155</v>
      </c>
      <c r="X1162" s="50" t="s">
        <v>3035</v>
      </c>
      <c r="Y1162" s="51">
        <f t="shared" si="550"/>
        <v>0.01</v>
      </c>
      <c r="Z1162" s="52">
        <f t="shared" si="551"/>
        <v>1600</v>
      </c>
      <c r="AA1162" s="52" t="s">
        <v>3409</v>
      </c>
      <c r="AB1162" s="52"/>
      <c r="AC1162" s="52"/>
      <c r="AD1162" s="231">
        <v>-0.5</v>
      </c>
      <c r="AE1162" s="49"/>
      <c r="AF1162" s="84"/>
      <c r="AG1162" s="49"/>
      <c r="AH1162" s="49"/>
      <c r="AI1162" s="49"/>
      <c r="AJ1162" s="226"/>
      <c r="AK1162" s="49"/>
      <c r="AL1162" s="113">
        <f t="shared" si="531"/>
        <v>-32</v>
      </c>
      <c r="AM1162" s="113">
        <f t="shared" si="532"/>
        <v>-128</v>
      </c>
      <c r="AN1162" s="218"/>
      <c r="AO1162" s="49"/>
      <c r="AP1162" s="49"/>
      <c r="AQ1162" s="84" t="s">
        <v>155</v>
      </c>
      <c r="AR1162" s="49" t="s">
        <v>2662</v>
      </c>
      <c r="AS1162" s="55">
        <v>-0.5</v>
      </c>
      <c r="AT1162" s="55">
        <f t="shared" si="533"/>
        <v>0</v>
      </c>
      <c r="AU1162" s="54">
        <f t="shared" si="534"/>
        <v>0</v>
      </c>
      <c r="AV1162" s="56">
        <f t="shared" si="535"/>
        <v>0</v>
      </c>
      <c r="AW1162" s="57" t="s">
        <v>155</v>
      </c>
      <c r="AX1162" s="153"/>
      <c r="AY1162" s="153"/>
      <c r="AZ1162" s="153"/>
      <c r="BA1162" s="153"/>
      <c r="BB1162" s="153"/>
      <c r="BC1162" s="153"/>
      <c r="BD1162" s="151"/>
      <c r="BE1162" s="152"/>
      <c r="BF1162" s="151"/>
      <c r="BG1162" s="94">
        <f>SUM($AV$1035:AV1162)</f>
        <v>-286.46520146513996</v>
      </c>
      <c r="BH1162" s="95">
        <f>SUM($AU$1035:AU1162)</f>
        <v>-760.99999999991985</v>
      </c>
      <c r="BI1162" s="80">
        <f>SUMIFS($AU$1035:AU1272,$Q$1035:Q1272,"F")</f>
        <v>112.00000000000057</v>
      </c>
      <c r="BJ1162" s="80">
        <f>SUMIFS($AU$1035:AU1272,$Q$1035:Q1272,"S")</f>
        <v>-15.999999999994088</v>
      </c>
      <c r="BK1162" s="87">
        <f>SUMIFS($AU$1035:AU1272,$P$1035:P1272,"W")</f>
        <v>-960.00000000003297</v>
      </c>
      <c r="BL1162" s="87">
        <f>SUMIFS($AU$1035:AU1272,$P$1035:P1272,"R")</f>
        <v>1024.0000000000007</v>
      </c>
      <c r="BM1162" s="87">
        <f>SUMIFS($AU$1035:AU1272,$AQ$1035:AQ1272,"M")</f>
        <v>-899.79999999984489</v>
      </c>
      <c r="BN1162" s="87">
        <f>SUMIFS($AU$1035:AU1272,$AQ$1035:AQ1272,"H")</f>
        <v>1583.9999999998265</v>
      </c>
      <c r="BO1162" s="87">
        <f>SUMIFS($AU$1035:AU1272,$AQ$1035:AQ1272,"D")</f>
        <v>-479.9999999999896</v>
      </c>
      <c r="BP1162" s="87">
        <f>SUMIFS($AS$1035:AS1360,$AO$1035:AO1360,"W")</f>
        <v>0</v>
      </c>
      <c r="BQ1162" s="87">
        <f>SUMIFS($AU$1035:AU1272,$Q$1035:Q1272,"O")</f>
        <v>-1079.7999999999552</v>
      </c>
      <c r="BR1162" s="87">
        <f>SUMIFS($AU$1035:AU1272,$AA$1035:AA1272,"*")</f>
        <v>-499.79999999992333</v>
      </c>
      <c r="BS1162" s="87">
        <f>SUMIFS($AU$1035:AU1272,$AB$1035:AB1272,"*")</f>
        <v>-724.00000000009095</v>
      </c>
      <c r="BT1162" s="87">
        <f>SUMIFS($AU$1035:AU1272,$AC$1035:AC1272,"*")</f>
        <v>112.00000000000097</v>
      </c>
      <c r="BU1162" s="87">
        <f>SUMIFS($AU$1035:AU1272,$AA$1035:AA1272,"*",$AB$1035:AB1272,"*")</f>
        <v>47.999999999934744</v>
      </c>
      <c r="BV1162" s="87">
        <f>SUMIFS($AU$1035:AU1272,$AA$1035:AA1272,"*",$AC$1035:AC1272,"*")</f>
        <v>-335.99999999999977</v>
      </c>
      <c r="BW1162" s="87">
        <f>SUMIFS($AU$1035:AU1272,$AB$1035:AB1272,"*",$AC$1035:AC1272,"*")</f>
        <v>-143.99999999999966</v>
      </c>
      <c r="BX1162" s="87">
        <f>SUMIFS($AV$1035:AV1272,$Q$1035:Q1272,"F")</f>
        <v>34.153846153846246</v>
      </c>
      <c r="BY1162" s="87">
        <f>SUMIFS($AV$1035:AV1272,$Q$1035:Q1272,"S")</f>
        <v>20.914285714286223</v>
      </c>
      <c r="BZ1162" s="87">
        <f>SUMIFS($AV$1035:AV1272,$Q$1035:Q1272,"O")</f>
        <v>-445.13333333327751</v>
      </c>
    </row>
    <row r="1163" spans="1:78" ht="15.75" customHeight="1">
      <c r="A1163" s="45" t="s">
        <v>3357</v>
      </c>
      <c r="B1163" s="59">
        <v>45569</v>
      </c>
      <c r="C1163" s="46" t="s">
        <v>147</v>
      </c>
      <c r="D1163" s="46" t="s">
        <v>115</v>
      </c>
      <c r="E1163" s="66"/>
      <c r="F1163" s="47"/>
      <c r="G1163" s="104" t="s">
        <v>3380</v>
      </c>
      <c r="H1163" s="49"/>
      <c r="I1163" s="49"/>
      <c r="J1163" s="49"/>
      <c r="K1163" s="50"/>
      <c r="L1163" s="49"/>
      <c r="M1163" s="49"/>
      <c r="N1163" s="49"/>
      <c r="O1163" s="50" t="s">
        <v>100</v>
      </c>
      <c r="P1163" s="50" t="s">
        <v>101</v>
      </c>
      <c r="Q1163" s="50" t="s">
        <v>102</v>
      </c>
      <c r="R1163" s="50">
        <v>6</v>
      </c>
      <c r="S1163" s="50">
        <v>0</v>
      </c>
      <c r="T1163" s="50">
        <v>6</v>
      </c>
      <c r="U1163" s="50" t="s">
        <v>22</v>
      </c>
      <c r="V1163" s="50" t="s">
        <v>2898</v>
      </c>
      <c r="W1163" s="50" t="s">
        <v>155</v>
      </c>
      <c r="X1163" s="50" t="s">
        <v>3035</v>
      </c>
      <c r="Y1163" s="51">
        <f t="shared" ref="Y1163" si="552">IF(ISBLANK(O1163),"",(IF(O1163=UPPER("IB"),0.005,0.01)))</f>
        <v>0.01</v>
      </c>
      <c r="Z1163" s="52">
        <f t="shared" ref="Z1163" si="553">IF(ISBLANK(O1163),"",IF(O1163="IB",8.63*200,IF(O1163="IR",16*100,IF(O1163="YT",20*100,IF(O1163="YT-XT",24*200,IF(O1163="TED",80*100,IF(O1163="XT",29*200)))))))</f>
        <v>1600</v>
      </c>
      <c r="AA1163" s="52" t="s">
        <v>1889</v>
      </c>
      <c r="AB1163" s="52"/>
      <c r="AC1163" s="52"/>
      <c r="AD1163" s="231">
        <v>-0.16</v>
      </c>
      <c r="AE1163" s="49"/>
      <c r="AF1163" s="84"/>
      <c r="AG1163" s="49"/>
      <c r="AH1163" s="49"/>
      <c r="AI1163" s="49"/>
      <c r="AJ1163" s="226"/>
      <c r="AK1163" s="49"/>
      <c r="AL1163" s="113">
        <f t="shared" si="531"/>
        <v>-32</v>
      </c>
      <c r="AM1163" s="113">
        <f t="shared" si="532"/>
        <v>-192</v>
      </c>
      <c r="AN1163" s="218"/>
      <c r="AO1163" s="49"/>
      <c r="AP1163" s="49"/>
      <c r="AQ1163" s="84" t="s">
        <v>155</v>
      </c>
      <c r="AR1163" s="49" t="s">
        <v>2662</v>
      </c>
      <c r="AS1163" s="55">
        <v>-0.16</v>
      </c>
      <c r="AT1163" s="55">
        <f t="shared" si="533"/>
        <v>0</v>
      </c>
      <c r="AU1163" s="54">
        <f t="shared" si="534"/>
        <v>0</v>
      </c>
      <c r="AV1163" s="56">
        <f t="shared" si="535"/>
        <v>0</v>
      </c>
      <c r="AW1163" s="57" t="s">
        <v>155</v>
      </c>
      <c r="AX1163" s="153"/>
      <c r="AY1163" s="153"/>
      <c r="AZ1163" s="153"/>
      <c r="BA1163" s="153"/>
      <c r="BB1163" s="153"/>
      <c r="BC1163" s="153"/>
      <c r="BD1163" s="151"/>
      <c r="BE1163" s="152"/>
      <c r="BF1163" s="151"/>
      <c r="BG1163" s="94">
        <f>SUM($AV$1035:AV1163)</f>
        <v>-286.46520146513996</v>
      </c>
      <c r="BH1163" s="95">
        <f>SUM($AU$1035:AU1163)</f>
        <v>-760.99999999991985</v>
      </c>
      <c r="BI1163" s="80">
        <f>SUMIFS($AU$1035:AU1273,$Q$1035:Q1273,"F")</f>
        <v>112.00000000000057</v>
      </c>
      <c r="BJ1163" s="80">
        <f>SUMIFS($AU$1035:AU1273,$Q$1035:Q1273,"S")</f>
        <v>-15.999999999994088</v>
      </c>
      <c r="BK1163" s="87">
        <f>SUMIFS($AU$1035:AU1273,$P$1035:P1273,"W")</f>
        <v>-960.00000000003297</v>
      </c>
      <c r="BL1163" s="87">
        <f>SUMIFS($AU$1035:AU1273,$P$1035:P1273,"R")</f>
        <v>1024.0000000000007</v>
      </c>
      <c r="BM1163" s="87">
        <f>SUMIFS($AU$1035:AU1273,$AQ$1035:AQ1273,"M")</f>
        <v>-899.79999999984489</v>
      </c>
      <c r="BN1163" s="87">
        <f>SUMIFS($AU$1035:AU1273,$AQ$1035:AQ1273,"H")</f>
        <v>1583.9999999998265</v>
      </c>
      <c r="BO1163" s="87">
        <f>SUMIFS($AU$1035:AU1273,$AQ$1035:AQ1273,"D")</f>
        <v>-479.9999999999896</v>
      </c>
      <c r="BP1163" s="87">
        <f>SUMIFS($AS$1035:AS1361,$AO$1035:AO1361,"W")</f>
        <v>0</v>
      </c>
      <c r="BQ1163" s="87">
        <f>SUMIFS($AU$1035:AU1273,$Q$1035:Q1273,"O")</f>
        <v>-1079.7999999999552</v>
      </c>
      <c r="BR1163" s="87">
        <f>SUMIFS($AU$1035:AU1273,$AA$1035:AA1273,"*")</f>
        <v>-499.79999999992333</v>
      </c>
      <c r="BS1163" s="87">
        <f>SUMIFS($AU$1035:AU1273,$AB$1035:AB1273,"*")</f>
        <v>-724.00000000009095</v>
      </c>
      <c r="BT1163" s="87">
        <f>SUMIFS($AU$1035:AU1273,$AC$1035:AC1273,"*")</f>
        <v>112.00000000000097</v>
      </c>
      <c r="BU1163" s="87">
        <f>SUMIFS($AU$1035:AU1273,$AA$1035:AA1273,"*",$AB$1035:AB1273,"*")</f>
        <v>47.999999999934744</v>
      </c>
      <c r="BV1163" s="87">
        <f>SUMIFS($AU$1035:AU1273,$AA$1035:AA1273,"*",$AC$1035:AC1273,"*")</f>
        <v>-335.99999999999977</v>
      </c>
      <c r="BW1163" s="87">
        <f>SUMIFS($AU$1035:AU1273,$AB$1035:AB1273,"*",$AC$1035:AC1273,"*")</f>
        <v>-143.99999999999966</v>
      </c>
      <c r="BX1163" s="87">
        <f>SUMIFS($AV$1035:AV1273,$Q$1035:Q1273,"F")</f>
        <v>34.153846153846246</v>
      </c>
      <c r="BY1163" s="87">
        <f>SUMIFS($AV$1035:AV1273,$Q$1035:Q1273,"S")</f>
        <v>20.914285714286223</v>
      </c>
      <c r="BZ1163" s="87">
        <f>SUMIFS($AV$1035:AV1273,$Q$1035:Q1273,"O")</f>
        <v>-445.13333333327751</v>
      </c>
    </row>
    <row r="1164" spans="1:78" ht="15.75" customHeight="1">
      <c r="A1164" s="45" t="s">
        <v>3357</v>
      </c>
      <c r="B1164" s="59">
        <v>45569</v>
      </c>
      <c r="C1164" s="46" t="s">
        <v>147</v>
      </c>
      <c r="D1164" s="46" t="s">
        <v>115</v>
      </c>
      <c r="E1164" s="66"/>
      <c r="F1164" s="47"/>
      <c r="G1164" s="104" t="s">
        <v>2823</v>
      </c>
      <c r="H1164" s="49"/>
      <c r="I1164" s="49"/>
      <c r="J1164" s="49"/>
      <c r="K1164" s="50"/>
      <c r="L1164" s="49"/>
      <c r="M1164" s="49"/>
      <c r="N1164" s="49"/>
      <c r="O1164" s="50" t="s">
        <v>100</v>
      </c>
      <c r="P1164" s="50" t="s">
        <v>101</v>
      </c>
      <c r="Q1164" s="50" t="s">
        <v>102</v>
      </c>
      <c r="R1164" s="50">
        <v>12</v>
      </c>
      <c r="S1164" s="50">
        <v>0</v>
      </c>
      <c r="T1164" s="50">
        <v>12</v>
      </c>
      <c r="U1164" s="50" t="s">
        <v>22</v>
      </c>
      <c r="V1164" s="50" t="s">
        <v>2898</v>
      </c>
      <c r="W1164" s="50" t="s">
        <v>20</v>
      </c>
      <c r="X1164" s="50" t="s">
        <v>3002</v>
      </c>
      <c r="Y1164" s="51">
        <f>IF(ISBLANK(O1164),"",(IF(O1164=UPPER("IB"),0.005,0.01)))</f>
        <v>0.01</v>
      </c>
      <c r="Z1164" s="52">
        <f>IF(ISBLANK(O1164),"",IF(O1164="IB",8.63*200,IF(O1164="IR",16*100,IF(O1164="YT",20*100,IF(O1164="YT-XT",24*200,IF(O1164="TED",80*100,IF(O1164="XT",29*200)))))))</f>
        <v>1600</v>
      </c>
      <c r="AA1164" s="52" t="s">
        <v>3410</v>
      </c>
      <c r="AB1164" s="52"/>
      <c r="AC1164" s="52" t="s">
        <v>3411</v>
      </c>
      <c r="AD1164" s="231">
        <v>-0.17</v>
      </c>
      <c r="AE1164" s="49"/>
      <c r="AF1164" s="84"/>
      <c r="AG1164" s="49"/>
      <c r="AH1164" s="49"/>
      <c r="AI1164" s="49"/>
      <c r="AJ1164" s="226"/>
      <c r="AK1164" s="49"/>
      <c r="AL1164" s="113">
        <f t="shared" si="531"/>
        <v>-32</v>
      </c>
      <c r="AM1164" s="113">
        <f t="shared" si="532"/>
        <v>-384</v>
      </c>
      <c r="AN1164" s="218"/>
      <c r="AO1164" s="49"/>
      <c r="AP1164" s="49"/>
      <c r="AQ1164" s="84" t="s">
        <v>155</v>
      </c>
      <c r="AR1164" s="49"/>
      <c r="AS1164" s="55">
        <v>-0.17</v>
      </c>
      <c r="AT1164" s="55">
        <f t="shared" si="533"/>
        <v>0</v>
      </c>
      <c r="AU1164" s="54">
        <f t="shared" si="534"/>
        <v>0</v>
      </c>
      <c r="AV1164" s="56">
        <f t="shared" si="535"/>
        <v>0</v>
      </c>
      <c r="AW1164" s="57" t="s">
        <v>155</v>
      </c>
      <c r="AX1164" s="153"/>
      <c r="AY1164" s="153"/>
      <c r="AZ1164" s="153"/>
      <c r="BA1164" s="153" t="s">
        <v>3412</v>
      </c>
      <c r="BB1164" s="153"/>
      <c r="BC1164" s="153"/>
      <c r="BD1164" s="151"/>
      <c r="BE1164" s="152"/>
      <c r="BF1164" s="151"/>
      <c r="BG1164" s="94">
        <f>SUM($AV$1035:AV1164)</f>
        <v>-286.46520146513996</v>
      </c>
      <c r="BH1164" s="95">
        <f>SUM($AU$1035:AU1164)</f>
        <v>-760.99999999991985</v>
      </c>
      <c r="BI1164" s="80">
        <f>SUMIFS($AU$1035:AU1274,$Q$1035:Q1274,"F")</f>
        <v>112.00000000000057</v>
      </c>
      <c r="BJ1164" s="80">
        <f>SUMIFS($AU$1035:AU1274,$Q$1035:Q1274,"S")</f>
        <v>-15.999999999994088</v>
      </c>
      <c r="BK1164" s="87">
        <f>SUMIFS($AU$1035:AU1274,$P$1035:P1274,"W")</f>
        <v>-960.00000000003297</v>
      </c>
      <c r="BL1164" s="87">
        <f>SUMIFS($AU$1035:AU1274,$P$1035:P1274,"R")</f>
        <v>1024.0000000000007</v>
      </c>
      <c r="BM1164" s="87">
        <f>SUMIFS($AU$1035:AU1274,$AQ$1035:AQ1274,"M")</f>
        <v>-899.79999999984489</v>
      </c>
      <c r="BN1164" s="87">
        <f>SUMIFS($AU$1035:AU1274,$AQ$1035:AQ1274,"H")</f>
        <v>1583.9999999998265</v>
      </c>
      <c r="BO1164" s="87">
        <f>SUMIFS($AU$1035:AU1274,$AQ$1035:AQ1274,"D")</f>
        <v>-479.9999999999896</v>
      </c>
      <c r="BP1164" s="87">
        <f>SUMIFS($AS$1035:AS1362,$AO$1035:AO1362,"W")</f>
        <v>0</v>
      </c>
      <c r="BQ1164" s="87">
        <f>SUMIFS($AU$1035:AU1274,$Q$1035:Q1274,"O")</f>
        <v>-1079.7999999999552</v>
      </c>
      <c r="BR1164" s="87">
        <f>SUMIFS($AU$1035:AU1274,$AA$1035:AA1274,"*")</f>
        <v>-499.79999999992333</v>
      </c>
      <c r="BS1164" s="87">
        <f>SUMIFS($AU$1035:AU1274,$AB$1035:AB1274,"*")</f>
        <v>-724.00000000009095</v>
      </c>
      <c r="BT1164" s="87">
        <f>SUMIFS($AU$1035:AU1274,$AC$1035:AC1274,"*")</f>
        <v>112.00000000000097</v>
      </c>
      <c r="BU1164" s="87">
        <f>SUMIFS($AU$1035:AU1274,$AA$1035:AA1274,"*",$AB$1035:AB1274,"*")</f>
        <v>47.999999999934744</v>
      </c>
      <c r="BV1164" s="87">
        <f>SUMIFS($AU$1035:AU1274,$AA$1035:AA1274,"*",$AC$1035:AC1274,"*")</f>
        <v>-335.99999999999977</v>
      </c>
      <c r="BW1164" s="87">
        <f>SUMIFS($AU$1035:AU1274,$AB$1035:AB1274,"*",$AC$1035:AC1274,"*")</f>
        <v>-143.99999999999966</v>
      </c>
      <c r="BX1164" s="87">
        <f>SUMIFS($AV$1035:AV1274,$Q$1035:Q1274,"F")</f>
        <v>34.153846153846246</v>
      </c>
      <c r="BY1164" s="87">
        <f>SUMIFS($AV$1035:AV1274,$Q$1035:Q1274,"S")</f>
        <v>20.914285714286223</v>
      </c>
      <c r="BZ1164" s="87">
        <f>SUMIFS($AV$1035:AV1274,$Q$1035:Q1274,"O")</f>
        <v>-445.13333333327751</v>
      </c>
    </row>
    <row r="1165" spans="1:78" ht="15.75" customHeight="1">
      <c r="A1165" s="45" t="s">
        <v>3357</v>
      </c>
      <c r="B1165" s="59">
        <v>45573</v>
      </c>
      <c r="C1165" s="46" t="s">
        <v>3413</v>
      </c>
      <c r="D1165" s="46" t="s">
        <v>98</v>
      </c>
      <c r="E1165" s="66"/>
      <c r="F1165" s="47"/>
      <c r="G1165" s="48" t="s">
        <v>348</v>
      </c>
      <c r="H1165" s="49"/>
      <c r="I1165" s="49"/>
      <c r="J1165" s="49"/>
      <c r="K1165" s="50"/>
      <c r="L1165" s="49"/>
      <c r="M1165" s="49"/>
      <c r="N1165" s="49"/>
      <c r="O1165" s="50" t="s">
        <v>100</v>
      </c>
      <c r="P1165" s="50" t="s">
        <v>101</v>
      </c>
      <c r="Q1165" s="50" t="s">
        <v>198</v>
      </c>
      <c r="R1165" s="50">
        <v>3</v>
      </c>
      <c r="S1165" s="50">
        <v>0</v>
      </c>
      <c r="T1165" s="50">
        <v>3</v>
      </c>
      <c r="U1165" s="50" t="s">
        <v>102</v>
      </c>
      <c r="V1165" s="50" t="s">
        <v>2898</v>
      </c>
      <c r="W1165" s="50" t="s">
        <v>155</v>
      </c>
      <c r="X1165" s="50"/>
      <c r="Y1165" s="51">
        <f t="shared" ref="Y1165" si="554">IF(ISBLANK(O1165),"",(IF(O1165=UPPER("IB"),0.005,0.01)))</f>
        <v>0.01</v>
      </c>
      <c r="Z1165" s="52">
        <f t="shared" ref="Z1165" si="555">IF(ISBLANK(O1165),"",IF(O1165="IB",8.63*200,IF(O1165="IR",16*100,IF(O1165="YT",20*100,IF(O1165="YT-XT",24*200,IF(O1165="TED",80*100,IF(O1165="XT",29*200)))))))</f>
        <v>1600</v>
      </c>
      <c r="AA1165" s="52" t="s">
        <v>3414</v>
      </c>
      <c r="AB1165" s="52"/>
      <c r="AC1165" s="52"/>
      <c r="AD1165" s="231">
        <v>96.09</v>
      </c>
      <c r="AE1165" s="49"/>
      <c r="AF1165" s="84"/>
      <c r="AG1165" s="49"/>
      <c r="AH1165" s="49"/>
      <c r="AI1165" s="49"/>
      <c r="AJ1165" s="226"/>
      <c r="AK1165" s="49"/>
      <c r="AL1165" s="113">
        <f t="shared" si="524"/>
        <v>-32</v>
      </c>
      <c r="AM1165" s="113">
        <f t="shared" si="525"/>
        <v>-96</v>
      </c>
      <c r="AN1165" s="218"/>
      <c r="AO1165" s="49"/>
      <c r="AP1165" s="49"/>
      <c r="AQ1165" s="84" t="s">
        <v>350</v>
      </c>
      <c r="AR1165" s="49"/>
      <c r="AS1165" s="55">
        <v>96.1</v>
      </c>
      <c r="AT1165" s="55">
        <f t="shared" si="526"/>
        <v>-9.9999999999909051E-3</v>
      </c>
      <c r="AU1165" s="54">
        <f t="shared" si="527"/>
        <v>-47.999999999956344</v>
      </c>
      <c r="AV1165" s="56">
        <f t="shared" si="528"/>
        <v>-15.999999999985448</v>
      </c>
      <c r="AW1165" s="57" t="s">
        <v>121</v>
      </c>
      <c r="AX1165" s="153" t="s">
        <v>3415</v>
      </c>
      <c r="AY1165" s="153" t="s">
        <v>3416</v>
      </c>
      <c r="AZ1165" s="153" t="s">
        <v>3417</v>
      </c>
      <c r="BA1165" s="153" t="s">
        <v>3418</v>
      </c>
      <c r="BB1165" s="153" t="s">
        <v>3419</v>
      </c>
      <c r="BC1165" s="153"/>
      <c r="BD1165" s="151"/>
      <c r="BE1165" s="152"/>
      <c r="BF1165" s="151"/>
      <c r="BG1165" s="94">
        <f>SUM($AV$1035:AV1165)</f>
        <v>-302.4652014651254</v>
      </c>
      <c r="BH1165" s="95">
        <f>SUM($AU$1035:AU1165)</f>
        <v>-808.9999999998762</v>
      </c>
      <c r="BI1165" s="80">
        <f>SUMIFS($AU$1035:AU1275,$Q$1035:Q1275,"F")</f>
        <v>112.00000000000057</v>
      </c>
      <c r="BJ1165" s="80">
        <f>SUMIFS($AU$1035:AU1275,$Q$1035:Q1275,"S")</f>
        <v>-15.999999999994088</v>
      </c>
      <c r="BK1165" s="87">
        <f>SUMIFS($AU$1035:AU1275,$P$1035:P1275,"W")</f>
        <v>-960.00000000003297</v>
      </c>
      <c r="BL1165" s="87">
        <f>SUMIFS($AU$1035:AU1275,$P$1035:P1275,"R")</f>
        <v>1024.0000000000007</v>
      </c>
      <c r="BM1165" s="87">
        <f>SUMIFS($AU$1035:AU1275,$AQ$1035:AQ1275,"M")</f>
        <v>-899.79999999984489</v>
      </c>
      <c r="BN1165" s="87">
        <f>SUMIFS($AU$1035:AU1275,$AQ$1035:AQ1275,"H")</f>
        <v>1583.9999999998265</v>
      </c>
      <c r="BO1165" s="87">
        <f>SUMIFS($AU$1035:AU1275,$AQ$1035:AQ1275,"D")</f>
        <v>-479.9999999999896</v>
      </c>
      <c r="BP1165" s="87">
        <f>SUMIFS($AS$1035:AS1363,$AO$1035:AO1363,"W")</f>
        <v>0</v>
      </c>
      <c r="BQ1165" s="87">
        <f>SUMIFS($AU$1035:AU1275,$Q$1035:Q1275,"O")</f>
        <v>-1079.7999999999552</v>
      </c>
      <c r="BR1165" s="87">
        <f>SUMIFS($AU$1035:AU1275,$AA$1035:AA1275,"*")</f>
        <v>-499.79999999992333</v>
      </c>
      <c r="BS1165" s="87">
        <f>SUMIFS($AU$1035:AU1275,$AB$1035:AB1275,"*")</f>
        <v>-724.00000000009095</v>
      </c>
      <c r="BT1165" s="87">
        <f>SUMIFS($AU$1035:AU1275,$AC$1035:AC1275,"*")</f>
        <v>112.00000000000097</v>
      </c>
      <c r="BU1165" s="87">
        <f>SUMIFS($AU$1035:AU1275,$AA$1035:AA1275,"*",$AB$1035:AB1275,"*")</f>
        <v>47.999999999934744</v>
      </c>
      <c r="BV1165" s="87">
        <f>SUMIFS($AU$1035:AU1275,$AA$1035:AA1275,"*",$AC$1035:AC1275,"*")</f>
        <v>-335.99999999999977</v>
      </c>
      <c r="BW1165" s="87">
        <f>SUMIFS($AU$1035:AU1275,$AB$1035:AB1275,"*",$AC$1035:AC1275,"*")</f>
        <v>-143.99999999999966</v>
      </c>
      <c r="BX1165" s="87">
        <f>SUMIFS($AV$1035:AV1275,$Q$1035:Q1275,"F")</f>
        <v>34.153846153846246</v>
      </c>
      <c r="BY1165" s="87">
        <f>SUMIFS($AV$1035:AV1275,$Q$1035:Q1275,"S")</f>
        <v>20.914285714286223</v>
      </c>
      <c r="BZ1165" s="87">
        <f>SUMIFS($AV$1035:AV1275,$Q$1035:Q1275,"O")</f>
        <v>-445.13333333327751</v>
      </c>
    </row>
    <row r="1166" spans="1:78" ht="15.75" customHeight="1">
      <c r="A1166" s="45" t="s">
        <v>3357</v>
      </c>
      <c r="B1166" s="59">
        <v>45573</v>
      </c>
      <c r="C1166" s="46" t="s">
        <v>3420</v>
      </c>
      <c r="D1166" s="46" t="s">
        <v>98</v>
      </c>
      <c r="E1166" s="66"/>
      <c r="F1166" s="47"/>
      <c r="G1166" s="104" t="s">
        <v>113</v>
      </c>
      <c r="H1166" s="49"/>
      <c r="I1166" s="49"/>
      <c r="J1166" s="49"/>
      <c r="K1166" s="50"/>
      <c r="L1166" s="49"/>
      <c r="M1166" s="49"/>
      <c r="N1166" s="49"/>
      <c r="O1166" s="50" t="s">
        <v>100</v>
      </c>
      <c r="P1166" s="50" t="s">
        <v>101</v>
      </c>
      <c r="Q1166" s="50" t="s">
        <v>102</v>
      </c>
      <c r="R1166" s="50">
        <v>11</v>
      </c>
      <c r="S1166" s="50">
        <v>0</v>
      </c>
      <c r="T1166" s="50">
        <v>11</v>
      </c>
      <c r="U1166" s="50" t="s">
        <v>102</v>
      </c>
      <c r="V1166" s="50" t="s">
        <v>2898</v>
      </c>
      <c r="W1166" s="50" t="s">
        <v>20</v>
      </c>
      <c r="X1166" s="50" t="s">
        <v>3002</v>
      </c>
      <c r="Y1166" s="51">
        <f>IF(ISBLANK(O1166),"",(IF(O1166=UPPER("IB"),0.005,0.01)))</f>
        <v>0.01</v>
      </c>
      <c r="Z1166" s="52">
        <f>IF(ISBLANK(O1166),"",IF(O1166="IB",8.63*200,IF(O1166="IR",16*100,IF(O1166="YT",20*100,IF(O1166="YT-XT",24*200,IF(O1166="TED",80*100,IF(O1166="XT",29*200)))))))</f>
        <v>1600</v>
      </c>
      <c r="AA1166" s="52"/>
      <c r="AB1166" s="52"/>
      <c r="AC1166" s="52" t="s">
        <v>3421</v>
      </c>
      <c r="AD1166" s="231">
        <v>-0.11</v>
      </c>
      <c r="AE1166" s="49"/>
      <c r="AF1166" s="84"/>
      <c r="AG1166" s="49"/>
      <c r="AH1166" s="49"/>
      <c r="AI1166" s="49"/>
      <c r="AJ1166" s="226"/>
      <c r="AK1166" s="49"/>
      <c r="AL1166" s="113">
        <f t="shared" si="524"/>
        <v>-32</v>
      </c>
      <c r="AM1166" s="113">
        <f t="shared" si="525"/>
        <v>-352</v>
      </c>
      <c r="AN1166" s="218"/>
      <c r="AO1166" s="49"/>
      <c r="AP1166" s="49"/>
      <c r="AQ1166" s="84" t="s">
        <v>142</v>
      </c>
      <c r="AR1166" s="49"/>
      <c r="AS1166" s="55">
        <v>-0.11</v>
      </c>
      <c r="AT1166" s="55">
        <f t="shared" si="526"/>
        <v>0</v>
      </c>
      <c r="AU1166" s="54">
        <f t="shared" si="527"/>
        <v>0</v>
      </c>
      <c r="AV1166" s="56">
        <f t="shared" si="528"/>
        <v>0</v>
      </c>
      <c r="AW1166" s="57" t="s">
        <v>155</v>
      </c>
      <c r="AX1166" s="153" t="s">
        <v>3422</v>
      </c>
      <c r="AY1166" s="153" t="s">
        <v>3423</v>
      </c>
      <c r="AZ1166" s="153"/>
      <c r="BA1166" s="153"/>
      <c r="BB1166" s="153"/>
      <c r="BC1166" s="153"/>
      <c r="BD1166" s="151"/>
      <c r="BE1166" s="152"/>
      <c r="BF1166" s="151"/>
      <c r="BG1166" s="94">
        <f>SUM($AV$1035:AV1166)</f>
        <v>-302.4652014651254</v>
      </c>
      <c r="BH1166" s="95">
        <f>SUM($AU$1035:AU1166)</f>
        <v>-808.9999999998762</v>
      </c>
      <c r="BI1166" s="80">
        <f>SUMIFS($AU$1035:AU1270,$Q$1035:Q1270,"F")</f>
        <v>112.00000000000057</v>
      </c>
      <c r="BJ1166" s="80">
        <f>SUMIFS($AU$1035:AU1270,$Q$1035:Q1270,"S")</f>
        <v>-15.999999999994088</v>
      </c>
      <c r="BK1166" s="87">
        <f>SUMIFS($AU$1035:AU1270,$P$1035:P1270,"W")</f>
        <v>-960.00000000003297</v>
      </c>
      <c r="BL1166" s="87">
        <f>SUMIFS($AU$1035:AU1270,$P$1035:P1270,"R")</f>
        <v>1024.0000000000007</v>
      </c>
      <c r="BM1166" s="87">
        <f>SUMIFS($AU$1035:AU1270,$AQ$1035:AQ1270,"M")</f>
        <v>-899.79999999984489</v>
      </c>
      <c r="BN1166" s="87">
        <f>SUMIFS($AU$1035:AU1270,$AQ$1035:AQ1270,"H")</f>
        <v>1583.9999999998265</v>
      </c>
      <c r="BO1166" s="87">
        <f>SUMIFS($AU$1035:AU1270,$AQ$1035:AQ1270,"D")</f>
        <v>-479.9999999999896</v>
      </c>
      <c r="BP1166" s="87">
        <f>SUMIFS($AS$1035:AS1358,$AO$1035:AO1358,"W")</f>
        <v>0</v>
      </c>
      <c r="BQ1166" s="87">
        <f>SUMIFS($AU$1035:AU1270,$Q$1035:Q1270,"O")</f>
        <v>-1079.7999999999552</v>
      </c>
      <c r="BR1166" s="87">
        <f>SUMIFS($AU$1035:AU1270,$AA$1035:AA1270,"*")</f>
        <v>-499.79999999992333</v>
      </c>
      <c r="BS1166" s="87">
        <f>SUMIFS($AU$1035:AU1270,$AB$1035:AB1270,"*")</f>
        <v>-724.00000000009095</v>
      </c>
      <c r="BT1166" s="87">
        <f>SUMIFS($AU$1035:AU1270,$AC$1035:AC1270,"*")</f>
        <v>112.00000000000097</v>
      </c>
      <c r="BU1166" s="87">
        <f>SUMIFS($AU$1035:AU1270,$AA$1035:AA1270,"*",$AB$1035:AB1270,"*")</f>
        <v>47.999999999934744</v>
      </c>
      <c r="BV1166" s="87">
        <f>SUMIFS($AU$1035:AU1270,$AA$1035:AA1270,"*",$AC$1035:AC1270,"*")</f>
        <v>-335.99999999999977</v>
      </c>
      <c r="BW1166" s="87">
        <f>SUMIFS($AU$1035:AU1270,$AB$1035:AB1270,"*",$AC$1035:AC1270,"*")</f>
        <v>-143.99999999999966</v>
      </c>
      <c r="BX1166" s="87">
        <f>SUMIFS($AV$1035:AV1270,$Q$1035:Q1270,"F")</f>
        <v>34.153846153846246</v>
      </c>
      <c r="BY1166" s="87">
        <f>SUMIFS($AV$1035:AV1270,$Q$1035:Q1270,"S")</f>
        <v>20.914285714286223</v>
      </c>
      <c r="BZ1166" s="87">
        <f>SUMIFS($AV$1035:AV1270,$Q$1035:Q1270,"O")</f>
        <v>-445.13333333327751</v>
      </c>
    </row>
    <row r="1167" spans="1:78" ht="15.75" customHeight="1">
      <c r="A1167" s="45" t="s">
        <v>3357</v>
      </c>
      <c r="B1167" s="59"/>
      <c r="C1167" s="46"/>
      <c r="D1167" s="46"/>
      <c r="E1167" s="66"/>
      <c r="F1167" s="47"/>
      <c r="G1167" s="48"/>
      <c r="H1167" s="49"/>
      <c r="I1167" s="49"/>
      <c r="J1167" s="49"/>
      <c r="K1167" s="50"/>
      <c r="L1167" s="49"/>
      <c r="M1167" s="49"/>
      <c r="N1167" s="49"/>
      <c r="O1167" s="50"/>
      <c r="P1167" s="50"/>
      <c r="Q1167" s="50"/>
      <c r="R1167" s="50"/>
      <c r="S1167" s="50"/>
      <c r="T1167" s="50"/>
      <c r="U1167" s="50"/>
      <c r="V1167" s="50"/>
      <c r="W1167" s="50"/>
      <c r="X1167" s="50"/>
      <c r="Y1167" s="50"/>
      <c r="Z1167" s="50"/>
      <c r="AA1167" s="52"/>
      <c r="AB1167" s="52"/>
      <c r="AC1167" s="52"/>
      <c r="AD1167" s="231"/>
      <c r="AE1167" s="49"/>
      <c r="AF1167" s="84"/>
      <c r="AG1167" s="49"/>
      <c r="AH1167" s="49"/>
      <c r="AI1167" s="49"/>
      <c r="AJ1167" s="226"/>
      <c r="AK1167" s="49"/>
      <c r="AL1167" s="113">
        <f t="shared" si="524"/>
        <v>0</v>
      </c>
      <c r="AM1167" s="113">
        <f t="shared" si="525"/>
        <v>0</v>
      </c>
      <c r="AN1167" s="218"/>
      <c r="AO1167" s="49"/>
      <c r="AP1167" s="49"/>
      <c r="AQ1167" s="84" t="str">
        <f>UPPER(RIGHT(Journal_Live[[#This Row],[DURATION ]]))</f>
        <v/>
      </c>
      <c r="AR1167" s="49"/>
      <c r="AS1167" s="55"/>
      <c r="AT1167" s="55">
        <f t="shared" si="526"/>
        <v>0</v>
      </c>
      <c r="AU1167" s="54">
        <f t="shared" si="527"/>
        <v>0</v>
      </c>
      <c r="AV1167" s="56">
        <f t="shared" si="528"/>
        <v>0</v>
      </c>
      <c r="AW1167" s="57"/>
      <c r="AX1167" s="153" t="s">
        <v>3424</v>
      </c>
      <c r="AY1167" s="153" t="s">
        <v>3425</v>
      </c>
      <c r="AZ1167" s="153" t="s">
        <v>3426</v>
      </c>
      <c r="BA1167" s="153"/>
      <c r="BB1167" s="153"/>
      <c r="BC1167" s="153"/>
      <c r="BD1167" s="151"/>
      <c r="BE1167" s="152"/>
      <c r="BF1167" s="151"/>
      <c r="BG1167" s="94">
        <f>SUM($AV$1035:AV1167)</f>
        <v>-302.4652014651254</v>
      </c>
      <c r="BH1167" s="95">
        <f>SUM($AU$1035:AU1167)</f>
        <v>-808.9999999998762</v>
      </c>
      <c r="BI1167" s="80">
        <f>SUMIFS($AU$1035:AU1271,$Q$1035:Q1271,"F")</f>
        <v>112.00000000000057</v>
      </c>
      <c r="BJ1167" s="80">
        <f>SUMIFS($AU$1035:AU1271,$Q$1035:Q1271,"S")</f>
        <v>-15.999999999994088</v>
      </c>
      <c r="BK1167" s="87">
        <f>SUMIFS($AU$1035:AU1271,$P$1035:P1271,"W")</f>
        <v>-960.00000000003297</v>
      </c>
      <c r="BL1167" s="87">
        <f>SUMIFS($AU$1035:AU1271,$P$1035:P1271,"R")</f>
        <v>1024.0000000000007</v>
      </c>
      <c r="BM1167" s="87">
        <f>SUMIFS($AU$1035:AU1271,$AQ$1035:AQ1271,"M")</f>
        <v>-899.79999999984489</v>
      </c>
      <c r="BN1167" s="87">
        <f>SUMIFS($AU$1035:AU1271,$AQ$1035:AQ1271,"H")</f>
        <v>1583.9999999998265</v>
      </c>
      <c r="BO1167" s="87">
        <f>SUMIFS($AU$1035:AU1271,$AQ$1035:AQ1271,"D")</f>
        <v>-479.9999999999896</v>
      </c>
      <c r="BP1167" s="87">
        <f>SUMIFS($AS$1035:AS1359,$AO$1035:AO1359,"W")</f>
        <v>0</v>
      </c>
      <c r="BQ1167" s="87">
        <f>SUMIFS($AU$1035:AU1271,$Q$1035:Q1271,"O")</f>
        <v>-1079.7999999999552</v>
      </c>
      <c r="BR1167" s="87">
        <f>SUMIFS($AU$1035:AU1271,$AA$1035:AA1271,"*")</f>
        <v>-499.79999999992333</v>
      </c>
      <c r="BS1167" s="87">
        <f>SUMIFS($AU$1035:AU1271,$AB$1035:AB1271,"*")</f>
        <v>-724.00000000009095</v>
      </c>
      <c r="BT1167" s="87">
        <f>SUMIFS($AU$1035:AU1271,$AC$1035:AC1271,"*")</f>
        <v>112.00000000000097</v>
      </c>
      <c r="BU1167" s="87">
        <f>SUMIFS($AU$1035:AU1271,$AA$1035:AA1271,"*",$AB$1035:AB1271,"*")</f>
        <v>47.999999999934744</v>
      </c>
      <c r="BV1167" s="87">
        <f>SUMIFS($AU$1035:AU1271,$AA$1035:AA1271,"*",$AC$1035:AC1271,"*")</f>
        <v>-335.99999999999977</v>
      </c>
      <c r="BW1167" s="87">
        <f>SUMIFS($AU$1035:AU1271,$AB$1035:AB1271,"*",$AC$1035:AC1271,"*")</f>
        <v>-143.99999999999966</v>
      </c>
      <c r="BX1167" s="87">
        <f>SUMIFS($AV$1035:AV1271,$Q$1035:Q1271,"F")</f>
        <v>34.153846153846246</v>
      </c>
      <c r="BY1167" s="87">
        <f>SUMIFS($AV$1035:AV1271,$Q$1035:Q1271,"S")</f>
        <v>20.914285714286223</v>
      </c>
      <c r="BZ1167" s="87">
        <f>SUMIFS($AV$1035:AV1271,$Q$1035:Q1271,"O")</f>
        <v>-445.13333333327751</v>
      </c>
    </row>
    <row r="1168" spans="1:78" ht="15.75" customHeight="1">
      <c r="A1168" s="45" t="s">
        <v>3357</v>
      </c>
      <c r="B1168" s="59">
        <v>45574</v>
      </c>
      <c r="C1168" s="46" t="s">
        <v>97</v>
      </c>
      <c r="D1168" s="46" t="s">
        <v>186</v>
      </c>
      <c r="E1168" s="66" t="s">
        <v>3427</v>
      </c>
      <c r="F1168" s="47"/>
      <c r="G1168" s="48"/>
      <c r="H1168" s="49"/>
      <c r="I1168" s="49">
        <v>1</v>
      </c>
      <c r="J1168" s="49"/>
      <c r="K1168" s="50"/>
      <c r="L1168" s="49"/>
      <c r="M1168" s="49"/>
      <c r="N1168" s="49"/>
      <c r="O1168" s="50"/>
      <c r="P1168" s="50"/>
      <c r="Q1168" s="50"/>
      <c r="R1168" s="50"/>
      <c r="S1168" s="50"/>
      <c r="T1168" s="50"/>
      <c r="U1168" s="50"/>
      <c r="V1168" s="50"/>
      <c r="W1168" s="50"/>
      <c r="X1168" s="50"/>
      <c r="Y1168" s="50"/>
      <c r="Z1168" s="50"/>
      <c r="AA1168" s="52"/>
      <c r="AB1168" s="52"/>
      <c r="AC1168" s="52"/>
      <c r="AD1168" s="231"/>
      <c r="AE1168" s="49"/>
      <c r="AF1168" s="84"/>
      <c r="AG1168" s="49"/>
      <c r="AH1168" s="49"/>
      <c r="AI1168" s="49"/>
      <c r="AJ1168" s="226"/>
      <c r="AK1168" s="49"/>
      <c r="AL1168" s="113">
        <f t="shared" si="524"/>
        <v>0</v>
      </c>
      <c r="AM1168" s="113">
        <f t="shared" si="525"/>
        <v>0</v>
      </c>
      <c r="AN1168" s="218"/>
      <c r="AO1168" s="49"/>
      <c r="AP1168" s="49"/>
      <c r="AQ1168" s="84" t="str">
        <f>UPPER(RIGHT(Journal_Live[[#This Row],[DURATION ]]))</f>
        <v/>
      </c>
      <c r="AR1168" s="49"/>
      <c r="AS1168" s="55"/>
      <c r="AT1168" s="55">
        <f t="shared" si="526"/>
        <v>0</v>
      </c>
      <c r="AU1168" s="54">
        <f t="shared" si="527"/>
        <v>0</v>
      </c>
      <c r="AV1168" s="56">
        <f t="shared" si="528"/>
        <v>0</v>
      </c>
      <c r="AW1168" s="57"/>
      <c r="AX1168" s="153"/>
      <c r="AY1168" s="153"/>
      <c r="AZ1168" s="153"/>
      <c r="BA1168" s="153"/>
      <c r="BB1168" s="153"/>
      <c r="BC1168" s="153"/>
      <c r="BD1168" s="151"/>
      <c r="BE1168" s="152"/>
      <c r="BF1168" s="151"/>
      <c r="BG1168" s="94">
        <f>SUM($AV$1035:AV1168)</f>
        <v>-302.4652014651254</v>
      </c>
      <c r="BH1168" s="95">
        <f>SUM($AU$1035:AU1168)</f>
        <v>-808.9999999998762</v>
      </c>
      <c r="BI1168" s="80">
        <f>SUMIFS($AU$1035:AU1272,$Q$1035:Q1272,"F")</f>
        <v>112.00000000000057</v>
      </c>
      <c r="BJ1168" s="80">
        <f>SUMIFS($AU$1035:AU1272,$Q$1035:Q1272,"S")</f>
        <v>-15.999999999994088</v>
      </c>
      <c r="BK1168" s="87">
        <f>SUMIFS($AU$1035:AU1272,$P$1035:P1272,"W")</f>
        <v>-960.00000000003297</v>
      </c>
      <c r="BL1168" s="87">
        <f>SUMIFS($AU$1035:AU1272,$P$1035:P1272,"R")</f>
        <v>1024.0000000000007</v>
      </c>
      <c r="BM1168" s="87">
        <f>SUMIFS($AU$1035:AU1272,$AQ$1035:AQ1272,"M")</f>
        <v>-899.79999999984489</v>
      </c>
      <c r="BN1168" s="87">
        <f>SUMIFS($AU$1035:AU1272,$AQ$1035:AQ1272,"H")</f>
        <v>1583.9999999998265</v>
      </c>
      <c r="BO1168" s="87">
        <f>SUMIFS($AU$1035:AU1272,$AQ$1035:AQ1272,"D")</f>
        <v>-479.9999999999896</v>
      </c>
      <c r="BP1168" s="87">
        <f>SUMIFS($AS$1035:AS1360,$AO$1035:AO1360,"W")</f>
        <v>0</v>
      </c>
      <c r="BQ1168" s="87">
        <f>SUMIFS($AU$1035:AU1272,$Q$1035:Q1272,"O")</f>
        <v>-1079.7999999999552</v>
      </c>
      <c r="BR1168" s="87">
        <f>SUMIFS($AU$1035:AU1272,$AA$1035:AA1272,"*")</f>
        <v>-499.79999999992333</v>
      </c>
      <c r="BS1168" s="87">
        <f>SUMIFS($AU$1035:AU1272,$AB$1035:AB1272,"*")</f>
        <v>-724.00000000009095</v>
      </c>
      <c r="BT1168" s="87">
        <f>SUMIFS($AU$1035:AU1272,$AC$1035:AC1272,"*")</f>
        <v>112.00000000000097</v>
      </c>
      <c r="BU1168" s="87">
        <f>SUMIFS($AU$1035:AU1272,$AA$1035:AA1272,"*",$AB$1035:AB1272,"*")</f>
        <v>47.999999999934744</v>
      </c>
      <c r="BV1168" s="87">
        <f>SUMIFS($AU$1035:AU1272,$AA$1035:AA1272,"*",$AC$1035:AC1272,"*")</f>
        <v>-335.99999999999977</v>
      </c>
      <c r="BW1168" s="87">
        <f>SUMIFS($AU$1035:AU1272,$AB$1035:AB1272,"*",$AC$1035:AC1272,"*")</f>
        <v>-143.99999999999966</v>
      </c>
      <c r="BX1168" s="87">
        <f>SUMIFS($AV$1035:AV1272,$Q$1035:Q1272,"F")</f>
        <v>34.153846153846246</v>
      </c>
      <c r="BY1168" s="87">
        <f>SUMIFS($AV$1035:AV1272,$Q$1035:Q1272,"S")</f>
        <v>20.914285714286223</v>
      </c>
      <c r="BZ1168" s="87">
        <f>SUMIFS($AV$1035:AV1272,$Q$1035:Q1272,"O")</f>
        <v>-445.13333333327751</v>
      </c>
    </row>
    <row r="1169" spans="1:78" ht="15.75" customHeight="1">
      <c r="A1169" s="45" t="s">
        <v>3357</v>
      </c>
      <c r="B1169" s="59">
        <v>45574</v>
      </c>
      <c r="C1169" s="46" t="s">
        <v>147</v>
      </c>
      <c r="D1169" s="46" t="s">
        <v>186</v>
      </c>
      <c r="E1169" s="66"/>
      <c r="F1169" s="47"/>
      <c r="G1169" s="48" t="s">
        <v>3369</v>
      </c>
      <c r="H1169" s="49"/>
      <c r="I1169" s="49"/>
      <c r="J1169" s="49"/>
      <c r="K1169" s="50"/>
      <c r="L1169" s="49"/>
      <c r="M1169" s="49"/>
      <c r="N1169" s="49"/>
      <c r="O1169" s="50" t="s">
        <v>196</v>
      </c>
      <c r="P1169" s="50"/>
      <c r="Q1169" s="50" t="s">
        <v>198</v>
      </c>
      <c r="R1169" s="50">
        <v>1</v>
      </c>
      <c r="S1169" s="50">
        <v>0</v>
      </c>
      <c r="T1169" s="50">
        <v>1</v>
      </c>
      <c r="U1169" s="50" t="s">
        <v>22</v>
      </c>
      <c r="V1169" s="50" t="s">
        <v>2898</v>
      </c>
      <c r="W1169" s="50" t="s">
        <v>3086</v>
      </c>
      <c r="X1169" s="50"/>
      <c r="Y1169" s="51">
        <f t="shared" ref="Y1169:Y1170" si="556">IF(ISBLANK(O1169),"",(IF(O1169=UPPER("IB"),0.005,0.01)))</f>
        <v>0.01</v>
      </c>
      <c r="Z1169" s="52">
        <f t="shared" ref="Z1169:Z1170" si="557">IF(ISBLANK(O1169),"",IF(O1169="IB",8.63*200,IF(O1169="IR",16*100,IF(O1169="YT",20*100,IF(O1169="YT-XT",24*200,IF(O1169="TED",80*100,IF(O1169="XT",29*200)))))))</f>
        <v>5800</v>
      </c>
      <c r="AA1169" s="52" t="s">
        <v>908</v>
      </c>
      <c r="AB1169" s="52"/>
      <c r="AC1169" s="52"/>
      <c r="AD1169" s="231">
        <v>95.84</v>
      </c>
      <c r="AE1169" s="49"/>
      <c r="AF1169" s="84"/>
      <c r="AG1169" s="49"/>
      <c r="AH1169" s="49"/>
      <c r="AI1169" s="49"/>
      <c r="AJ1169" s="226"/>
      <c r="AK1169" s="49"/>
      <c r="AL1169" s="113">
        <f t="shared" si="524"/>
        <v>-116</v>
      </c>
      <c r="AM1169" s="113">
        <f t="shared" si="525"/>
        <v>-116</v>
      </c>
      <c r="AN1169" s="218"/>
      <c r="AO1169" s="49"/>
      <c r="AP1169" s="49"/>
      <c r="AQ1169" s="84" t="s">
        <v>350</v>
      </c>
      <c r="AR1169" s="49"/>
      <c r="AS1169" s="55">
        <v>95.83</v>
      </c>
      <c r="AT1169" s="55">
        <f t="shared" si="526"/>
        <v>-1.0000000000005116E-2</v>
      </c>
      <c r="AU1169" s="54">
        <f t="shared" si="527"/>
        <v>-58.000000000029672</v>
      </c>
      <c r="AV1169" s="56">
        <f t="shared" si="528"/>
        <v>-58.000000000029672</v>
      </c>
      <c r="AW1169" s="57" t="s">
        <v>121</v>
      </c>
      <c r="AX1169" s="153" t="s">
        <v>3428</v>
      </c>
      <c r="AY1169" s="153"/>
      <c r="AZ1169" s="153"/>
      <c r="BA1169" s="153"/>
      <c r="BB1169" s="153"/>
      <c r="BC1169" s="153"/>
      <c r="BD1169" s="151"/>
      <c r="BE1169" s="152"/>
      <c r="BF1169" s="151"/>
      <c r="BG1169" s="94">
        <f>SUM($AV$1035:AV1169)</f>
        <v>-360.46520146515508</v>
      </c>
      <c r="BH1169" s="95">
        <f>SUM($AU$1035:AU1169)</f>
        <v>-866.99999999990587</v>
      </c>
      <c r="BI1169" s="80">
        <f>SUMIFS($AU$1035:AU1273,$Q$1035:Q1273,"F")</f>
        <v>112.00000000000057</v>
      </c>
      <c r="BJ1169" s="80">
        <f>SUMIFS($AU$1035:AU1273,$Q$1035:Q1273,"S")</f>
        <v>-15.999999999994088</v>
      </c>
      <c r="BK1169" s="87">
        <f>SUMIFS($AU$1035:AU1273,$P$1035:P1273,"W")</f>
        <v>-960.00000000003297</v>
      </c>
      <c r="BL1169" s="87">
        <f>SUMIFS($AU$1035:AU1273,$P$1035:P1273,"R")</f>
        <v>1024.0000000000007</v>
      </c>
      <c r="BM1169" s="87">
        <f>SUMIFS($AU$1035:AU1273,$AQ$1035:AQ1273,"M")</f>
        <v>-899.79999999984489</v>
      </c>
      <c r="BN1169" s="87">
        <f>SUMIFS($AU$1035:AU1273,$AQ$1035:AQ1273,"H")</f>
        <v>1583.9999999998265</v>
      </c>
      <c r="BO1169" s="87">
        <f>SUMIFS($AU$1035:AU1273,$AQ$1035:AQ1273,"D")</f>
        <v>-479.9999999999896</v>
      </c>
      <c r="BP1169" s="87">
        <f>SUMIFS($AS$1035:AS1361,$AO$1035:AO1361,"W")</f>
        <v>0</v>
      </c>
      <c r="BQ1169" s="87">
        <f>SUMIFS($AU$1035:AU1273,$Q$1035:Q1273,"O")</f>
        <v>-1079.7999999999552</v>
      </c>
      <c r="BR1169" s="87">
        <f>SUMIFS($AU$1035:AU1273,$AA$1035:AA1273,"*")</f>
        <v>-499.79999999992333</v>
      </c>
      <c r="BS1169" s="87">
        <f>SUMIFS($AU$1035:AU1273,$AB$1035:AB1273,"*")</f>
        <v>-724.00000000009095</v>
      </c>
      <c r="BT1169" s="87">
        <f>SUMIFS($AU$1035:AU1273,$AC$1035:AC1273,"*")</f>
        <v>112.00000000000097</v>
      </c>
      <c r="BU1169" s="87">
        <f>SUMIFS($AU$1035:AU1273,$AA$1035:AA1273,"*",$AB$1035:AB1273,"*")</f>
        <v>47.999999999934744</v>
      </c>
      <c r="BV1169" s="87">
        <f>SUMIFS($AU$1035:AU1273,$AA$1035:AA1273,"*",$AC$1035:AC1273,"*")</f>
        <v>-335.99999999999977</v>
      </c>
      <c r="BW1169" s="87">
        <f>SUMIFS($AU$1035:AU1273,$AB$1035:AB1273,"*",$AC$1035:AC1273,"*")</f>
        <v>-143.99999999999966</v>
      </c>
      <c r="BX1169" s="87">
        <f>SUMIFS($AV$1035:AV1273,$Q$1035:Q1273,"F")</f>
        <v>34.153846153846246</v>
      </c>
      <c r="BY1169" s="87">
        <f>SUMIFS($AV$1035:AV1273,$Q$1035:Q1273,"S")</f>
        <v>20.914285714286223</v>
      </c>
      <c r="BZ1169" s="87">
        <f>SUMIFS($AV$1035:AV1273,$Q$1035:Q1273,"O")</f>
        <v>-445.13333333327751</v>
      </c>
    </row>
    <row r="1170" spans="1:78" ht="15.75" customHeight="1">
      <c r="A1170" s="45" t="s">
        <v>3357</v>
      </c>
      <c r="B1170" s="59">
        <v>45574</v>
      </c>
      <c r="C1170" s="46" t="s">
        <v>179</v>
      </c>
      <c r="D1170" s="46" t="s">
        <v>186</v>
      </c>
      <c r="E1170" s="66"/>
      <c r="F1170" s="47"/>
      <c r="G1170" s="48" t="s">
        <v>3380</v>
      </c>
      <c r="H1170" s="49"/>
      <c r="I1170" s="49"/>
      <c r="J1170" s="49"/>
      <c r="K1170" s="50"/>
      <c r="L1170" s="49"/>
      <c r="M1170" s="49"/>
      <c r="N1170" s="49"/>
      <c r="O1170" s="50" t="s">
        <v>100</v>
      </c>
      <c r="P1170" s="50" t="s">
        <v>101</v>
      </c>
      <c r="Q1170" s="50" t="s">
        <v>102</v>
      </c>
      <c r="R1170" s="50">
        <v>6</v>
      </c>
      <c r="S1170" s="50">
        <v>0</v>
      </c>
      <c r="T1170" s="50">
        <v>6</v>
      </c>
      <c r="U1170" s="50" t="s">
        <v>22</v>
      </c>
      <c r="V1170" s="50" t="s">
        <v>2898</v>
      </c>
      <c r="W1170" s="50" t="s">
        <v>3086</v>
      </c>
      <c r="X1170" s="50" t="s">
        <v>3035</v>
      </c>
      <c r="Y1170" s="51">
        <f t="shared" si="556"/>
        <v>0.01</v>
      </c>
      <c r="Z1170" s="52">
        <f t="shared" si="557"/>
        <v>1600</v>
      </c>
      <c r="AA1170" s="52" t="s">
        <v>1889</v>
      </c>
      <c r="AB1170" s="52"/>
      <c r="AC1170" s="52"/>
      <c r="AD1170" s="231">
        <v>-0.16</v>
      </c>
      <c r="AE1170" s="49"/>
      <c r="AF1170" s="84"/>
      <c r="AG1170" s="49"/>
      <c r="AH1170" s="49"/>
      <c r="AI1170" s="49"/>
      <c r="AJ1170" s="226"/>
      <c r="AK1170" s="49"/>
      <c r="AL1170" s="113">
        <f t="shared" si="524"/>
        <v>-32</v>
      </c>
      <c r="AM1170" s="113">
        <f t="shared" si="525"/>
        <v>-192</v>
      </c>
      <c r="AN1170" s="218"/>
      <c r="AO1170" s="49"/>
      <c r="AP1170" s="49"/>
      <c r="AQ1170" s="84" t="s">
        <v>142</v>
      </c>
      <c r="AR1170" s="49"/>
      <c r="AS1170" s="55">
        <v>-0.16</v>
      </c>
      <c r="AT1170" s="55">
        <f t="shared" si="526"/>
        <v>0</v>
      </c>
      <c r="AU1170" s="54">
        <f t="shared" si="527"/>
        <v>0</v>
      </c>
      <c r="AV1170" s="56">
        <f t="shared" si="528"/>
        <v>0</v>
      </c>
      <c r="AW1170" s="57" t="s">
        <v>155</v>
      </c>
      <c r="AX1170" s="153"/>
      <c r="AY1170" s="153"/>
      <c r="AZ1170" s="153"/>
      <c r="BA1170" s="153"/>
      <c r="BB1170" s="153"/>
      <c r="BC1170" s="153"/>
      <c r="BD1170" s="151"/>
      <c r="BE1170" s="152"/>
      <c r="BF1170" s="151"/>
      <c r="BG1170" s="94">
        <f>SUM($AV$1035:AV1170)</f>
        <v>-360.46520146515508</v>
      </c>
      <c r="BH1170" s="95">
        <f>SUM($AU$1035:AU1170)</f>
        <v>-866.99999999990587</v>
      </c>
      <c r="BI1170" s="80">
        <f>SUMIFS($AU$1035:AU1274,$Q$1035:Q1274,"F")</f>
        <v>112.00000000000057</v>
      </c>
      <c r="BJ1170" s="80">
        <f>SUMIFS($AU$1035:AU1274,$Q$1035:Q1274,"S")</f>
        <v>-15.999999999994088</v>
      </c>
      <c r="BK1170" s="87">
        <f>SUMIFS($AU$1035:AU1274,$P$1035:P1274,"W")</f>
        <v>-960.00000000003297</v>
      </c>
      <c r="BL1170" s="87">
        <f>SUMIFS($AU$1035:AU1274,$P$1035:P1274,"R")</f>
        <v>1024.0000000000007</v>
      </c>
      <c r="BM1170" s="87">
        <f>SUMIFS($AU$1035:AU1274,$AQ$1035:AQ1274,"M")</f>
        <v>-899.79999999984489</v>
      </c>
      <c r="BN1170" s="87">
        <f>SUMIFS($AU$1035:AU1274,$AQ$1035:AQ1274,"H")</f>
        <v>1583.9999999998265</v>
      </c>
      <c r="BO1170" s="87">
        <f>SUMIFS($AU$1035:AU1274,$AQ$1035:AQ1274,"D")</f>
        <v>-479.9999999999896</v>
      </c>
      <c r="BP1170" s="87">
        <f>SUMIFS($AS$1035:AS1362,$AO$1035:AO1362,"W")</f>
        <v>0</v>
      </c>
      <c r="BQ1170" s="87">
        <f>SUMIFS($AU$1035:AU1274,$Q$1035:Q1274,"O")</f>
        <v>-1079.7999999999552</v>
      </c>
      <c r="BR1170" s="87">
        <f>SUMIFS($AU$1035:AU1274,$AA$1035:AA1274,"*")</f>
        <v>-499.79999999992333</v>
      </c>
      <c r="BS1170" s="87">
        <f>SUMIFS($AU$1035:AU1274,$AB$1035:AB1274,"*")</f>
        <v>-724.00000000009095</v>
      </c>
      <c r="BT1170" s="87">
        <f>SUMIFS($AU$1035:AU1274,$AC$1035:AC1274,"*")</f>
        <v>112.00000000000097</v>
      </c>
      <c r="BU1170" s="87">
        <f>SUMIFS($AU$1035:AU1274,$AA$1035:AA1274,"*",$AB$1035:AB1274,"*")</f>
        <v>47.999999999934744</v>
      </c>
      <c r="BV1170" s="87">
        <f>SUMIFS($AU$1035:AU1274,$AA$1035:AA1274,"*",$AC$1035:AC1274,"*")</f>
        <v>-335.99999999999977</v>
      </c>
      <c r="BW1170" s="87">
        <f>SUMIFS($AU$1035:AU1274,$AB$1035:AB1274,"*",$AC$1035:AC1274,"*")</f>
        <v>-143.99999999999966</v>
      </c>
      <c r="BX1170" s="87">
        <f>SUMIFS($AV$1035:AV1274,$Q$1035:Q1274,"F")</f>
        <v>34.153846153846246</v>
      </c>
      <c r="BY1170" s="87">
        <f>SUMIFS($AV$1035:AV1274,$Q$1035:Q1274,"S")</f>
        <v>20.914285714286223</v>
      </c>
      <c r="BZ1170" s="87">
        <f>SUMIFS($AV$1035:AV1274,$Q$1035:Q1274,"O")</f>
        <v>-445.13333333327751</v>
      </c>
    </row>
    <row r="1171" spans="1:78" ht="15.75" customHeight="1">
      <c r="A1171" s="45" t="s">
        <v>3357</v>
      </c>
      <c r="B1171" s="59"/>
      <c r="C1171" s="46"/>
      <c r="D1171" s="46"/>
      <c r="E1171" s="66"/>
      <c r="F1171" s="47"/>
      <c r="G1171" s="48"/>
      <c r="H1171" s="49"/>
      <c r="I1171" s="49"/>
      <c r="J1171" s="49"/>
      <c r="K1171" s="50"/>
      <c r="L1171" s="49"/>
      <c r="M1171" s="49"/>
      <c r="N1171" s="49"/>
      <c r="O1171" s="50"/>
      <c r="P1171" s="50"/>
      <c r="Q1171" s="50"/>
      <c r="R1171" s="50"/>
      <c r="S1171" s="50"/>
      <c r="T1171" s="50"/>
      <c r="U1171" s="50"/>
      <c r="V1171" s="50"/>
      <c r="W1171" s="50"/>
      <c r="X1171" s="50"/>
      <c r="Y1171" s="51"/>
      <c r="Z1171" s="52"/>
      <c r="AA1171" s="52"/>
      <c r="AB1171" s="52"/>
      <c r="AC1171" s="52"/>
      <c r="AD1171" s="231"/>
      <c r="AE1171" s="49"/>
      <c r="AF1171" s="84"/>
      <c r="AG1171" s="49"/>
      <c r="AH1171" s="49"/>
      <c r="AI1171" s="49"/>
      <c r="AJ1171" s="226"/>
      <c r="AK1171" s="49"/>
      <c r="AL1171" s="113">
        <f t="shared" si="524"/>
        <v>0</v>
      </c>
      <c r="AM1171" s="113">
        <f t="shared" si="525"/>
        <v>0</v>
      </c>
      <c r="AN1171" s="218"/>
      <c r="AO1171" s="49"/>
      <c r="AP1171" s="49"/>
      <c r="AQ1171" s="84" t="str">
        <f>UPPER(RIGHT(Journal_Live[[#This Row],[DURATION ]]))</f>
        <v/>
      </c>
      <c r="AR1171" s="49"/>
      <c r="AS1171" s="55"/>
      <c r="AT1171" s="55">
        <f t="shared" si="526"/>
        <v>0</v>
      </c>
      <c r="AU1171" s="54">
        <f t="shared" si="527"/>
        <v>0</v>
      </c>
      <c r="AV1171" s="56">
        <f t="shared" si="528"/>
        <v>0</v>
      </c>
      <c r="AW1171" s="57"/>
      <c r="AX1171" s="151" t="s">
        <v>3429</v>
      </c>
      <c r="AY1171" s="151" t="s">
        <v>3430</v>
      </c>
      <c r="AZ1171" s="153" t="s">
        <v>3431</v>
      </c>
      <c r="BA1171" s="153"/>
      <c r="BB1171" s="153"/>
      <c r="BC1171" s="153"/>
      <c r="BD1171" s="151"/>
      <c r="BE1171" s="152"/>
      <c r="BF1171" s="151"/>
      <c r="BG1171" s="94">
        <f>SUM($AV$1035:AV1171)</f>
        <v>-360.46520146515508</v>
      </c>
      <c r="BH1171" s="95">
        <f>SUM($AU$1035:AU1171)</f>
        <v>-866.99999999990587</v>
      </c>
      <c r="BI1171" s="80">
        <f>SUMIFS($AU$1035:AU1275,$Q$1035:Q1275,"F")</f>
        <v>112.00000000000057</v>
      </c>
      <c r="BJ1171" s="80">
        <f>SUMIFS($AU$1035:AU1275,$Q$1035:Q1275,"S")</f>
        <v>-15.999999999994088</v>
      </c>
      <c r="BK1171" s="87">
        <f>SUMIFS($AU$1035:AU1275,$P$1035:P1275,"W")</f>
        <v>-960.00000000003297</v>
      </c>
      <c r="BL1171" s="87">
        <f>SUMIFS($AU$1035:AU1275,$P$1035:P1275,"R")</f>
        <v>1024.0000000000007</v>
      </c>
      <c r="BM1171" s="87">
        <f>SUMIFS($AU$1035:AU1275,$AQ$1035:AQ1275,"M")</f>
        <v>-899.79999999984489</v>
      </c>
      <c r="BN1171" s="87">
        <f>SUMIFS($AU$1035:AU1275,$AQ$1035:AQ1275,"H")</f>
        <v>1583.9999999998265</v>
      </c>
      <c r="BO1171" s="87">
        <f>SUMIFS($AU$1035:AU1275,$AQ$1035:AQ1275,"D")</f>
        <v>-479.9999999999896</v>
      </c>
      <c r="BP1171" s="87">
        <f>SUMIFS($AS$1035:AS1363,$AO$1035:AO1363,"W")</f>
        <v>0</v>
      </c>
      <c r="BQ1171" s="87">
        <f>SUMIFS($AU$1035:AU1275,$Q$1035:Q1275,"O")</f>
        <v>-1079.7999999999552</v>
      </c>
      <c r="BR1171" s="87">
        <f>SUMIFS($AU$1035:AU1275,$AA$1035:AA1275,"*")</f>
        <v>-499.79999999992333</v>
      </c>
      <c r="BS1171" s="87">
        <f>SUMIFS($AU$1035:AU1275,$AB$1035:AB1275,"*")</f>
        <v>-724.00000000009095</v>
      </c>
      <c r="BT1171" s="87">
        <f>SUMIFS($AU$1035:AU1275,$AC$1035:AC1275,"*")</f>
        <v>112.00000000000097</v>
      </c>
      <c r="BU1171" s="87">
        <f>SUMIFS($AU$1035:AU1275,$AA$1035:AA1275,"*",$AB$1035:AB1275,"*")</f>
        <v>47.999999999934744</v>
      </c>
      <c r="BV1171" s="87">
        <f>SUMIFS($AU$1035:AU1275,$AA$1035:AA1275,"*",$AC$1035:AC1275,"*")</f>
        <v>-335.99999999999977</v>
      </c>
      <c r="BW1171" s="87">
        <f>SUMIFS($AU$1035:AU1275,$AB$1035:AB1275,"*",$AC$1035:AC1275,"*")</f>
        <v>-143.99999999999966</v>
      </c>
      <c r="BX1171" s="87">
        <f>SUMIFS($AV$1035:AV1275,$Q$1035:Q1275,"F")</f>
        <v>34.153846153846246</v>
      </c>
      <c r="BY1171" s="87">
        <f>SUMIFS($AV$1035:AV1275,$Q$1035:Q1275,"S")</f>
        <v>20.914285714286223</v>
      </c>
      <c r="BZ1171" s="87">
        <f>SUMIFS($AV$1035:AV1275,$Q$1035:Q1275,"O")</f>
        <v>-445.13333333327751</v>
      </c>
    </row>
    <row r="1172" spans="1:78" ht="15.75" customHeight="1">
      <c r="A1172" s="45" t="s">
        <v>3357</v>
      </c>
      <c r="B1172" s="59">
        <v>45575</v>
      </c>
      <c r="C1172" s="46" t="s">
        <v>871</v>
      </c>
      <c r="D1172" s="46" t="s">
        <v>107</v>
      </c>
      <c r="E1172" s="66" t="s">
        <v>3432</v>
      </c>
      <c r="F1172" s="47" t="s">
        <v>3433</v>
      </c>
      <c r="G1172" s="48"/>
      <c r="H1172" s="49">
        <v>1</v>
      </c>
      <c r="I1172" s="49"/>
      <c r="J1172" s="49"/>
      <c r="K1172" s="50" t="s">
        <v>142</v>
      </c>
      <c r="L1172" s="49"/>
      <c r="M1172" s="49"/>
      <c r="N1172" s="49"/>
      <c r="O1172" s="50"/>
      <c r="P1172" s="50"/>
      <c r="Q1172" s="50"/>
      <c r="R1172" s="50"/>
      <c r="S1172" s="50"/>
      <c r="T1172" s="50"/>
      <c r="U1172" s="50"/>
      <c r="V1172" s="50"/>
      <c r="W1172" s="50"/>
      <c r="X1172" s="50"/>
      <c r="Y1172" s="51"/>
      <c r="Z1172" s="52"/>
      <c r="AA1172" s="52"/>
      <c r="AB1172" s="52"/>
      <c r="AC1172" s="52"/>
      <c r="AD1172" s="231"/>
      <c r="AE1172" s="49"/>
      <c r="AF1172" s="84"/>
      <c r="AG1172" s="49"/>
      <c r="AH1172" s="49"/>
      <c r="AI1172" s="49"/>
      <c r="AJ1172" s="226"/>
      <c r="AK1172" s="49"/>
      <c r="AL1172" s="113">
        <f t="shared" si="524"/>
        <v>0</v>
      </c>
      <c r="AM1172" s="113">
        <f t="shared" si="525"/>
        <v>0</v>
      </c>
      <c r="AN1172" s="218"/>
      <c r="AO1172" s="49"/>
      <c r="AP1172" s="49"/>
      <c r="AQ1172" s="84" t="str">
        <f>UPPER(RIGHT(Journal_Live[[#This Row],[DURATION ]]))</f>
        <v/>
      </c>
      <c r="AR1172" s="49"/>
      <c r="AS1172" s="55"/>
      <c r="AT1172" s="55">
        <f t="shared" si="526"/>
        <v>0</v>
      </c>
      <c r="AU1172" s="54">
        <f t="shared" si="527"/>
        <v>0</v>
      </c>
      <c r="AV1172" s="56">
        <f t="shared" si="528"/>
        <v>0</v>
      </c>
      <c r="AW1172" s="57"/>
      <c r="AX1172" s="153"/>
      <c r="AY1172" s="153"/>
      <c r="AZ1172" s="153"/>
      <c r="BA1172" s="153"/>
      <c r="BB1172" s="153"/>
      <c r="BC1172" s="153"/>
      <c r="BD1172" s="151"/>
      <c r="BE1172" s="152"/>
      <c r="BF1172" s="151"/>
      <c r="BG1172" s="94">
        <f>SUM($AV$1035:AV1172)</f>
        <v>-360.46520146515508</v>
      </c>
      <c r="BH1172" s="95">
        <f>SUM($AU$1035:AU1172)</f>
        <v>-866.99999999990587</v>
      </c>
      <c r="BI1172" s="80">
        <f>SUMIFS($AU$1035:AU1269,$Q$1035:Q1269,"F")</f>
        <v>112.00000000000057</v>
      </c>
      <c r="BJ1172" s="80">
        <f>SUMIFS($AU$1035:AU1269,$Q$1035:Q1269,"S")</f>
        <v>-15.999999999994088</v>
      </c>
      <c r="BK1172" s="87">
        <f>SUMIFS($AU$1035:AU1269,$P$1035:P1269,"W")</f>
        <v>-960.00000000003297</v>
      </c>
      <c r="BL1172" s="87">
        <f>SUMIFS($AU$1035:AU1269,$P$1035:P1269,"R")</f>
        <v>1024.0000000000007</v>
      </c>
      <c r="BM1172" s="87">
        <f>SUMIFS($AU$1035:AU1269,$AQ$1035:AQ1269,"M")</f>
        <v>-899.79999999984489</v>
      </c>
      <c r="BN1172" s="87">
        <f>SUMIFS($AU$1035:AU1269,$AQ$1035:AQ1269,"H")</f>
        <v>1583.9999999998265</v>
      </c>
      <c r="BO1172" s="87">
        <f>SUMIFS($AU$1035:AU1269,$AQ$1035:AQ1269,"D")</f>
        <v>-479.9999999999896</v>
      </c>
      <c r="BP1172" s="87">
        <f>SUMIFS($AS$1035:AS1357,$AO$1035:AO1357,"W")</f>
        <v>0</v>
      </c>
      <c r="BQ1172" s="87">
        <f>SUMIFS($AU$1035:AU1269,$Q$1035:Q1269,"O")</f>
        <v>-1079.7999999999552</v>
      </c>
      <c r="BR1172" s="87">
        <f>SUMIFS($AU$1035:AU1269,$AA$1035:AA1269,"*")</f>
        <v>-499.79999999992333</v>
      </c>
      <c r="BS1172" s="87">
        <f>SUMIFS($AU$1035:AU1269,$AB$1035:AB1269,"*")</f>
        <v>-724.00000000009095</v>
      </c>
      <c r="BT1172" s="87">
        <f>SUMIFS($AU$1035:AU1269,$AC$1035:AC1269,"*")</f>
        <v>112.00000000000097</v>
      </c>
      <c r="BU1172" s="87">
        <f>SUMIFS($AU$1035:AU1269,$AA$1035:AA1269,"*",$AB$1035:AB1269,"*")</f>
        <v>47.999999999934744</v>
      </c>
      <c r="BV1172" s="87">
        <f>SUMIFS($AU$1035:AU1269,$AA$1035:AA1269,"*",$AC$1035:AC1269,"*")</f>
        <v>-335.99999999999977</v>
      </c>
      <c r="BW1172" s="87">
        <f>SUMIFS($AU$1035:AU1269,$AB$1035:AB1269,"*",$AC$1035:AC1269,"*")</f>
        <v>-143.99999999999966</v>
      </c>
      <c r="BX1172" s="87">
        <f>SUMIFS($AV$1035:AV1269,$Q$1035:Q1269,"F")</f>
        <v>34.153846153846246</v>
      </c>
      <c r="BY1172" s="87">
        <f>SUMIFS($AV$1035:AV1269,$Q$1035:Q1269,"S")</f>
        <v>20.914285714286223</v>
      </c>
      <c r="BZ1172" s="87">
        <f>SUMIFS($AV$1035:AV1269,$Q$1035:Q1269,"O")</f>
        <v>-445.13333333327751</v>
      </c>
    </row>
    <row r="1173" spans="1:78" ht="15.75" customHeight="1">
      <c r="A1173" s="45" t="s">
        <v>3357</v>
      </c>
      <c r="B1173" s="59"/>
      <c r="C1173" s="46"/>
      <c r="D1173" s="46"/>
      <c r="E1173" s="66" t="s">
        <v>3434</v>
      </c>
      <c r="F1173" s="47"/>
      <c r="G1173" s="48"/>
      <c r="H1173" s="49">
        <v>1</v>
      </c>
      <c r="I1173" s="49"/>
      <c r="J1173" s="49"/>
      <c r="K1173" s="50" t="s">
        <v>142</v>
      </c>
      <c r="L1173" s="49"/>
      <c r="M1173" s="49"/>
      <c r="N1173" s="49"/>
      <c r="O1173" s="50"/>
      <c r="P1173" s="50"/>
      <c r="Q1173" s="50"/>
      <c r="R1173" s="50"/>
      <c r="S1173" s="50"/>
      <c r="T1173" s="50"/>
      <c r="U1173" s="50"/>
      <c r="V1173" s="50"/>
      <c r="W1173" s="50"/>
      <c r="X1173" s="50"/>
      <c r="Y1173" s="51"/>
      <c r="Z1173" s="52"/>
      <c r="AA1173" s="52"/>
      <c r="AB1173" s="52"/>
      <c r="AC1173" s="52"/>
      <c r="AD1173" s="231"/>
      <c r="AE1173" s="49"/>
      <c r="AF1173" s="84"/>
      <c r="AG1173" s="49"/>
      <c r="AH1173" s="49"/>
      <c r="AI1173" s="49"/>
      <c r="AJ1173" s="226"/>
      <c r="AK1173" s="49"/>
      <c r="AL1173" s="113">
        <f t="shared" si="524"/>
        <v>0</v>
      </c>
      <c r="AM1173" s="113">
        <f t="shared" si="525"/>
        <v>0</v>
      </c>
      <c r="AN1173" s="218"/>
      <c r="AO1173" s="49"/>
      <c r="AP1173" s="49"/>
      <c r="AQ1173" s="84" t="str">
        <f>UPPER(RIGHT(Journal_Live[[#This Row],[DURATION ]]))</f>
        <v/>
      </c>
      <c r="AR1173" s="49"/>
      <c r="AS1173" s="55"/>
      <c r="AT1173" s="55">
        <f t="shared" si="526"/>
        <v>0</v>
      </c>
      <c r="AU1173" s="54">
        <f t="shared" si="527"/>
        <v>0</v>
      </c>
      <c r="AV1173" s="56">
        <f t="shared" si="528"/>
        <v>0</v>
      </c>
      <c r="AW1173" s="57"/>
      <c r="AX1173" s="153"/>
      <c r="AY1173" s="153"/>
      <c r="AZ1173" s="153"/>
      <c r="BA1173" s="153"/>
      <c r="BB1173" s="153"/>
      <c r="BC1173" s="153"/>
      <c r="BD1173" s="151"/>
      <c r="BE1173" s="152"/>
      <c r="BF1173" s="151"/>
      <c r="BG1173" s="94">
        <f>SUM($AV$1035:AV1173)</f>
        <v>-360.46520146515508</v>
      </c>
      <c r="BH1173" s="95">
        <f>SUM($AU$1035:AU1173)</f>
        <v>-866.99999999990587</v>
      </c>
      <c r="BI1173" s="80">
        <f>SUMIFS($AU$1035:AU1270,$Q$1035:Q1270,"F")</f>
        <v>112.00000000000057</v>
      </c>
      <c r="BJ1173" s="80">
        <f>SUMIFS($AU$1035:AU1270,$Q$1035:Q1270,"S")</f>
        <v>-15.999999999994088</v>
      </c>
      <c r="BK1173" s="87">
        <f>SUMIFS($AU$1035:AU1270,$P$1035:P1270,"W")</f>
        <v>-960.00000000003297</v>
      </c>
      <c r="BL1173" s="87">
        <f>SUMIFS($AU$1035:AU1270,$P$1035:P1270,"R")</f>
        <v>1024.0000000000007</v>
      </c>
      <c r="BM1173" s="87">
        <f>SUMIFS($AU$1035:AU1270,$AQ$1035:AQ1270,"M")</f>
        <v>-899.79999999984489</v>
      </c>
      <c r="BN1173" s="87">
        <f>SUMIFS($AU$1035:AU1270,$AQ$1035:AQ1270,"H")</f>
        <v>1583.9999999998265</v>
      </c>
      <c r="BO1173" s="87">
        <f>SUMIFS($AU$1035:AU1270,$AQ$1035:AQ1270,"D")</f>
        <v>-479.9999999999896</v>
      </c>
      <c r="BP1173" s="87">
        <f>SUMIFS($AS$1035:AS1358,$AO$1035:AO1358,"W")</f>
        <v>0</v>
      </c>
      <c r="BQ1173" s="87">
        <f>SUMIFS($AU$1035:AU1270,$Q$1035:Q1270,"O")</f>
        <v>-1079.7999999999552</v>
      </c>
      <c r="BR1173" s="87">
        <f>SUMIFS($AU$1035:AU1270,$AA$1035:AA1270,"*")</f>
        <v>-499.79999999992333</v>
      </c>
      <c r="BS1173" s="87">
        <f>SUMIFS($AU$1035:AU1270,$AB$1035:AB1270,"*")</f>
        <v>-724.00000000009095</v>
      </c>
      <c r="BT1173" s="87">
        <f>SUMIFS($AU$1035:AU1270,$AC$1035:AC1270,"*")</f>
        <v>112.00000000000097</v>
      </c>
      <c r="BU1173" s="87">
        <f>SUMIFS($AU$1035:AU1270,$AA$1035:AA1270,"*",$AB$1035:AB1270,"*")</f>
        <v>47.999999999934744</v>
      </c>
      <c r="BV1173" s="87">
        <f>SUMIFS($AU$1035:AU1270,$AA$1035:AA1270,"*",$AC$1035:AC1270,"*")</f>
        <v>-335.99999999999977</v>
      </c>
      <c r="BW1173" s="87">
        <f>SUMIFS($AU$1035:AU1270,$AB$1035:AB1270,"*",$AC$1035:AC1270,"*")</f>
        <v>-143.99999999999966</v>
      </c>
      <c r="BX1173" s="87">
        <f>SUMIFS($AV$1035:AV1270,$Q$1035:Q1270,"F")</f>
        <v>34.153846153846246</v>
      </c>
      <c r="BY1173" s="87">
        <f>SUMIFS($AV$1035:AV1270,$Q$1035:Q1270,"S")</f>
        <v>20.914285714286223</v>
      </c>
      <c r="BZ1173" s="87">
        <f>SUMIFS($AV$1035:AV1270,$Q$1035:Q1270,"O")</f>
        <v>-445.13333333327751</v>
      </c>
    </row>
    <row r="1174" spans="1:78" ht="15.75" customHeight="1">
      <c r="A1174" s="45" t="s">
        <v>3357</v>
      </c>
      <c r="B1174" s="59"/>
      <c r="C1174" s="46"/>
      <c r="D1174" s="46"/>
      <c r="E1174" s="66" t="s">
        <v>3435</v>
      </c>
      <c r="F1174" s="47"/>
      <c r="G1174" s="48"/>
      <c r="H1174" s="49">
        <v>1</v>
      </c>
      <c r="I1174" s="49"/>
      <c r="J1174" s="49"/>
      <c r="K1174" s="50" t="s">
        <v>142</v>
      </c>
      <c r="L1174" s="49"/>
      <c r="M1174" s="49"/>
      <c r="N1174" s="49"/>
      <c r="O1174" s="50"/>
      <c r="P1174" s="50"/>
      <c r="Q1174" s="50"/>
      <c r="R1174" s="50"/>
      <c r="S1174" s="50"/>
      <c r="T1174" s="50"/>
      <c r="U1174" s="50"/>
      <c r="V1174" s="50"/>
      <c r="W1174" s="50"/>
      <c r="X1174" s="50"/>
      <c r="Y1174" s="51"/>
      <c r="Z1174" s="52"/>
      <c r="AA1174" s="52"/>
      <c r="AB1174" s="52"/>
      <c r="AC1174" s="52"/>
      <c r="AD1174" s="231"/>
      <c r="AE1174" s="49"/>
      <c r="AF1174" s="84"/>
      <c r="AG1174" s="49"/>
      <c r="AH1174" s="49"/>
      <c r="AI1174" s="49"/>
      <c r="AJ1174" s="226"/>
      <c r="AK1174" s="49"/>
      <c r="AL1174" s="113">
        <f t="shared" si="524"/>
        <v>0</v>
      </c>
      <c r="AM1174" s="113">
        <f t="shared" si="525"/>
        <v>0</v>
      </c>
      <c r="AN1174" s="218"/>
      <c r="AO1174" s="49"/>
      <c r="AP1174" s="49"/>
      <c r="AQ1174" s="84" t="str">
        <f>UPPER(RIGHT(Journal_Live[[#This Row],[DURATION ]]))</f>
        <v/>
      </c>
      <c r="AR1174" s="49"/>
      <c r="AS1174" s="55"/>
      <c r="AT1174" s="55">
        <f t="shared" si="526"/>
        <v>0</v>
      </c>
      <c r="AU1174" s="54">
        <f t="shared" si="527"/>
        <v>0</v>
      </c>
      <c r="AV1174" s="56">
        <f t="shared" si="528"/>
        <v>0</v>
      </c>
      <c r="AW1174" s="57"/>
      <c r="AX1174" s="153"/>
      <c r="AY1174" s="153"/>
      <c r="AZ1174" s="153"/>
      <c r="BA1174" s="153"/>
      <c r="BB1174" s="153"/>
      <c r="BC1174" s="153"/>
      <c r="BD1174" s="151"/>
      <c r="BE1174" s="152"/>
      <c r="BF1174" s="151"/>
      <c r="BG1174" s="94">
        <f>SUM($AV$1035:AV1174)</f>
        <v>-360.46520146515508</v>
      </c>
      <c r="BH1174" s="95">
        <f>SUM($AU$1035:AU1174)</f>
        <v>-866.99999999990587</v>
      </c>
      <c r="BI1174" s="80">
        <f>SUMIFS($AU$1035:AU1271,$Q$1035:Q1271,"F")</f>
        <v>112.00000000000057</v>
      </c>
      <c r="BJ1174" s="80">
        <f>SUMIFS($AU$1035:AU1271,$Q$1035:Q1271,"S")</f>
        <v>-15.999999999994088</v>
      </c>
      <c r="BK1174" s="87">
        <f>SUMIFS($AU$1035:AU1271,$P$1035:P1271,"W")</f>
        <v>-960.00000000003297</v>
      </c>
      <c r="BL1174" s="87">
        <f>SUMIFS($AU$1035:AU1271,$P$1035:P1271,"R")</f>
        <v>1024.0000000000007</v>
      </c>
      <c r="BM1174" s="87">
        <f>SUMIFS($AU$1035:AU1271,$AQ$1035:AQ1271,"M")</f>
        <v>-899.79999999984489</v>
      </c>
      <c r="BN1174" s="87">
        <f>SUMIFS($AU$1035:AU1271,$AQ$1035:AQ1271,"H")</f>
        <v>1583.9999999998265</v>
      </c>
      <c r="BO1174" s="87">
        <f>SUMIFS($AU$1035:AU1271,$AQ$1035:AQ1271,"D")</f>
        <v>-479.9999999999896</v>
      </c>
      <c r="BP1174" s="87">
        <f>SUMIFS($AS$1035:AS1359,$AO$1035:AO1359,"W")</f>
        <v>0</v>
      </c>
      <c r="BQ1174" s="87">
        <f>SUMIFS($AU$1035:AU1271,$Q$1035:Q1271,"O")</f>
        <v>-1079.7999999999552</v>
      </c>
      <c r="BR1174" s="87">
        <f>SUMIFS($AU$1035:AU1271,$AA$1035:AA1271,"*")</f>
        <v>-499.79999999992333</v>
      </c>
      <c r="BS1174" s="87">
        <f>SUMIFS($AU$1035:AU1271,$AB$1035:AB1271,"*")</f>
        <v>-724.00000000009095</v>
      </c>
      <c r="BT1174" s="87">
        <f>SUMIFS($AU$1035:AU1271,$AC$1035:AC1271,"*")</f>
        <v>112.00000000000097</v>
      </c>
      <c r="BU1174" s="87">
        <f>SUMIFS($AU$1035:AU1271,$AA$1035:AA1271,"*",$AB$1035:AB1271,"*")</f>
        <v>47.999999999934744</v>
      </c>
      <c r="BV1174" s="87">
        <f>SUMIFS($AU$1035:AU1271,$AA$1035:AA1271,"*",$AC$1035:AC1271,"*")</f>
        <v>-335.99999999999977</v>
      </c>
      <c r="BW1174" s="87">
        <f>SUMIFS($AU$1035:AU1271,$AB$1035:AB1271,"*",$AC$1035:AC1271,"*")</f>
        <v>-143.99999999999966</v>
      </c>
      <c r="BX1174" s="87">
        <f>SUMIFS($AV$1035:AV1271,$Q$1035:Q1271,"F")</f>
        <v>34.153846153846246</v>
      </c>
      <c r="BY1174" s="87">
        <f>SUMIFS($AV$1035:AV1271,$Q$1035:Q1271,"S")</f>
        <v>20.914285714286223</v>
      </c>
      <c r="BZ1174" s="87">
        <f>SUMIFS($AV$1035:AV1271,$Q$1035:Q1271,"O")</f>
        <v>-445.13333333327751</v>
      </c>
    </row>
    <row r="1175" spans="1:78" ht="15.75" customHeight="1">
      <c r="A1175" s="45" t="s">
        <v>3357</v>
      </c>
      <c r="B1175" s="59">
        <v>45575</v>
      </c>
      <c r="C1175" s="46" t="s">
        <v>1190</v>
      </c>
      <c r="D1175" s="46" t="s">
        <v>107</v>
      </c>
      <c r="E1175" s="66" t="s">
        <v>3436</v>
      </c>
      <c r="F1175" s="47"/>
      <c r="G1175" s="104" t="s">
        <v>196</v>
      </c>
      <c r="H1175" s="49"/>
      <c r="I1175" s="49"/>
      <c r="J1175" s="49"/>
      <c r="K1175" s="50"/>
      <c r="L1175" s="49"/>
      <c r="M1175" s="49"/>
      <c r="N1175" s="49"/>
      <c r="O1175" s="50" t="s">
        <v>196</v>
      </c>
      <c r="P1175" s="50"/>
      <c r="Q1175" s="50" t="s">
        <v>198</v>
      </c>
      <c r="R1175" s="50">
        <v>3</v>
      </c>
      <c r="S1175" s="50">
        <v>0</v>
      </c>
      <c r="T1175" s="50">
        <v>3</v>
      </c>
      <c r="U1175" s="50" t="s">
        <v>102</v>
      </c>
      <c r="V1175" s="50" t="s">
        <v>2898</v>
      </c>
      <c r="W1175" s="50" t="s">
        <v>22</v>
      </c>
      <c r="X1175" s="50"/>
      <c r="Y1175" s="51">
        <f t="shared" ref="Y1171:Y1178" si="558">IF(ISBLANK(O1175),"",(IF(O1175=UPPER("IB"),0.005,0.01)))</f>
        <v>0.01</v>
      </c>
      <c r="Z1175" s="52">
        <f t="shared" ref="Z1171:Z1178" si="559">IF(ISBLANK(O1175),"",IF(O1175="IB",8.63*200,IF(O1175="IR",16*100,IF(O1175="YT",20*100,IF(O1175="YT-XT",24*200,IF(O1175="TED",80*100,IF(O1175="XT",29*200)))))))</f>
        <v>5800</v>
      </c>
      <c r="AA1175" s="52" t="s">
        <v>3437</v>
      </c>
      <c r="AB1175" s="52"/>
      <c r="AC1175" s="52"/>
      <c r="AD1175" s="231">
        <v>95.76</v>
      </c>
      <c r="AE1175" s="49"/>
      <c r="AF1175" s="84"/>
      <c r="AG1175" s="49"/>
      <c r="AH1175" s="49"/>
      <c r="AI1175" s="49"/>
      <c r="AJ1175" s="226"/>
      <c r="AK1175" s="49"/>
      <c r="AL1175" s="113">
        <f t="shared" si="524"/>
        <v>-116</v>
      </c>
      <c r="AM1175" s="113">
        <f t="shared" si="525"/>
        <v>-348</v>
      </c>
      <c r="AN1175" s="218"/>
      <c r="AO1175" s="49"/>
      <c r="AP1175" s="49"/>
      <c r="AQ1175" s="84" t="s">
        <v>350</v>
      </c>
      <c r="AR1175" s="49"/>
      <c r="AS1175" s="55">
        <v>95.762</v>
      </c>
      <c r="AT1175" s="55">
        <f t="shared" si="526"/>
        <v>-1.9999999999953388E-3</v>
      </c>
      <c r="AU1175" s="54">
        <f t="shared" ref="AU1175:AU1177" si="560">AV1175*R1175</f>
        <v>-34.799999999918896</v>
      </c>
      <c r="AV1175" s="56">
        <f t="shared" ref="AV1175:AV1177" si="561">IF(ISBLANK(AS1175),,(AT1175*Z1175))</f>
        <v>-11.599999999972965</v>
      </c>
      <c r="AW1175" s="57" t="s">
        <v>121</v>
      </c>
      <c r="AX1175" s="153" t="s">
        <v>3438</v>
      </c>
      <c r="AY1175" s="153"/>
      <c r="AZ1175" s="153"/>
      <c r="BA1175" s="153"/>
      <c r="BB1175" s="153"/>
      <c r="BC1175" s="153"/>
      <c r="BD1175" s="151"/>
      <c r="BE1175" s="152"/>
      <c r="BF1175" s="151"/>
      <c r="BG1175" s="94">
        <f>SUM($AV$1035:AV1175)</f>
        <v>-372.06520146512804</v>
      </c>
      <c r="BH1175" s="95">
        <f>SUM($AU$1035:AU1175)</f>
        <v>-901.79999999982476</v>
      </c>
      <c r="BI1175" s="80">
        <f>SUMIFS($AU$1035:AU1272,$Q$1035:Q1272,"F")</f>
        <v>112.00000000000057</v>
      </c>
      <c r="BJ1175" s="80">
        <f>SUMIFS($AU$1035:AU1272,$Q$1035:Q1272,"S")</f>
        <v>-15.999999999994088</v>
      </c>
      <c r="BK1175" s="87">
        <f>SUMIFS($AU$1035:AU1272,$P$1035:P1272,"W")</f>
        <v>-960.00000000003297</v>
      </c>
      <c r="BL1175" s="87">
        <f>SUMIFS($AU$1035:AU1272,$P$1035:P1272,"R")</f>
        <v>1024.0000000000007</v>
      </c>
      <c r="BM1175" s="87">
        <f>SUMIFS($AU$1035:AU1272,$AQ$1035:AQ1272,"M")</f>
        <v>-899.79999999984489</v>
      </c>
      <c r="BN1175" s="87">
        <f>SUMIFS($AU$1035:AU1272,$AQ$1035:AQ1272,"H")</f>
        <v>1583.9999999998265</v>
      </c>
      <c r="BO1175" s="87">
        <f>SUMIFS($AU$1035:AU1272,$AQ$1035:AQ1272,"D")</f>
        <v>-479.9999999999896</v>
      </c>
      <c r="BP1175" s="87">
        <f>SUMIFS($AS$1035:AS1360,$AO$1035:AO1360,"W")</f>
        <v>0</v>
      </c>
      <c r="BQ1175" s="87">
        <f>SUMIFS($AU$1035:AU1272,$Q$1035:Q1272,"O")</f>
        <v>-1079.7999999999552</v>
      </c>
      <c r="BR1175" s="87">
        <f>SUMIFS($AU$1035:AU1272,$AA$1035:AA1272,"*")</f>
        <v>-499.79999999992333</v>
      </c>
      <c r="BS1175" s="87">
        <f>SUMIFS($AU$1035:AU1272,$AB$1035:AB1272,"*")</f>
        <v>-724.00000000009095</v>
      </c>
      <c r="BT1175" s="87">
        <f>SUMIFS($AU$1035:AU1272,$AC$1035:AC1272,"*")</f>
        <v>112.00000000000097</v>
      </c>
      <c r="BU1175" s="87">
        <f>SUMIFS($AU$1035:AU1272,$AA$1035:AA1272,"*",$AB$1035:AB1272,"*")</f>
        <v>47.999999999934744</v>
      </c>
      <c r="BV1175" s="87">
        <f>SUMIFS($AU$1035:AU1272,$AA$1035:AA1272,"*",$AC$1035:AC1272,"*")</f>
        <v>-335.99999999999977</v>
      </c>
      <c r="BW1175" s="87">
        <f>SUMIFS($AU$1035:AU1272,$AB$1035:AB1272,"*",$AC$1035:AC1272,"*")</f>
        <v>-143.99999999999966</v>
      </c>
      <c r="BX1175" s="87">
        <f>SUMIFS($AV$1035:AV1272,$Q$1035:Q1272,"F")</f>
        <v>34.153846153846246</v>
      </c>
      <c r="BY1175" s="87">
        <f>SUMIFS($AV$1035:AV1272,$Q$1035:Q1272,"S")</f>
        <v>20.914285714286223</v>
      </c>
      <c r="BZ1175" s="87">
        <f>SUMIFS($AV$1035:AV1272,$Q$1035:Q1272,"O")</f>
        <v>-445.13333333327751</v>
      </c>
    </row>
    <row r="1176" spans="1:78" ht="15.75" customHeight="1">
      <c r="A1176" s="45" t="s">
        <v>3357</v>
      </c>
      <c r="B1176" s="59">
        <v>45575</v>
      </c>
      <c r="C1176" s="46" t="s">
        <v>1190</v>
      </c>
      <c r="D1176" s="46" t="s">
        <v>107</v>
      </c>
      <c r="E1176" s="66"/>
      <c r="F1176" s="47"/>
      <c r="G1176" s="104" t="s">
        <v>476</v>
      </c>
      <c r="H1176" s="49"/>
      <c r="I1176" s="49"/>
      <c r="J1176" s="49"/>
      <c r="K1176" s="50"/>
      <c r="L1176" s="49"/>
      <c r="M1176" s="49"/>
      <c r="N1176" s="49"/>
      <c r="O1176" s="50" t="s">
        <v>476</v>
      </c>
      <c r="P1176" s="50"/>
      <c r="Q1176" s="50" t="s">
        <v>198</v>
      </c>
      <c r="R1176" s="50">
        <v>9</v>
      </c>
      <c r="S1176" s="50">
        <v>0</v>
      </c>
      <c r="T1176" s="50">
        <v>9</v>
      </c>
      <c r="U1176" s="50" t="s">
        <v>102</v>
      </c>
      <c r="V1176" s="50" t="s">
        <v>2898</v>
      </c>
      <c r="W1176" s="50" t="s">
        <v>22</v>
      </c>
      <c r="X1176" s="50"/>
      <c r="Y1176" s="51">
        <f t="shared" si="558"/>
        <v>0.01</v>
      </c>
      <c r="Z1176" s="52">
        <f t="shared" si="559"/>
        <v>2000</v>
      </c>
      <c r="AA1176" s="52" t="s">
        <v>3437</v>
      </c>
      <c r="AB1176" s="52"/>
      <c r="AC1176" s="52"/>
      <c r="AD1176" s="231">
        <v>96.227000000000004</v>
      </c>
      <c r="AE1176" s="49"/>
      <c r="AF1176" s="84"/>
      <c r="AG1176" s="49"/>
      <c r="AH1176" s="49"/>
      <c r="AI1176" s="49"/>
      <c r="AJ1176" s="226"/>
      <c r="AK1176" s="49"/>
      <c r="AL1176" s="113">
        <f t="shared" si="524"/>
        <v>-40</v>
      </c>
      <c r="AM1176" s="113">
        <f t="shared" si="525"/>
        <v>-360</v>
      </c>
      <c r="AN1176" s="218"/>
      <c r="AO1176" s="49"/>
      <c r="AP1176" s="49"/>
      <c r="AQ1176" s="84" t="s">
        <v>350</v>
      </c>
      <c r="AR1176" s="49"/>
      <c r="AS1176" s="55">
        <v>96.26</v>
      </c>
      <c r="AT1176" s="55">
        <f t="shared" si="526"/>
        <v>-3.3000000000001251E-2</v>
      </c>
      <c r="AU1176" s="54">
        <f t="shared" si="560"/>
        <v>-594.00000000002251</v>
      </c>
      <c r="AV1176" s="56">
        <f t="shared" si="561"/>
        <v>-66.000000000002501</v>
      </c>
      <c r="AW1176" s="57" t="s">
        <v>121</v>
      </c>
      <c r="AX1176" s="153" t="s">
        <v>3439</v>
      </c>
      <c r="AY1176" s="153" t="s">
        <v>3440</v>
      </c>
      <c r="AZ1176" s="153"/>
      <c r="BA1176" s="153"/>
      <c r="BB1176" s="153"/>
      <c r="BC1176" s="153"/>
      <c r="BD1176" s="151"/>
      <c r="BE1176" s="152"/>
      <c r="BF1176" s="151"/>
      <c r="BG1176" s="94">
        <f>SUM($AV$1035:AV1176)</f>
        <v>-438.06520146513054</v>
      </c>
      <c r="BH1176" s="95">
        <f>SUM($AU$1035:AU1176)</f>
        <v>-1495.7999999998474</v>
      </c>
      <c r="BI1176" s="80">
        <f>SUMIFS($AU$1035:AU1273,$Q$1035:Q1273,"F")</f>
        <v>112.00000000000057</v>
      </c>
      <c r="BJ1176" s="80">
        <f>SUMIFS($AU$1035:AU1273,$Q$1035:Q1273,"S")</f>
        <v>-15.999999999994088</v>
      </c>
      <c r="BK1176" s="87">
        <f>SUMIFS($AU$1035:AU1273,$P$1035:P1273,"W")</f>
        <v>-960.00000000003297</v>
      </c>
      <c r="BL1176" s="87">
        <f>SUMIFS($AU$1035:AU1273,$P$1035:P1273,"R")</f>
        <v>1024.0000000000007</v>
      </c>
      <c r="BM1176" s="87">
        <f>SUMIFS($AU$1035:AU1273,$AQ$1035:AQ1273,"M")</f>
        <v>-899.79999999984489</v>
      </c>
      <c r="BN1176" s="87">
        <f>SUMIFS($AU$1035:AU1273,$AQ$1035:AQ1273,"H")</f>
        <v>1583.9999999998265</v>
      </c>
      <c r="BO1176" s="87">
        <f>SUMIFS($AU$1035:AU1273,$AQ$1035:AQ1273,"D")</f>
        <v>-479.9999999999896</v>
      </c>
      <c r="BP1176" s="87">
        <f>SUMIFS($AS$1035:AS1361,$AO$1035:AO1361,"W")</f>
        <v>0</v>
      </c>
      <c r="BQ1176" s="87">
        <f>SUMIFS($AU$1035:AU1273,$Q$1035:Q1273,"O")</f>
        <v>-1079.7999999999552</v>
      </c>
      <c r="BR1176" s="87">
        <f>SUMIFS($AU$1035:AU1273,$AA$1035:AA1273,"*")</f>
        <v>-499.79999999992333</v>
      </c>
      <c r="BS1176" s="87">
        <f>SUMIFS($AU$1035:AU1273,$AB$1035:AB1273,"*")</f>
        <v>-724.00000000009095</v>
      </c>
      <c r="BT1176" s="87">
        <f>SUMIFS($AU$1035:AU1273,$AC$1035:AC1273,"*")</f>
        <v>112.00000000000097</v>
      </c>
      <c r="BU1176" s="87">
        <f>SUMIFS($AU$1035:AU1273,$AA$1035:AA1273,"*",$AB$1035:AB1273,"*")</f>
        <v>47.999999999934744</v>
      </c>
      <c r="BV1176" s="87">
        <f>SUMIFS($AU$1035:AU1273,$AA$1035:AA1273,"*",$AC$1035:AC1273,"*")</f>
        <v>-335.99999999999977</v>
      </c>
      <c r="BW1176" s="87">
        <f>SUMIFS($AU$1035:AU1273,$AB$1035:AB1273,"*",$AC$1035:AC1273,"*")</f>
        <v>-143.99999999999966</v>
      </c>
      <c r="BX1176" s="87">
        <f>SUMIFS($AV$1035:AV1273,$Q$1035:Q1273,"F")</f>
        <v>34.153846153846246</v>
      </c>
      <c r="BY1176" s="87">
        <f>SUMIFS($AV$1035:AV1273,$Q$1035:Q1273,"S")</f>
        <v>20.914285714286223</v>
      </c>
      <c r="BZ1176" s="87">
        <f>SUMIFS($AV$1035:AV1273,$Q$1035:Q1273,"O")</f>
        <v>-445.13333333327751</v>
      </c>
    </row>
    <row r="1177" spans="1:78" ht="15.75" customHeight="1">
      <c r="A1177" s="45" t="s">
        <v>3357</v>
      </c>
      <c r="B1177" s="59">
        <v>45575</v>
      </c>
      <c r="C1177" s="46" t="s">
        <v>147</v>
      </c>
      <c r="D1177" s="46" t="s">
        <v>107</v>
      </c>
      <c r="E1177" s="66"/>
      <c r="F1177" s="47"/>
      <c r="G1177" s="104" t="s">
        <v>3441</v>
      </c>
      <c r="H1177" s="49"/>
      <c r="I1177" s="49"/>
      <c r="J1177" s="49"/>
      <c r="K1177" s="50"/>
      <c r="L1177" s="49"/>
      <c r="M1177" s="49"/>
      <c r="N1177" s="49"/>
      <c r="O1177" s="50" t="s">
        <v>100</v>
      </c>
      <c r="P1177" s="50" t="s">
        <v>126</v>
      </c>
      <c r="Q1177" s="50" t="s">
        <v>102</v>
      </c>
      <c r="R1177" s="50">
        <v>32</v>
      </c>
      <c r="S1177" s="50">
        <v>0</v>
      </c>
      <c r="T1177" s="50">
        <v>32</v>
      </c>
      <c r="U1177" s="50" t="s">
        <v>22</v>
      </c>
      <c r="V1177" s="50" t="s">
        <v>2906</v>
      </c>
      <c r="W1177" s="50" t="s">
        <v>20</v>
      </c>
      <c r="X1177" s="50" t="s">
        <v>3002</v>
      </c>
      <c r="Y1177" s="51">
        <f t="shared" si="558"/>
        <v>0.01</v>
      </c>
      <c r="Z1177" s="52">
        <f t="shared" si="559"/>
        <v>1600</v>
      </c>
      <c r="AA1177" s="52"/>
      <c r="AB1177" s="52"/>
      <c r="AC1177" s="52" t="s">
        <v>3442</v>
      </c>
      <c r="AD1177" s="231">
        <v>0.02</v>
      </c>
      <c r="AE1177" s="49"/>
      <c r="AF1177" s="84"/>
      <c r="AG1177" s="49"/>
      <c r="AH1177" s="49"/>
      <c r="AI1177" s="49"/>
      <c r="AJ1177" s="226"/>
      <c r="AK1177" s="49"/>
      <c r="AL1177" s="113">
        <f t="shared" si="524"/>
        <v>-32</v>
      </c>
      <c r="AM1177" s="113">
        <f t="shared" si="525"/>
        <v>-1024</v>
      </c>
      <c r="AN1177" s="218"/>
      <c r="AO1177" s="49"/>
      <c r="AP1177" s="49"/>
      <c r="AQ1177" s="84" t="str">
        <f>UPPER(RIGHT(Journal_Live[[#This Row],[DURATION ]]))</f>
        <v/>
      </c>
      <c r="AR1177" s="49"/>
      <c r="AS1177" s="55"/>
      <c r="AT1177" s="55">
        <f t="shared" si="526"/>
        <v>0</v>
      </c>
      <c r="AU1177" s="54">
        <f t="shared" si="560"/>
        <v>0</v>
      </c>
      <c r="AV1177" s="56">
        <f t="shared" si="561"/>
        <v>0</v>
      </c>
      <c r="AW1177" s="57"/>
      <c r="AX1177" s="153"/>
      <c r="AY1177" s="153"/>
      <c r="AZ1177" s="153"/>
      <c r="BA1177" s="153"/>
      <c r="BB1177" s="153"/>
      <c r="BC1177" s="153"/>
      <c r="BD1177" s="151"/>
      <c r="BE1177" s="152"/>
      <c r="BF1177" s="151"/>
      <c r="BG1177" s="94">
        <f>SUM($AV$1035:AV1177)</f>
        <v>-438.06520146513054</v>
      </c>
      <c r="BH1177" s="95">
        <f>SUM($AU$1035:AU1177)</f>
        <v>-1495.7999999998474</v>
      </c>
      <c r="BI1177" s="80">
        <f>SUMIFS($AU$1035:AU1274,$Q$1035:Q1274,"F")</f>
        <v>112.00000000000057</v>
      </c>
      <c r="BJ1177" s="80">
        <f>SUMIFS($AU$1035:AU1274,$Q$1035:Q1274,"S")</f>
        <v>-15.999999999994088</v>
      </c>
      <c r="BK1177" s="87">
        <f>SUMIFS($AU$1035:AU1274,$P$1035:P1274,"W")</f>
        <v>-960.00000000003297</v>
      </c>
      <c r="BL1177" s="87">
        <f>SUMIFS($AU$1035:AU1274,$P$1035:P1274,"R")</f>
        <v>1024.0000000000007</v>
      </c>
      <c r="BM1177" s="87">
        <f>SUMIFS($AU$1035:AU1274,$AQ$1035:AQ1274,"M")</f>
        <v>-899.79999999984489</v>
      </c>
      <c r="BN1177" s="87">
        <f>SUMIFS($AU$1035:AU1274,$AQ$1035:AQ1274,"H")</f>
        <v>1583.9999999998265</v>
      </c>
      <c r="BO1177" s="87">
        <f>SUMIFS($AU$1035:AU1274,$AQ$1035:AQ1274,"D")</f>
        <v>-479.9999999999896</v>
      </c>
      <c r="BP1177" s="87">
        <f>SUMIFS($AS$1035:AS1362,$AO$1035:AO1362,"W")</f>
        <v>0</v>
      </c>
      <c r="BQ1177" s="87">
        <f>SUMIFS($AU$1035:AU1274,$Q$1035:Q1274,"O")</f>
        <v>-1079.7999999999552</v>
      </c>
      <c r="BR1177" s="87">
        <f>SUMIFS($AU$1035:AU1274,$AA$1035:AA1274,"*")</f>
        <v>-499.79999999992333</v>
      </c>
      <c r="BS1177" s="87">
        <f>SUMIFS($AU$1035:AU1274,$AB$1035:AB1274,"*")</f>
        <v>-724.00000000009095</v>
      </c>
      <c r="BT1177" s="87">
        <f>SUMIFS($AU$1035:AU1274,$AC$1035:AC1274,"*")</f>
        <v>112.00000000000097</v>
      </c>
      <c r="BU1177" s="87">
        <f>SUMIFS($AU$1035:AU1274,$AA$1035:AA1274,"*",$AB$1035:AB1274,"*")</f>
        <v>47.999999999934744</v>
      </c>
      <c r="BV1177" s="87">
        <f>SUMIFS($AU$1035:AU1274,$AA$1035:AA1274,"*",$AC$1035:AC1274,"*")</f>
        <v>-335.99999999999977</v>
      </c>
      <c r="BW1177" s="87">
        <f>SUMIFS($AU$1035:AU1274,$AB$1035:AB1274,"*",$AC$1035:AC1274,"*")</f>
        <v>-143.99999999999966</v>
      </c>
      <c r="BX1177" s="87">
        <f>SUMIFS($AV$1035:AV1274,$Q$1035:Q1274,"F")</f>
        <v>34.153846153846246</v>
      </c>
      <c r="BY1177" s="87">
        <f>SUMIFS($AV$1035:AV1274,$Q$1035:Q1274,"S")</f>
        <v>20.914285714286223</v>
      </c>
      <c r="BZ1177" s="87">
        <f>SUMIFS($AV$1035:AV1274,$Q$1035:Q1274,"O")</f>
        <v>-445.13333333327751</v>
      </c>
    </row>
    <row r="1178" spans="1:78" ht="15.75" customHeight="1">
      <c r="A1178" s="45" t="s">
        <v>3357</v>
      </c>
      <c r="B1178" s="59">
        <v>45575</v>
      </c>
      <c r="C1178" s="46" t="s">
        <v>147</v>
      </c>
      <c r="D1178" s="46" t="s">
        <v>107</v>
      </c>
      <c r="E1178" s="66"/>
      <c r="F1178" s="47"/>
      <c r="G1178" s="104" t="s">
        <v>3358</v>
      </c>
      <c r="H1178" s="49"/>
      <c r="I1178" s="49"/>
      <c r="J1178" s="49"/>
      <c r="K1178" s="50"/>
      <c r="L1178" s="49"/>
      <c r="M1178" s="49"/>
      <c r="N1178" s="49"/>
      <c r="O1178" s="50" t="s">
        <v>100</v>
      </c>
      <c r="P1178" s="50" t="s">
        <v>101</v>
      </c>
      <c r="Q1178" s="50" t="s">
        <v>198</v>
      </c>
      <c r="R1178" s="50">
        <v>4</v>
      </c>
      <c r="S1178" s="50">
        <v>0</v>
      </c>
      <c r="T1178" s="50">
        <v>4</v>
      </c>
      <c r="U1178" s="50" t="s">
        <v>102</v>
      </c>
      <c r="V1178" s="50" t="s">
        <v>2898</v>
      </c>
      <c r="W1178" s="50" t="s">
        <v>22</v>
      </c>
      <c r="X1178" s="50"/>
      <c r="Y1178" s="51">
        <f t="shared" si="558"/>
        <v>0.01</v>
      </c>
      <c r="Z1178" s="52">
        <f t="shared" si="559"/>
        <v>1600</v>
      </c>
      <c r="AA1178" s="52"/>
      <c r="AB1178" s="52" t="s">
        <v>3443</v>
      </c>
      <c r="AC1178" s="52"/>
      <c r="AD1178" s="231">
        <v>95.69</v>
      </c>
      <c r="AE1178" s="49"/>
      <c r="AF1178" s="84"/>
      <c r="AG1178" s="49"/>
      <c r="AH1178" s="49"/>
      <c r="AI1178" s="49"/>
      <c r="AJ1178" s="226"/>
      <c r="AK1178" s="49"/>
      <c r="AL1178" s="113">
        <f t="shared" si="524"/>
        <v>-32</v>
      </c>
      <c r="AM1178" s="113">
        <f t="shared" si="525"/>
        <v>-128</v>
      </c>
      <c r="AN1178" s="218"/>
      <c r="AO1178" s="49"/>
      <c r="AP1178" s="49"/>
      <c r="AQ1178" s="84" t="s">
        <v>350</v>
      </c>
      <c r="AR1178" s="49"/>
      <c r="AS1178" s="55">
        <v>95.69</v>
      </c>
      <c r="AT1178" s="55">
        <f t="shared" si="526"/>
        <v>0</v>
      </c>
      <c r="AU1178" s="54">
        <f t="shared" si="527"/>
        <v>0</v>
      </c>
      <c r="AV1178" s="56">
        <f t="shared" si="528"/>
        <v>0</v>
      </c>
      <c r="AW1178" s="57" t="s">
        <v>155</v>
      </c>
      <c r="AX1178" s="153"/>
      <c r="AY1178" s="153"/>
      <c r="AZ1178" s="153"/>
      <c r="BA1178" s="153"/>
      <c r="BB1178" s="153"/>
      <c r="BC1178" s="153"/>
      <c r="BD1178" s="151"/>
      <c r="BE1178" s="152"/>
      <c r="BF1178" s="151"/>
      <c r="BG1178" s="94">
        <f>SUM($AV$1035:AV1178)</f>
        <v>-438.06520146513054</v>
      </c>
      <c r="BH1178" s="95">
        <f>SUM($AU$1035:AU1178)</f>
        <v>-1495.7999999998474</v>
      </c>
      <c r="BI1178" s="80">
        <f>SUMIFS($AU$1035:AU1275,$Q$1035:Q1275,"F")</f>
        <v>112.00000000000057</v>
      </c>
      <c r="BJ1178" s="80">
        <f>SUMIFS($AU$1035:AU1275,$Q$1035:Q1275,"S")</f>
        <v>-15.999999999994088</v>
      </c>
      <c r="BK1178" s="87">
        <f>SUMIFS($AU$1035:AU1275,$P$1035:P1275,"W")</f>
        <v>-960.00000000003297</v>
      </c>
      <c r="BL1178" s="87">
        <f>SUMIFS($AU$1035:AU1275,$P$1035:P1275,"R")</f>
        <v>1024.0000000000007</v>
      </c>
      <c r="BM1178" s="87">
        <f>SUMIFS($AU$1035:AU1275,$AQ$1035:AQ1275,"M")</f>
        <v>-899.79999999984489</v>
      </c>
      <c r="BN1178" s="87">
        <f>SUMIFS($AU$1035:AU1275,$AQ$1035:AQ1275,"H")</f>
        <v>1583.9999999998265</v>
      </c>
      <c r="BO1178" s="87">
        <f>SUMIFS($AU$1035:AU1275,$AQ$1035:AQ1275,"D")</f>
        <v>-479.9999999999896</v>
      </c>
      <c r="BP1178" s="87">
        <f>SUMIFS($AS$1035:AS1363,$AO$1035:AO1363,"W")</f>
        <v>0</v>
      </c>
      <c r="BQ1178" s="87">
        <f>SUMIFS($AU$1035:AU1275,$Q$1035:Q1275,"O")</f>
        <v>-1079.7999999999552</v>
      </c>
      <c r="BR1178" s="87">
        <f>SUMIFS($AU$1035:AU1275,$AA$1035:AA1275,"*")</f>
        <v>-499.79999999992333</v>
      </c>
      <c r="BS1178" s="87">
        <f>SUMIFS($AU$1035:AU1275,$AB$1035:AB1275,"*")</f>
        <v>-724.00000000009095</v>
      </c>
      <c r="BT1178" s="87">
        <f>SUMIFS($AU$1035:AU1275,$AC$1035:AC1275,"*")</f>
        <v>112.00000000000097</v>
      </c>
      <c r="BU1178" s="87">
        <f>SUMIFS($AU$1035:AU1275,$AA$1035:AA1275,"*",$AB$1035:AB1275,"*")</f>
        <v>47.999999999934744</v>
      </c>
      <c r="BV1178" s="87">
        <f>SUMIFS($AU$1035:AU1275,$AA$1035:AA1275,"*",$AC$1035:AC1275,"*")</f>
        <v>-335.99999999999977</v>
      </c>
      <c r="BW1178" s="87">
        <f>SUMIFS($AU$1035:AU1275,$AB$1035:AB1275,"*",$AC$1035:AC1275,"*")</f>
        <v>-143.99999999999966</v>
      </c>
      <c r="BX1178" s="87">
        <f>SUMIFS($AV$1035:AV1275,$Q$1035:Q1275,"F")</f>
        <v>34.153846153846246</v>
      </c>
      <c r="BY1178" s="87">
        <f>SUMIFS($AV$1035:AV1275,$Q$1035:Q1275,"S")</f>
        <v>20.914285714286223</v>
      </c>
      <c r="BZ1178" s="87">
        <f>SUMIFS($AV$1035:AV1275,$Q$1035:Q1275,"O")</f>
        <v>-445.13333333327751</v>
      </c>
    </row>
    <row r="1179" spans="1:78" ht="15.75" customHeight="1">
      <c r="A1179" s="45" t="s">
        <v>3357</v>
      </c>
      <c r="B1179" s="59">
        <v>45575</v>
      </c>
      <c r="C1179" s="46" t="s">
        <v>3444</v>
      </c>
      <c r="D1179" s="46" t="s">
        <v>107</v>
      </c>
      <c r="E1179" s="66"/>
      <c r="F1179" s="47"/>
      <c r="G1179" s="104" t="s">
        <v>2596</v>
      </c>
      <c r="H1179" s="49"/>
      <c r="I1179" s="49"/>
      <c r="J1179" s="49"/>
      <c r="K1179" s="50"/>
      <c r="L1179" s="49"/>
      <c r="M1179" s="49"/>
      <c r="N1179" s="49"/>
      <c r="O1179" s="50" t="s">
        <v>100</v>
      </c>
      <c r="P1179" s="50" t="s">
        <v>126</v>
      </c>
      <c r="Q1179" s="50" t="s">
        <v>102</v>
      </c>
      <c r="R1179" s="50">
        <v>4</v>
      </c>
      <c r="S1179" s="50">
        <v>0</v>
      </c>
      <c r="T1179" s="50">
        <v>4</v>
      </c>
      <c r="U1179" s="50" t="s">
        <v>102</v>
      </c>
      <c r="V1179" s="50" t="s">
        <v>2906</v>
      </c>
      <c r="W1179" s="50" t="s">
        <v>3086</v>
      </c>
      <c r="X1179" s="50" t="s">
        <v>3026</v>
      </c>
      <c r="Y1179" s="51">
        <f t="shared" ref="Y1179" si="562">IF(ISBLANK(O1179),"",(IF(O1179=UPPER("IB"),0.005,0.01)))</f>
        <v>0.01</v>
      </c>
      <c r="Z1179" s="52">
        <f t="shared" ref="Z1179" si="563">IF(ISBLANK(O1179),"",IF(O1179="IB",8.63*200,IF(O1179="IR",16*100,IF(O1179="YT",20*100,IF(O1179="YT-XT",24*200,IF(O1179="TED",80*100,IF(O1179="XT",29*200)))))))</f>
        <v>1600</v>
      </c>
      <c r="AA1179" s="52"/>
      <c r="AB1179" s="52"/>
      <c r="AC1179" s="52" t="s">
        <v>3445</v>
      </c>
      <c r="AD1179" s="231">
        <v>0</v>
      </c>
      <c r="AE1179" s="49"/>
      <c r="AF1179" s="84"/>
      <c r="AG1179" s="49"/>
      <c r="AH1179" s="49"/>
      <c r="AI1179" s="49"/>
      <c r="AJ1179" s="226"/>
      <c r="AK1179" s="49"/>
      <c r="AL1179" s="113">
        <f t="shared" si="516"/>
        <v>-32</v>
      </c>
      <c r="AM1179" s="113">
        <f t="shared" si="510"/>
        <v>-128</v>
      </c>
      <c r="AN1179" s="218"/>
      <c r="AO1179" s="49"/>
      <c r="AP1179" s="49"/>
      <c r="AQ1179" s="84" t="s">
        <v>155</v>
      </c>
      <c r="AR1179" s="49"/>
      <c r="AS1179" s="55">
        <v>0</v>
      </c>
      <c r="AT1179" s="55">
        <f t="shared" si="511"/>
        <v>0</v>
      </c>
      <c r="AU1179" s="54">
        <f t="shared" si="512"/>
        <v>0</v>
      </c>
      <c r="AV1179" s="56">
        <f t="shared" si="517"/>
        <v>0</v>
      </c>
      <c r="AW1179" s="57" t="s">
        <v>155</v>
      </c>
      <c r="AX1179" s="153" t="s">
        <v>3446</v>
      </c>
      <c r="AY1179" s="153"/>
      <c r="AZ1179" s="153"/>
      <c r="BA1179" s="153"/>
      <c r="BB1179" s="153"/>
      <c r="BC1179" s="153"/>
      <c r="BD1179" s="151"/>
      <c r="BE1179" s="152"/>
      <c r="BF1179" s="151"/>
      <c r="BG1179" s="94">
        <f>SUM($AV$1035:AV1179)</f>
        <v>-438.06520146513054</v>
      </c>
      <c r="BH1179" s="95">
        <f>SUM($AU$1035:AU1179)</f>
        <v>-1495.7999999998474</v>
      </c>
      <c r="BI1179" s="80">
        <f>SUMIFS($AU$1035:AU1276,$Q$1035:Q1276,"F")</f>
        <v>112.00000000000057</v>
      </c>
      <c r="BJ1179" s="80">
        <f>SUMIFS($AU$1035:AU1276,$Q$1035:Q1276,"S")</f>
        <v>-15.999999999994088</v>
      </c>
      <c r="BK1179" s="87">
        <f>SUMIFS($AU$1035:AU1276,$P$1035:P1276,"W")</f>
        <v>-960.00000000003297</v>
      </c>
      <c r="BL1179" s="87">
        <f>SUMIFS($AU$1035:AU1276,$P$1035:P1276,"R")</f>
        <v>1024.0000000000007</v>
      </c>
      <c r="BM1179" s="87">
        <f>SUMIFS($AU$1035:AU1276,$AQ$1035:AQ1276,"M")</f>
        <v>-899.79999999984489</v>
      </c>
      <c r="BN1179" s="87">
        <f>SUMIFS($AU$1035:AU1276,$AQ$1035:AQ1276,"H")</f>
        <v>1583.9999999998265</v>
      </c>
      <c r="BO1179" s="87">
        <f>SUMIFS($AU$1035:AU1276,$AQ$1035:AQ1276,"D")</f>
        <v>-479.9999999999896</v>
      </c>
      <c r="BP1179" s="87">
        <f>SUMIFS($AS$1035:AS1364,$AO$1035:AO1364,"W")</f>
        <v>0</v>
      </c>
      <c r="BQ1179" s="87">
        <f>SUMIFS($AU$1035:AU1276,$Q$1035:Q1276,"O")</f>
        <v>-1079.7999999999552</v>
      </c>
      <c r="BR1179" s="87">
        <f>SUMIFS($AU$1035:AU1276,$AA$1035:AA1276,"*")</f>
        <v>-499.79999999992333</v>
      </c>
      <c r="BS1179" s="87">
        <f>SUMIFS($AU$1035:AU1276,$AB$1035:AB1276,"*")</f>
        <v>-724.00000000009095</v>
      </c>
      <c r="BT1179" s="87">
        <f>SUMIFS($AU$1035:AU1276,$AC$1035:AC1276,"*")</f>
        <v>112.00000000000097</v>
      </c>
      <c r="BU1179" s="87">
        <f>SUMIFS($AU$1035:AU1276,$AA$1035:AA1276,"*",$AB$1035:AB1276,"*")</f>
        <v>47.999999999934744</v>
      </c>
      <c r="BV1179" s="87">
        <f>SUMIFS($AU$1035:AU1276,$AA$1035:AA1276,"*",$AC$1035:AC1276,"*")</f>
        <v>-335.99999999999977</v>
      </c>
      <c r="BW1179" s="87">
        <f>SUMIFS($AU$1035:AU1276,$AB$1035:AB1276,"*",$AC$1035:AC1276,"*")</f>
        <v>-143.99999999999966</v>
      </c>
      <c r="BX1179" s="87">
        <f>SUMIFS($AV$1035:AV1276,$Q$1035:Q1276,"F")</f>
        <v>34.153846153846246</v>
      </c>
      <c r="BY1179" s="87">
        <f>SUMIFS($AV$1035:AV1276,$Q$1035:Q1276,"S")</f>
        <v>20.914285714286223</v>
      </c>
      <c r="BZ1179" s="87">
        <f>SUMIFS($AV$1035:AV1276,$Q$1035:Q1276,"O")</f>
        <v>-445.13333333327751</v>
      </c>
    </row>
    <row r="1180" spans="1:78" ht="15.75" customHeight="1">
      <c r="A1180" s="45" t="s">
        <v>3357</v>
      </c>
      <c r="B1180" s="59"/>
      <c r="C1180" s="46"/>
      <c r="D1180" s="46"/>
      <c r="E1180" s="66"/>
      <c r="F1180" s="47"/>
      <c r="G1180" s="48"/>
      <c r="H1180" s="49"/>
      <c r="I1180" s="49"/>
      <c r="J1180" s="49"/>
      <c r="K1180" s="50"/>
      <c r="L1180" s="49"/>
      <c r="M1180" s="49"/>
      <c r="N1180" s="49"/>
      <c r="O1180" s="50"/>
      <c r="P1180" s="50"/>
      <c r="Q1180" s="50"/>
      <c r="R1180" s="50"/>
      <c r="S1180" s="50"/>
      <c r="T1180" s="50"/>
      <c r="U1180" s="50"/>
      <c r="V1180" s="50"/>
      <c r="W1180" s="50"/>
      <c r="X1180" s="50"/>
      <c r="Y1180" s="50"/>
      <c r="Z1180" s="50"/>
      <c r="AA1180" s="52"/>
      <c r="AB1180" s="52"/>
      <c r="AC1180" s="52"/>
      <c r="AD1180" s="231"/>
      <c r="AE1180" s="49"/>
      <c r="AF1180" s="84"/>
      <c r="AG1180" s="49"/>
      <c r="AH1180" s="49"/>
      <c r="AI1180" s="49"/>
      <c r="AJ1180" s="226"/>
      <c r="AK1180" s="49"/>
      <c r="AL1180" s="113">
        <f t="shared" si="516"/>
        <v>0</v>
      </c>
      <c r="AM1180" s="113">
        <f t="shared" si="510"/>
        <v>0</v>
      </c>
      <c r="AN1180" s="218"/>
      <c r="AO1180" s="49"/>
      <c r="AP1180" s="49"/>
      <c r="AQ1180" s="84" t="str">
        <f>UPPER(RIGHT(Journal_Live[[#This Row],[DURATION ]]))</f>
        <v/>
      </c>
      <c r="AR1180" s="49"/>
      <c r="AS1180" s="55"/>
      <c r="AT1180" s="55">
        <f t="shared" si="511"/>
        <v>0</v>
      </c>
      <c r="AU1180" s="54">
        <f t="shared" si="512"/>
        <v>0</v>
      </c>
      <c r="AV1180" s="56">
        <f t="shared" si="517"/>
        <v>0</v>
      </c>
      <c r="AW1180" s="57"/>
      <c r="AX1180" s="151" t="s">
        <v>3447</v>
      </c>
      <c r="AY1180" s="175" t="s">
        <v>3448</v>
      </c>
      <c r="AZ1180" s="175" t="s">
        <v>3449</v>
      </c>
      <c r="BA1180" s="153" t="s">
        <v>3450</v>
      </c>
      <c r="BB1180" s="153"/>
      <c r="BC1180" s="153"/>
      <c r="BD1180" s="151"/>
      <c r="BE1180" s="152"/>
      <c r="BF1180" s="151"/>
      <c r="BG1180" s="94">
        <f>SUM($AV$1035:AV1180)</f>
        <v>-438.06520146513054</v>
      </c>
      <c r="BH1180" s="95">
        <f>SUM($AU$1035:AU1180)</f>
        <v>-1495.7999999998474</v>
      </c>
      <c r="BI1180" s="80">
        <f>SUMIFS($AU$1035:AU1277,$Q$1035:Q1277,"F")</f>
        <v>112.00000000000057</v>
      </c>
      <c r="BJ1180" s="80">
        <f>SUMIFS($AU$1035:AU1277,$Q$1035:Q1277,"S")</f>
        <v>-15.999999999994088</v>
      </c>
      <c r="BK1180" s="87">
        <f>SUMIFS($AU$1035:AU1277,$P$1035:P1277,"W")</f>
        <v>-960.00000000003297</v>
      </c>
      <c r="BL1180" s="87">
        <f>SUMIFS($AU$1035:AU1277,$P$1035:P1277,"R")</f>
        <v>1024.0000000000007</v>
      </c>
      <c r="BM1180" s="87">
        <f>SUMIFS($AU$1035:AU1277,$AQ$1035:AQ1277,"M")</f>
        <v>-899.79999999984489</v>
      </c>
      <c r="BN1180" s="87">
        <f>SUMIFS($AU$1035:AU1277,$AQ$1035:AQ1277,"H")</f>
        <v>1583.9999999998265</v>
      </c>
      <c r="BO1180" s="87">
        <f>SUMIFS($AU$1035:AU1277,$AQ$1035:AQ1277,"D")</f>
        <v>-479.9999999999896</v>
      </c>
      <c r="BP1180" s="87">
        <f>SUMIFS($AS$1035:AS1365,$AO$1035:AO1365,"W")</f>
        <v>0</v>
      </c>
      <c r="BQ1180" s="87">
        <f>SUMIFS($AU$1035:AU1277,$Q$1035:Q1277,"O")</f>
        <v>-1079.7999999999552</v>
      </c>
      <c r="BR1180" s="87">
        <f>SUMIFS($AU$1035:AU1277,$AA$1035:AA1277,"*")</f>
        <v>-499.79999999992333</v>
      </c>
      <c r="BS1180" s="87">
        <f>SUMIFS($AU$1035:AU1277,$AB$1035:AB1277,"*")</f>
        <v>-724.00000000009095</v>
      </c>
      <c r="BT1180" s="87">
        <f>SUMIFS($AU$1035:AU1277,$AC$1035:AC1277,"*")</f>
        <v>112.00000000000097</v>
      </c>
      <c r="BU1180" s="87">
        <f>SUMIFS($AU$1035:AU1277,$AA$1035:AA1277,"*",$AB$1035:AB1277,"*")</f>
        <v>47.999999999934744</v>
      </c>
      <c r="BV1180" s="87">
        <f>SUMIFS($AU$1035:AU1277,$AA$1035:AA1277,"*",$AC$1035:AC1277,"*")</f>
        <v>-335.99999999999977</v>
      </c>
      <c r="BW1180" s="87">
        <f>SUMIFS($AU$1035:AU1277,$AB$1035:AB1277,"*",$AC$1035:AC1277,"*")</f>
        <v>-143.99999999999966</v>
      </c>
      <c r="BX1180" s="87">
        <f>SUMIFS($AV$1035:AV1277,$Q$1035:Q1277,"F")</f>
        <v>34.153846153846246</v>
      </c>
      <c r="BY1180" s="87">
        <f>SUMIFS($AV$1035:AV1277,$Q$1035:Q1277,"S")</f>
        <v>20.914285714286223</v>
      </c>
      <c r="BZ1180" s="87">
        <f>SUMIFS($AV$1035:AV1277,$Q$1035:Q1277,"O")</f>
        <v>-445.13333333327751</v>
      </c>
    </row>
    <row r="1181" spans="1:78" ht="15.75" customHeight="1">
      <c r="A1181" s="45" t="s">
        <v>3357</v>
      </c>
      <c r="B1181" s="59"/>
      <c r="C1181" s="46"/>
      <c r="D1181" s="46"/>
      <c r="E1181" s="66"/>
      <c r="F1181" s="47"/>
      <c r="G1181" s="48"/>
      <c r="H1181" s="49"/>
      <c r="I1181" s="49"/>
      <c r="J1181" s="49"/>
      <c r="K1181" s="50"/>
      <c r="L1181" s="49"/>
      <c r="M1181" s="49"/>
      <c r="N1181" s="49"/>
      <c r="O1181" s="50"/>
      <c r="P1181" s="50"/>
      <c r="Q1181" s="50"/>
      <c r="R1181" s="50"/>
      <c r="S1181" s="50"/>
      <c r="T1181" s="50"/>
      <c r="U1181" s="50"/>
      <c r="V1181" s="50"/>
      <c r="W1181" s="50"/>
      <c r="X1181" s="50"/>
      <c r="Y1181" s="50"/>
      <c r="Z1181" s="50"/>
      <c r="AA1181" s="52"/>
      <c r="AB1181" s="52"/>
      <c r="AC1181" s="52"/>
      <c r="AD1181" s="231"/>
      <c r="AE1181" s="49"/>
      <c r="AF1181" s="84"/>
      <c r="AG1181" s="49"/>
      <c r="AH1181" s="49"/>
      <c r="AI1181" s="49"/>
      <c r="AJ1181" s="226"/>
      <c r="AK1181" s="49"/>
      <c r="AL1181" s="113">
        <f t="shared" si="516"/>
        <v>0</v>
      </c>
      <c r="AM1181" s="113">
        <f t="shared" si="510"/>
        <v>0</v>
      </c>
      <c r="AN1181" s="218"/>
      <c r="AO1181" s="49"/>
      <c r="AP1181" s="49"/>
      <c r="AQ1181" s="84" t="str">
        <f>UPPER(RIGHT(Journal_Live[[#This Row],[DURATION ]]))</f>
        <v/>
      </c>
      <c r="AR1181" s="49"/>
      <c r="AS1181" s="55"/>
      <c r="AT1181" s="55">
        <f t="shared" si="511"/>
        <v>0</v>
      </c>
      <c r="AU1181" s="54">
        <f t="shared" si="512"/>
        <v>0</v>
      </c>
      <c r="AV1181" s="56">
        <f t="shared" si="517"/>
        <v>0</v>
      </c>
      <c r="AW1181" s="57"/>
      <c r="AX1181" s="153" t="s">
        <v>3451</v>
      </c>
      <c r="AY1181" s="153" t="s">
        <v>3452</v>
      </c>
      <c r="AZ1181" s="153"/>
      <c r="BA1181" s="153"/>
      <c r="BB1181" s="153"/>
      <c r="BC1181" s="153"/>
      <c r="BD1181" s="151"/>
      <c r="BE1181" s="152"/>
      <c r="BF1181" s="151"/>
      <c r="BG1181" s="94">
        <f>SUM($AV$1035:AV1181)</f>
        <v>-438.06520146513054</v>
      </c>
      <c r="BH1181" s="95">
        <f>SUM($AU$1035:AU1181)</f>
        <v>-1495.7999999998474</v>
      </c>
      <c r="BI1181" s="80">
        <f>SUMIFS($AU$1035:AU1278,$Q$1035:Q1278,"F")</f>
        <v>112.00000000000057</v>
      </c>
      <c r="BJ1181" s="80">
        <f>SUMIFS($AU$1035:AU1278,$Q$1035:Q1278,"S")</f>
        <v>-15.999999999994088</v>
      </c>
      <c r="BK1181" s="87">
        <f>SUMIFS($AU$1035:AU1278,$P$1035:P1278,"W")</f>
        <v>-960.00000000003297</v>
      </c>
      <c r="BL1181" s="87">
        <f>SUMIFS($AU$1035:AU1278,$P$1035:P1278,"R")</f>
        <v>1024.0000000000007</v>
      </c>
      <c r="BM1181" s="87">
        <f>SUMIFS($AU$1035:AU1278,$AQ$1035:AQ1278,"M")</f>
        <v>-899.79999999984489</v>
      </c>
      <c r="BN1181" s="87">
        <f>SUMIFS($AU$1035:AU1278,$AQ$1035:AQ1278,"H")</f>
        <v>1583.9999999998265</v>
      </c>
      <c r="BO1181" s="87">
        <f>SUMIFS($AU$1035:AU1278,$AQ$1035:AQ1278,"D")</f>
        <v>-479.9999999999896</v>
      </c>
      <c r="BP1181" s="87">
        <f>SUMIFS($AS$1035:AS1366,$AO$1035:AO1366,"W")</f>
        <v>0</v>
      </c>
      <c r="BQ1181" s="87">
        <f>SUMIFS($AU$1035:AU1278,$Q$1035:Q1278,"O")</f>
        <v>-1079.7999999999552</v>
      </c>
      <c r="BR1181" s="87">
        <f>SUMIFS($AU$1035:AU1278,$AA$1035:AA1278,"*")</f>
        <v>-499.79999999992333</v>
      </c>
      <c r="BS1181" s="87">
        <f>SUMIFS($AU$1035:AU1278,$AB$1035:AB1278,"*")</f>
        <v>-724.00000000009095</v>
      </c>
      <c r="BT1181" s="87">
        <f>SUMIFS($AU$1035:AU1278,$AC$1035:AC1278,"*")</f>
        <v>112.00000000000097</v>
      </c>
      <c r="BU1181" s="87">
        <f>SUMIFS($AU$1035:AU1278,$AA$1035:AA1278,"*",$AB$1035:AB1278,"*")</f>
        <v>47.999999999934744</v>
      </c>
      <c r="BV1181" s="87">
        <f>SUMIFS($AU$1035:AU1278,$AA$1035:AA1278,"*",$AC$1035:AC1278,"*")</f>
        <v>-335.99999999999977</v>
      </c>
      <c r="BW1181" s="87">
        <f>SUMIFS($AU$1035:AU1278,$AB$1035:AB1278,"*",$AC$1035:AC1278,"*")</f>
        <v>-143.99999999999966</v>
      </c>
      <c r="BX1181" s="87">
        <f>SUMIFS($AV$1035:AV1278,$Q$1035:Q1278,"F")</f>
        <v>34.153846153846246</v>
      </c>
      <c r="BY1181" s="87">
        <f>SUMIFS($AV$1035:AV1278,$Q$1035:Q1278,"S")</f>
        <v>20.914285714286223</v>
      </c>
      <c r="BZ1181" s="87">
        <f>SUMIFS($AV$1035:AV1278,$Q$1035:Q1278,"O")</f>
        <v>-445.13333333327751</v>
      </c>
    </row>
    <row r="1182" spans="1:78" ht="15.75" customHeight="1">
      <c r="A1182" s="45" t="s">
        <v>3357</v>
      </c>
      <c r="B1182" s="59">
        <v>45580</v>
      </c>
      <c r="C1182" s="46" t="s">
        <v>2847</v>
      </c>
      <c r="D1182" s="46" t="s">
        <v>98</v>
      </c>
      <c r="E1182" s="66"/>
      <c r="F1182" s="47"/>
      <c r="G1182" s="104" t="s">
        <v>2672</v>
      </c>
      <c r="H1182" s="49"/>
      <c r="I1182" s="49"/>
      <c r="J1182" s="49"/>
      <c r="K1182" s="50"/>
      <c r="L1182" s="49"/>
      <c r="M1182" s="49"/>
      <c r="N1182" s="49"/>
      <c r="O1182" s="50" t="s">
        <v>100</v>
      </c>
      <c r="P1182" s="50" t="s">
        <v>101</v>
      </c>
      <c r="Q1182" s="50" t="s">
        <v>198</v>
      </c>
      <c r="R1182" s="50">
        <v>7</v>
      </c>
      <c r="S1182" s="50">
        <v>0</v>
      </c>
      <c r="T1182" s="50">
        <v>7</v>
      </c>
      <c r="U1182" s="50" t="s">
        <v>102</v>
      </c>
      <c r="V1182" s="50" t="s">
        <v>2898</v>
      </c>
      <c r="W1182" s="50" t="s">
        <v>20</v>
      </c>
      <c r="X1182" s="50"/>
      <c r="Y1182" s="51">
        <f t="shared" ref="Y1182:Y1184" si="564">IF(ISBLANK(O1182),"",(IF(O1182=UPPER("IB"),0.005,0.01)))</f>
        <v>0.01</v>
      </c>
      <c r="Z1182" s="52">
        <f t="shared" ref="Z1182:Z1184" si="565">IF(ISBLANK(O1182),"",IF(O1182="IB",8.63*200,IF(O1182="IR",16*100,IF(O1182="YT",20*100,IF(O1182="YT-XT",24*200,IF(O1182="TED",80*100,IF(O1182="XT",29*200)))))))</f>
        <v>1600</v>
      </c>
      <c r="AA1182" s="52"/>
      <c r="AB1182" s="52" t="s">
        <v>3453</v>
      </c>
      <c r="AC1182" s="52"/>
      <c r="AD1182" s="231">
        <v>95.69</v>
      </c>
      <c r="AE1182" s="49"/>
      <c r="AF1182" s="84"/>
      <c r="AG1182" s="49"/>
      <c r="AH1182" s="49"/>
      <c r="AI1182" s="49"/>
      <c r="AJ1182" s="226"/>
      <c r="AK1182" s="49"/>
      <c r="AL1182" s="113">
        <f t="shared" ref="AL1182:AL1206" si="566">-0.02*Z1182</f>
        <v>-32</v>
      </c>
      <c r="AM1182" s="113">
        <f t="shared" ref="AM1182:AM1206" si="567">AL1182*(R1182-S1182)</f>
        <v>-224</v>
      </c>
      <c r="AN1182" s="218"/>
      <c r="AO1182" s="49"/>
      <c r="AP1182" s="49"/>
      <c r="AQ1182" s="84" t="s">
        <v>142</v>
      </c>
      <c r="AR1182" s="49" t="s">
        <v>3454</v>
      </c>
      <c r="AS1182" s="55">
        <v>95.68</v>
      </c>
      <c r="AT1182" s="55">
        <f t="shared" ref="AT1182:AT1206" si="568">IF(ISBLANK(AS1182),,IF(U1182="S",AD1182-AS1182,AS1182-AD1182))</f>
        <v>9.9999999999909051E-3</v>
      </c>
      <c r="AU1182" s="54">
        <f t="shared" ref="AU1182:AU1206" si="569">AV1182*R1182</f>
        <v>111.99999999989814</v>
      </c>
      <c r="AV1182" s="56">
        <f t="shared" ref="AV1182:AV1206" si="570">IF(ISBLANK(AS1182),,(AT1182*Z1182))</f>
        <v>15.999999999985448</v>
      </c>
      <c r="AW1182" s="57" t="s">
        <v>101</v>
      </c>
      <c r="AX1182" s="153"/>
      <c r="AY1182" s="153"/>
      <c r="AZ1182" s="153"/>
      <c r="BA1182" s="153"/>
      <c r="BB1182" s="153"/>
      <c r="BC1182" s="153"/>
      <c r="BD1182" s="151"/>
      <c r="BE1182" s="152"/>
      <c r="BF1182" s="151"/>
      <c r="BG1182" s="94">
        <f>SUM($AV$1035:AV1182)</f>
        <v>-422.06520146514509</v>
      </c>
      <c r="BH1182" s="95">
        <f>SUM($AU$1035:AU1182)</f>
        <v>-1383.7999999999493</v>
      </c>
      <c r="BI1182" s="80">
        <f>SUMIFS($AU$1035:AU1270,$Q$1035:Q1270,"F")</f>
        <v>112.00000000000057</v>
      </c>
      <c r="BJ1182" s="80">
        <f>SUMIFS($AU$1035:AU1270,$Q$1035:Q1270,"S")</f>
        <v>-15.999999999994088</v>
      </c>
      <c r="BK1182" s="87">
        <f>SUMIFS($AU$1035:AU1270,$P$1035:P1270,"W")</f>
        <v>-960.00000000003297</v>
      </c>
      <c r="BL1182" s="87">
        <f>SUMIFS($AU$1035:AU1270,$P$1035:P1270,"R")</f>
        <v>1024.0000000000007</v>
      </c>
      <c r="BM1182" s="87">
        <f>SUMIFS($AU$1035:AU1270,$AQ$1035:AQ1270,"M")</f>
        <v>-899.79999999984489</v>
      </c>
      <c r="BN1182" s="87">
        <f>SUMIFS($AU$1035:AU1270,$AQ$1035:AQ1270,"H")</f>
        <v>1583.9999999998265</v>
      </c>
      <c r="BO1182" s="87">
        <f>SUMIFS($AU$1035:AU1270,$AQ$1035:AQ1270,"D")</f>
        <v>-479.9999999999896</v>
      </c>
      <c r="BP1182" s="87">
        <f>SUMIFS($AS$1035:AS1358,$AO$1035:AO1358,"W")</f>
        <v>0</v>
      </c>
      <c r="BQ1182" s="87">
        <f>SUMIFS($AU$1035:AU1270,$Q$1035:Q1270,"O")</f>
        <v>-1079.7999999999552</v>
      </c>
      <c r="BR1182" s="87">
        <f>SUMIFS($AU$1035:AU1270,$AA$1035:AA1270,"*")</f>
        <v>-499.79999999992333</v>
      </c>
      <c r="BS1182" s="87">
        <f>SUMIFS($AU$1035:AU1270,$AB$1035:AB1270,"*")</f>
        <v>-724.00000000009095</v>
      </c>
      <c r="BT1182" s="87">
        <f>SUMIFS($AU$1035:AU1270,$AC$1035:AC1270,"*")</f>
        <v>112.00000000000097</v>
      </c>
      <c r="BU1182" s="87">
        <f>SUMIFS($AU$1035:AU1270,$AA$1035:AA1270,"*",$AB$1035:AB1270,"*")</f>
        <v>47.999999999934744</v>
      </c>
      <c r="BV1182" s="87">
        <f>SUMIFS($AU$1035:AU1270,$AA$1035:AA1270,"*",$AC$1035:AC1270,"*")</f>
        <v>-335.99999999999977</v>
      </c>
      <c r="BW1182" s="87">
        <f>SUMIFS($AU$1035:AU1270,$AB$1035:AB1270,"*",$AC$1035:AC1270,"*")</f>
        <v>-143.99999999999966</v>
      </c>
      <c r="BX1182" s="87">
        <f>SUMIFS($AV$1035:AV1270,$Q$1035:Q1270,"F")</f>
        <v>34.153846153846246</v>
      </c>
      <c r="BY1182" s="87">
        <f>SUMIFS($AV$1035:AV1270,$Q$1035:Q1270,"S")</f>
        <v>20.914285714286223</v>
      </c>
      <c r="BZ1182" s="87">
        <f>SUMIFS($AV$1035:AV1270,$Q$1035:Q1270,"O")</f>
        <v>-445.13333333327751</v>
      </c>
    </row>
    <row r="1183" spans="1:78" ht="15.75" customHeight="1">
      <c r="A1183" s="45" t="s">
        <v>3357</v>
      </c>
      <c r="B1183" s="59">
        <v>45580</v>
      </c>
      <c r="C1183" s="46" t="s">
        <v>2847</v>
      </c>
      <c r="D1183" s="46" t="s">
        <v>98</v>
      </c>
      <c r="E1183" s="66"/>
      <c r="F1183" s="47"/>
      <c r="G1183" s="104" t="s">
        <v>3455</v>
      </c>
      <c r="H1183" s="49"/>
      <c r="I1183" s="49"/>
      <c r="J1183" s="49"/>
      <c r="K1183" s="50"/>
      <c r="L1183" s="49"/>
      <c r="M1183" s="49"/>
      <c r="N1183" s="49"/>
      <c r="O1183" s="50" t="s">
        <v>100</v>
      </c>
      <c r="P1183" s="50" t="s">
        <v>101</v>
      </c>
      <c r="Q1183" s="50" t="s">
        <v>102</v>
      </c>
      <c r="R1183" s="50">
        <v>9</v>
      </c>
      <c r="S1183" s="50">
        <v>0</v>
      </c>
      <c r="T1183" s="50">
        <v>9</v>
      </c>
      <c r="U1183" s="50" t="s">
        <v>22</v>
      </c>
      <c r="V1183" s="50" t="s">
        <v>2898</v>
      </c>
      <c r="W1183" s="50" t="s">
        <v>22</v>
      </c>
      <c r="X1183" s="50" t="s">
        <v>3035</v>
      </c>
      <c r="Y1183" s="51">
        <f t="shared" si="564"/>
        <v>0.01</v>
      </c>
      <c r="Z1183" s="52">
        <f t="shared" si="565"/>
        <v>1600</v>
      </c>
      <c r="AA1183" s="52" t="s">
        <v>1889</v>
      </c>
      <c r="AB1183" s="52"/>
      <c r="AC1183" s="52"/>
      <c r="AD1183" s="231">
        <v>-0.16</v>
      </c>
      <c r="AE1183" s="49"/>
      <c r="AF1183" s="84"/>
      <c r="AG1183" s="49"/>
      <c r="AH1183" s="49"/>
      <c r="AI1183" s="49"/>
      <c r="AJ1183" s="226"/>
      <c r="AK1183" s="49"/>
      <c r="AL1183" s="113">
        <f t="shared" si="566"/>
        <v>-32</v>
      </c>
      <c r="AM1183" s="113">
        <f t="shared" si="567"/>
        <v>-288</v>
      </c>
      <c r="AN1183" s="218"/>
      <c r="AO1183" s="49"/>
      <c r="AP1183" s="49"/>
      <c r="AQ1183" s="84" t="s">
        <v>142</v>
      </c>
      <c r="AR1183" s="49" t="s">
        <v>3456</v>
      </c>
      <c r="AS1183" s="55">
        <v>-0.15</v>
      </c>
      <c r="AT1183" s="55">
        <f t="shared" si="568"/>
        <v>1.0000000000000009E-2</v>
      </c>
      <c r="AU1183" s="54">
        <f t="shared" si="569"/>
        <v>144.00000000000011</v>
      </c>
      <c r="AV1183" s="56">
        <f t="shared" si="570"/>
        <v>16.000000000000014</v>
      </c>
      <c r="AW1183" s="57" t="s">
        <v>101</v>
      </c>
      <c r="AX1183" s="153"/>
      <c r="AY1183" s="153"/>
      <c r="AZ1183" s="153"/>
      <c r="BA1183" s="153"/>
      <c r="BB1183" s="153"/>
      <c r="BC1183" s="153"/>
      <c r="BD1183" s="151"/>
      <c r="BE1183" s="152"/>
      <c r="BF1183" s="151"/>
      <c r="BG1183" s="94">
        <f>SUM($AV$1035:AV1183)</f>
        <v>-406.06520146514509</v>
      </c>
      <c r="BH1183" s="95">
        <f>SUM($AU$1035:AU1183)</f>
        <v>-1239.7999999999493</v>
      </c>
      <c r="BI1183" s="80">
        <f>SUMIFS($AU$1035:AU1271,$Q$1035:Q1271,"F")</f>
        <v>112.00000000000057</v>
      </c>
      <c r="BJ1183" s="80">
        <f>SUMIFS($AU$1035:AU1271,$Q$1035:Q1271,"S")</f>
        <v>-15.999999999994088</v>
      </c>
      <c r="BK1183" s="87">
        <f>SUMIFS($AU$1035:AU1271,$P$1035:P1271,"W")</f>
        <v>-960.00000000003297</v>
      </c>
      <c r="BL1183" s="87">
        <f>SUMIFS($AU$1035:AU1271,$P$1035:P1271,"R")</f>
        <v>1024.0000000000007</v>
      </c>
      <c r="BM1183" s="87">
        <f>SUMIFS($AU$1035:AU1271,$AQ$1035:AQ1271,"M")</f>
        <v>-899.79999999984489</v>
      </c>
      <c r="BN1183" s="87">
        <f>SUMIFS($AU$1035:AU1271,$AQ$1035:AQ1271,"H")</f>
        <v>1583.9999999998265</v>
      </c>
      <c r="BO1183" s="87">
        <f>SUMIFS($AU$1035:AU1271,$AQ$1035:AQ1271,"D")</f>
        <v>-479.9999999999896</v>
      </c>
      <c r="BP1183" s="87">
        <f>SUMIFS($AS$1035:AS1359,$AO$1035:AO1359,"W")</f>
        <v>0</v>
      </c>
      <c r="BQ1183" s="87">
        <f>SUMIFS($AU$1035:AU1271,$Q$1035:Q1271,"O")</f>
        <v>-1079.7999999999552</v>
      </c>
      <c r="BR1183" s="87">
        <f>SUMIFS($AU$1035:AU1271,$AA$1035:AA1271,"*")</f>
        <v>-499.79999999992333</v>
      </c>
      <c r="BS1183" s="87">
        <f>SUMIFS($AU$1035:AU1271,$AB$1035:AB1271,"*")</f>
        <v>-724.00000000009095</v>
      </c>
      <c r="BT1183" s="87">
        <f>SUMIFS($AU$1035:AU1271,$AC$1035:AC1271,"*")</f>
        <v>112.00000000000097</v>
      </c>
      <c r="BU1183" s="87">
        <f>SUMIFS($AU$1035:AU1271,$AA$1035:AA1271,"*",$AB$1035:AB1271,"*")</f>
        <v>47.999999999934744</v>
      </c>
      <c r="BV1183" s="87">
        <f>SUMIFS($AU$1035:AU1271,$AA$1035:AA1271,"*",$AC$1035:AC1271,"*")</f>
        <v>-335.99999999999977</v>
      </c>
      <c r="BW1183" s="87">
        <f>SUMIFS($AU$1035:AU1271,$AB$1035:AB1271,"*",$AC$1035:AC1271,"*")</f>
        <v>-143.99999999999966</v>
      </c>
      <c r="BX1183" s="87">
        <f>SUMIFS($AV$1035:AV1271,$Q$1035:Q1271,"F")</f>
        <v>34.153846153846246</v>
      </c>
      <c r="BY1183" s="87">
        <f>SUMIFS($AV$1035:AV1271,$Q$1035:Q1271,"S")</f>
        <v>20.914285714286223</v>
      </c>
      <c r="BZ1183" s="87">
        <f>SUMIFS($AV$1035:AV1271,$Q$1035:Q1271,"O")</f>
        <v>-445.13333333327751</v>
      </c>
    </row>
    <row r="1184" spans="1:78" ht="15.75" customHeight="1">
      <c r="A1184" s="252" t="s">
        <v>3357</v>
      </c>
      <c r="B1184" s="59">
        <v>45581</v>
      </c>
      <c r="C1184" s="46" t="s">
        <v>2852</v>
      </c>
      <c r="D1184" s="46" t="s">
        <v>186</v>
      </c>
      <c r="E1184" s="66"/>
      <c r="F1184" s="47"/>
      <c r="G1184" s="104" t="s">
        <v>2672</v>
      </c>
      <c r="H1184" s="49"/>
      <c r="I1184" s="49"/>
      <c r="J1184" s="49"/>
      <c r="K1184" s="50"/>
      <c r="L1184" s="49"/>
      <c r="M1184" s="49"/>
      <c r="N1184" s="49"/>
      <c r="O1184" s="50" t="s">
        <v>100</v>
      </c>
      <c r="P1184" s="50" t="s">
        <v>101</v>
      </c>
      <c r="Q1184" s="50" t="s">
        <v>198</v>
      </c>
      <c r="R1184" s="50">
        <v>14</v>
      </c>
      <c r="S1184" s="50">
        <v>0</v>
      </c>
      <c r="T1184" s="50">
        <v>7</v>
      </c>
      <c r="U1184" s="50" t="s">
        <v>102</v>
      </c>
      <c r="V1184" s="50" t="s">
        <v>2898</v>
      </c>
      <c r="W1184" s="50" t="s">
        <v>20</v>
      </c>
      <c r="X1184" s="50"/>
      <c r="Y1184" s="51">
        <f t="shared" si="564"/>
        <v>0.01</v>
      </c>
      <c r="Z1184" s="52">
        <f t="shared" si="565"/>
        <v>1600</v>
      </c>
      <c r="AA1184" s="52" t="s">
        <v>289</v>
      </c>
      <c r="AB1184" s="52" t="s">
        <v>3453</v>
      </c>
      <c r="AC1184" s="52"/>
      <c r="AD1184" s="231">
        <v>95.71</v>
      </c>
      <c r="AE1184" s="49"/>
      <c r="AF1184" s="84"/>
      <c r="AG1184" s="49"/>
      <c r="AH1184" s="49"/>
      <c r="AI1184" s="49"/>
      <c r="AJ1184" s="226"/>
      <c r="AK1184" s="49"/>
      <c r="AL1184" s="113">
        <f t="shared" si="566"/>
        <v>-32</v>
      </c>
      <c r="AM1184" s="113">
        <f t="shared" si="567"/>
        <v>-448</v>
      </c>
      <c r="AN1184" s="218"/>
      <c r="AO1184" s="49"/>
      <c r="AP1184" s="49"/>
      <c r="AQ1184" s="84" t="s">
        <v>142</v>
      </c>
      <c r="AR1184" s="49"/>
      <c r="AS1184" s="55">
        <v>95.71</v>
      </c>
      <c r="AT1184" s="55">
        <f t="shared" si="568"/>
        <v>0</v>
      </c>
      <c r="AU1184" s="54">
        <f t="shared" si="569"/>
        <v>0</v>
      </c>
      <c r="AV1184" s="56">
        <f t="shared" si="570"/>
        <v>0</v>
      </c>
      <c r="AW1184" s="57" t="s">
        <v>155</v>
      </c>
      <c r="AX1184" s="153"/>
      <c r="AY1184" s="153"/>
      <c r="AZ1184" s="153"/>
      <c r="BA1184" s="153"/>
      <c r="BB1184" s="153"/>
      <c r="BC1184" s="153"/>
      <c r="BD1184" s="151"/>
      <c r="BE1184" s="152"/>
      <c r="BF1184" s="151"/>
      <c r="BG1184" s="94">
        <f>SUM($AV$1035:AV1184)</f>
        <v>-406.06520146514509</v>
      </c>
      <c r="BH1184" s="95">
        <f>SUM($AU$1035:AU1184)</f>
        <v>-1239.7999999999493</v>
      </c>
      <c r="BI1184" s="80">
        <f>SUMIFS($AU$1035:AU1272,$Q$1035:Q1272,"F")</f>
        <v>112.00000000000057</v>
      </c>
      <c r="BJ1184" s="80">
        <f>SUMIFS($AU$1035:AU1272,$Q$1035:Q1272,"S")</f>
        <v>-15.999999999994088</v>
      </c>
      <c r="BK1184" s="87">
        <f>SUMIFS($AU$1035:AU1272,$P$1035:P1272,"W")</f>
        <v>-960.00000000003297</v>
      </c>
      <c r="BL1184" s="87">
        <f>SUMIFS($AU$1035:AU1272,$P$1035:P1272,"R")</f>
        <v>1024.0000000000007</v>
      </c>
      <c r="BM1184" s="87">
        <f>SUMIFS($AU$1035:AU1272,$AQ$1035:AQ1272,"M")</f>
        <v>-899.79999999984489</v>
      </c>
      <c r="BN1184" s="87">
        <f>SUMIFS($AU$1035:AU1272,$AQ$1035:AQ1272,"H")</f>
        <v>1583.9999999998265</v>
      </c>
      <c r="BO1184" s="87">
        <f>SUMIFS($AU$1035:AU1272,$AQ$1035:AQ1272,"D")</f>
        <v>-479.9999999999896</v>
      </c>
      <c r="BP1184" s="87">
        <f>SUMIFS($AS$1035:AS1360,$AO$1035:AO1360,"W")</f>
        <v>0</v>
      </c>
      <c r="BQ1184" s="87">
        <f>SUMIFS($AU$1035:AU1272,$Q$1035:Q1272,"O")</f>
        <v>-1079.7999999999552</v>
      </c>
      <c r="BR1184" s="87">
        <f>SUMIFS($AU$1035:AU1272,$AA$1035:AA1272,"*")</f>
        <v>-499.79999999992333</v>
      </c>
      <c r="BS1184" s="87">
        <f>SUMIFS($AU$1035:AU1272,$AB$1035:AB1272,"*")</f>
        <v>-724.00000000009095</v>
      </c>
      <c r="BT1184" s="87">
        <f>SUMIFS($AU$1035:AU1272,$AC$1035:AC1272,"*")</f>
        <v>112.00000000000097</v>
      </c>
      <c r="BU1184" s="87">
        <f>SUMIFS($AU$1035:AU1272,$AA$1035:AA1272,"*",$AB$1035:AB1272,"*")</f>
        <v>47.999999999934744</v>
      </c>
      <c r="BV1184" s="87">
        <f>SUMIFS($AU$1035:AU1272,$AA$1035:AA1272,"*",$AC$1035:AC1272,"*")</f>
        <v>-335.99999999999977</v>
      </c>
      <c r="BW1184" s="87">
        <f>SUMIFS($AU$1035:AU1272,$AB$1035:AB1272,"*",$AC$1035:AC1272,"*")</f>
        <v>-143.99999999999966</v>
      </c>
      <c r="BX1184" s="87">
        <f>SUMIFS($AV$1035:AV1272,$Q$1035:Q1272,"F")</f>
        <v>34.153846153846246</v>
      </c>
      <c r="BY1184" s="87">
        <f>SUMIFS($AV$1035:AV1272,$Q$1035:Q1272,"S")</f>
        <v>20.914285714286223</v>
      </c>
      <c r="BZ1184" s="87">
        <f>SUMIFS($AV$1035:AV1272,$Q$1035:Q1272,"O")</f>
        <v>-445.13333333327751</v>
      </c>
    </row>
    <row r="1185" spans="1:78" ht="15.75" customHeight="1">
      <c r="A1185" s="252" t="s">
        <v>3357</v>
      </c>
      <c r="B1185" s="59">
        <v>45582</v>
      </c>
      <c r="C1185" s="46" t="s">
        <v>2847</v>
      </c>
      <c r="D1185" s="46" t="s">
        <v>107</v>
      </c>
      <c r="E1185" s="66" t="s">
        <v>3457</v>
      </c>
      <c r="F1185" s="47" t="s">
        <v>3458</v>
      </c>
      <c r="G1185" s="48"/>
      <c r="H1185" s="49">
        <v>1</v>
      </c>
      <c r="I1185" s="49"/>
      <c r="J1185" s="49"/>
      <c r="K1185" s="50" t="s">
        <v>142</v>
      </c>
      <c r="L1185" s="49"/>
      <c r="M1185" s="49"/>
      <c r="N1185" s="49"/>
      <c r="O1185" s="50"/>
      <c r="P1185" s="50"/>
      <c r="Q1185" s="50"/>
      <c r="R1185" s="50"/>
      <c r="S1185" s="50"/>
      <c r="T1185" s="50"/>
      <c r="U1185" s="50"/>
      <c r="V1185" s="50"/>
      <c r="W1185" s="50"/>
      <c r="X1185" s="50"/>
      <c r="Y1185" s="51"/>
      <c r="Z1185" s="52"/>
      <c r="AA1185" s="52"/>
      <c r="AB1185" s="52"/>
      <c r="AC1185" s="52"/>
      <c r="AD1185" s="231"/>
      <c r="AE1185" s="49"/>
      <c r="AF1185" s="84"/>
      <c r="AG1185" s="49"/>
      <c r="AH1185" s="49"/>
      <c r="AI1185" s="49"/>
      <c r="AJ1185" s="226"/>
      <c r="AK1185" s="49"/>
      <c r="AL1185" s="113">
        <f t="shared" si="566"/>
        <v>0</v>
      </c>
      <c r="AM1185" s="113">
        <f t="shared" si="567"/>
        <v>0</v>
      </c>
      <c r="AN1185" s="218"/>
      <c r="AO1185" s="49"/>
      <c r="AP1185" s="49"/>
      <c r="AQ1185" s="84" t="str">
        <f>UPPER(RIGHT(Journal_Live[[#This Row],[DURATION ]]))</f>
        <v/>
      </c>
      <c r="AR1185" s="49"/>
      <c r="AS1185" s="55"/>
      <c r="AT1185" s="55">
        <f t="shared" si="568"/>
        <v>0</v>
      </c>
      <c r="AU1185" s="54">
        <f t="shared" si="569"/>
        <v>0</v>
      </c>
      <c r="AV1185" s="56">
        <f t="shared" si="570"/>
        <v>0</v>
      </c>
      <c r="AW1185" s="57"/>
      <c r="AX1185" s="153"/>
      <c r="AY1185" s="153"/>
      <c r="AZ1185" s="153"/>
      <c r="BA1185" s="153"/>
      <c r="BB1185" s="153"/>
      <c r="BC1185" s="153"/>
      <c r="BD1185" s="151"/>
      <c r="BE1185" s="152"/>
      <c r="BF1185" s="151"/>
      <c r="BG1185" s="94">
        <f>SUM($AV$1035:AV1185)</f>
        <v>-406.06520146514509</v>
      </c>
      <c r="BH1185" s="95">
        <f>SUM($AU$1035:AU1185)</f>
        <v>-1239.7999999999493</v>
      </c>
      <c r="BI1185" s="80">
        <f>SUMIFS($AU$1035:AU1273,$Q$1035:Q1273,"F")</f>
        <v>112.00000000000057</v>
      </c>
      <c r="BJ1185" s="80">
        <f>SUMIFS($AU$1035:AU1273,$Q$1035:Q1273,"S")</f>
        <v>-15.999999999994088</v>
      </c>
      <c r="BK1185" s="87">
        <f>SUMIFS($AU$1035:AU1273,$P$1035:P1273,"W")</f>
        <v>-960.00000000003297</v>
      </c>
      <c r="BL1185" s="87">
        <f>SUMIFS($AU$1035:AU1273,$P$1035:P1273,"R")</f>
        <v>1024.0000000000007</v>
      </c>
      <c r="BM1185" s="87">
        <f>SUMIFS($AU$1035:AU1273,$AQ$1035:AQ1273,"M")</f>
        <v>-899.79999999984489</v>
      </c>
      <c r="BN1185" s="87">
        <f>SUMIFS($AU$1035:AU1273,$AQ$1035:AQ1273,"H")</f>
        <v>1583.9999999998265</v>
      </c>
      <c r="BO1185" s="87">
        <f>SUMIFS($AU$1035:AU1273,$AQ$1035:AQ1273,"D")</f>
        <v>-479.9999999999896</v>
      </c>
      <c r="BP1185" s="87">
        <f>SUMIFS($AS$1035:AS1361,$AO$1035:AO1361,"W")</f>
        <v>0</v>
      </c>
      <c r="BQ1185" s="87">
        <f>SUMIFS($AU$1035:AU1273,$Q$1035:Q1273,"O")</f>
        <v>-1079.7999999999552</v>
      </c>
      <c r="BR1185" s="87">
        <f>SUMIFS($AU$1035:AU1273,$AA$1035:AA1273,"*")</f>
        <v>-499.79999999992333</v>
      </c>
      <c r="BS1185" s="87">
        <f>SUMIFS($AU$1035:AU1273,$AB$1035:AB1273,"*")</f>
        <v>-724.00000000009095</v>
      </c>
      <c r="BT1185" s="87">
        <f>SUMIFS($AU$1035:AU1273,$AC$1035:AC1273,"*")</f>
        <v>112.00000000000097</v>
      </c>
      <c r="BU1185" s="87">
        <f>SUMIFS($AU$1035:AU1273,$AA$1035:AA1273,"*",$AB$1035:AB1273,"*")</f>
        <v>47.999999999934744</v>
      </c>
      <c r="BV1185" s="87">
        <f>SUMIFS($AU$1035:AU1273,$AA$1035:AA1273,"*",$AC$1035:AC1273,"*")</f>
        <v>-335.99999999999977</v>
      </c>
      <c r="BW1185" s="87">
        <f>SUMIFS($AU$1035:AU1273,$AB$1035:AB1273,"*",$AC$1035:AC1273,"*")</f>
        <v>-143.99999999999966</v>
      </c>
      <c r="BX1185" s="87">
        <f>SUMIFS($AV$1035:AV1273,$Q$1035:Q1273,"F")</f>
        <v>34.153846153846246</v>
      </c>
      <c r="BY1185" s="87">
        <f>SUMIFS($AV$1035:AV1273,$Q$1035:Q1273,"S")</f>
        <v>20.914285714286223</v>
      </c>
      <c r="BZ1185" s="87">
        <f>SUMIFS($AV$1035:AV1273,$Q$1035:Q1273,"O")</f>
        <v>-445.13333333327751</v>
      </c>
    </row>
    <row r="1186" spans="1:78" ht="15.75" customHeight="1">
      <c r="A1186" s="252" t="s">
        <v>3357</v>
      </c>
      <c r="B1186" s="59"/>
      <c r="C1186" s="46"/>
      <c r="D1186" s="46"/>
      <c r="E1186" s="66" t="s">
        <v>3459</v>
      </c>
      <c r="F1186" s="47"/>
      <c r="G1186" s="48"/>
      <c r="H1186" s="49"/>
      <c r="I1186" s="49"/>
      <c r="J1186" s="49">
        <v>1</v>
      </c>
      <c r="K1186" s="50" t="s">
        <v>142</v>
      </c>
      <c r="L1186" s="49"/>
      <c r="M1186" s="49"/>
      <c r="N1186" s="49"/>
      <c r="O1186" s="50"/>
      <c r="P1186" s="50"/>
      <c r="Q1186" s="50"/>
      <c r="R1186" s="50"/>
      <c r="S1186" s="50"/>
      <c r="T1186" s="50"/>
      <c r="U1186" s="50"/>
      <c r="V1186" s="50"/>
      <c r="W1186" s="50"/>
      <c r="X1186" s="50"/>
      <c r="Y1186" s="51"/>
      <c r="Z1186" s="52"/>
      <c r="AA1186" s="52"/>
      <c r="AB1186" s="52"/>
      <c r="AC1186" s="52"/>
      <c r="AD1186" s="231"/>
      <c r="AE1186" s="49"/>
      <c r="AF1186" s="84"/>
      <c r="AG1186" s="49"/>
      <c r="AH1186" s="49"/>
      <c r="AI1186" s="49"/>
      <c r="AJ1186" s="226"/>
      <c r="AK1186" s="49"/>
      <c r="AL1186" s="113">
        <f t="shared" si="566"/>
        <v>0</v>
      </c>
      <c r="AM1186" s="113">
        <f t="shared" si="567"/>
        <v>0</v>
      </c>
      <c r="AN1186" s="218"/>
      <c r="AO1186" s="49"/>
      <c r="AP1186" s="49"/>
      <c r="AQ1186" s="84" t="str">
        <f>UPPER(RIGHT(Journal_Live[[#This Row],[DURATION ]]))</f>
        <v/>
      </c>
      <c r="AR1186" s="49"/>
      <c r="AS1186" s="55"/>
      <c r="AT1186" s="55">
        <f t="shared" si="568"/>
        <v>0</v>
      </c>
      <c r="AU1186" s="54">
        <f t="shared" si="569"/>
        <v>0</v>
      </c>
      <c r="AV1186" s="56">
        <f t="shared" si="570"/>
        <v>0</v>
      </c>
      <c r="AW1186" s="57"/>
      <c r="AX1186" s="153"/>
      <c r="AY1186" s="153"/>
      <c r="AZ1186" s="153"/>
      <c r="BA1186" s="153"/>
      <c r="BB1186" s="153"/>
      <c r="BC1186" s="153"/>
      <c r="BD1186" s="151"/>
      <c r="BE1186" s="152"/>
      <c r="BF1186" s="151"/>
      <c r="BG1186" s="94">
        <f>SUM($AV$1035:AV1186)</f>
        <v>-406.06520146514509</v>
      </c>
      <c r="BH1186" s="95">
        <f>SUM($AU$1035:AU1186)</f>
        <v>-1239.7999999999493</v>
      </c>
      <c r="BI1186" s="80">
        <f>SUMIFS($AU$1035:AU1274,$Q$1035:Q1274,"F")</f>
        <v>112.00000000000057</v>
      </c>
      <c r="BJ1186" s="80">
        <f>SUMIFS($AU$1035:AU1274,$Q$1035:Q1274,"S")</f>
        <v>-15.999999999994088</v>
      </c>
      <c r="BK1186" s="87">
        <f>SUMIFS($AU$1035:AU1274,$P$1035:P1274,"W")</f>
        <v>-960.00000000003297</v>
      </c>
      <c r="BL1186" s="87">
        <f>SUMIFS($AU$1035:AU1274,$P$1035:P1274,"R")</f>
        <v>1024.0000000000007</v>
      </c>
      <c r="BM1186" s="87">
        <f>SUMIFS($AU$1035:AU1274,$AQ$1035:AQ1274,"M")</f>
        <v>-899.79999999984489</v>
      </c>
      <c r="BN1186" s="87">
        <f>SUMIFS($AU$1035:AU1274,$AQ$1035:AQ1274,"H")</f>
        <v>1583.9999999998265</v>
      </c>
      <c r="BO1186" s="87">
        <f>SUMIFS($AU$1035:AU1274,$AQ$1035:AQ1274,"D")</f>
        <v>-479.9999999999896</v>
      </c>
      <c r="BP1186" s="87">
        <f>SUMIFS($AS$1035:AS1362,$AO$1035:AO1362,"W")</f>
        <v>0</v>
      </c>
      <c r="BQ1186" s="87">
        <f>SUMIFS($AU$1035:AU1274,$Q$1035:Q1274,"O")</f>
        <v>-1079.7999999999552</v>
      </c>
      <c r="BR1186" s="87">
        <f>SUMIFS($AU$1035:AU1274,$AA$1035:AA1274,"*")</f>
        <v>-499.79999999992333</v>
      </c>
      <c r="BS1186" s="87">
        <f>SUMIFS($AU$1035:AU1274,$AB$1035:AB1274,"*")</f>
        <v>-724.00000000009095</v>
      </c>
      <c r="BT1186" s="87">
        <f>SUMIFS($AU$1035:AU1274,$AC$1035:AC1274,"*")</f>
        <v>112.00000000000097</v>
      </c>
      <c r="BU1186" s="87">
        <f>SUMIFS($AU$1035:AU1274,$AA$1035:AA1274,"*",$AB$1035:AB1274,"*")</f>
        <v>47.999999999934744</v>
      </c>
      <c r="BV1186" s="87">
        <f>SUMIFS($AU$1035:AU1274,$AA$1035:AA1274,"*",$AC$1035:AC1274,"*")</f>
        <v>-335.99999999999977</v>
      </c>
      <c r="BW1186" s="87">
        <f>SUMIFS($AU$1035:AU1274,$AB$1035:AB1274,"*",$AC$1035:AC1274,"*")</f>
        <v>-143.99999999999966</v>
      </c>
      <c r="BX1186" s="87">
        <f>SUMIFS($AV$1035:AV1274,$Q$1035:Q1274,"F")</f>
        <v>34.153846153846246</v>
      </c>
      <c r="BY1186" s="87">
        <f>SUMIFS($AV$1035:AV1274,$Q$1035:Q1274,"S")</f>
        <v>20.914285714286223</v>
      </c>
      <c r="BZ1186" s="87">
        <f>SUMIFS($AV$1035:AV1274,$Q$1035:Q1274,"O")</f>
        <v>-445.13333333327751</v>
      </c>
    </row>
    <row r="1187" spans="1:78" ht="15.75" customHeight="1">
      <c r="A1187" s="252" t="s">
        <v>3357</v>
      </c>
      <c r="B1187" s="59">
        <v>45582</v>
      </c>
      <c r="C1187" s="46" t="s">
        <v>147</v>
      </c>
      <c r="D1187" s="46" t="s">
        <v>107</v>
      </c>
      <c r="E1187" s="66"/>
      <c r="F1187" s="47"/>
      <c r="G1187" s="104" t="s">
        <v>108</v>
      </c>
      <c r="H1187" s="49"/>
      <c r="I1187" s="49"/>
      <c r="J1187" s="49"/>
      <c r="K1187" s="50"/>
      <c r="L1187" s="49"/>
      <c r="M1187" s="49"/>
      <c r="N1187" s="49"/>
      <c r="O1187" s="50" t="s">
        <v>100</v>
      </c>
      <c r="P1187" s="50" t="s">
        <v>101</v>
      </c>
      <c r="Q1187" s="50" t="s">
        <v>127</v>
      </c>
      <c r="R1187" s="50">
        <v>16</v>
      </c>
      <c r="S1187" s="50">
        <v>0</v>
      </c>
      <c r="T1187" s="50">
        <v>16</v>
      </c>
      <c r="U1187" s="50" t="s">
        <v>102</v>
      </c>
      <c r="V1187" s="50" t="s">
        <v>2906</v>
      </c>
      <c r="W1187" s="50" t="s">
        <v>22</v>
      </c>
      <c r="X1187" s="50" t="s">
        <v>3125</v>
      </c>
      <c r="Y1187" s="51">
        <f t="shared" ref="Y1187:Y1192" si="571">IF(ISBLANK(O1187),"",(IF(O1187=UPPER("IB"),0.005,0.01)))</f>
        <v>0.01</v>
      </c>
      <c r="Z1187" s="52">
        <f t="shared" ref="Z1187:Z1192" si="572">IF(ISBLANK(O1187),"",IF(O1187="IB",8.63*200,IF(O1187="IR",16*100,IF(O1187="YT",20*100,IF(O1187="YT-XT",24*200,IF(O1187="TED",80*100,IF(O1187="XT",29*200)))))))</f>
        <v>1600</v>
      </c>
      <c r="AA1187" s="52" t="s">
        <v>289</v>
      </c>
      <c r="AB1187" s="52"/>
      <c r="AC1187" s="52" t="s">
        <v>1281</v>
      </c>
      <c r="AD1187" s="231">
        <v>-0.04</v>
      </c>
      <c r="AE1187" s="49"/>
      <c r="AF1187" s="84"/>
      <c r="AG1187" s="49"/>
      <c r="AH1187" s="49"/>
      <c r="AI1187" s="49"/>
      <c r="AJ1187" s="226"/>
      <c r="AK1187" s="49"/>
      <c r="AL1187" s="113">
        <f t="shared" si="566"/>
        <v>-32</v>
      </c>
      <c r="AM1187" s="113">
        <f t="shared" si="567"/>
        <v>-512</v>
      </c>
      <c r="AN1187" s="218"/>
      <c r="AO1187" s="49"/>
      <c r="AP1187" s="49"/>
      <c r="AQ1187" s="84" t="str">
        <f>UPPER(RIGHT(Journal_Live[[#This Row],[DURATION ]]))</f>
        <v/>
      </c>
      <c r="AR1187" s="49"/>
      <c r="AS1187" s="55"/>
      <c r="AT1187" s="55">
        <f t="shared" si="568"/>
        <v>0</v>
      </c>
      <c r="AU1187" s="54">
        <f t="shared" si="569"/>
        <v>0</v>
      </c>
      <c r="AV1187" s="56">
        <f t="shared" si="570"/>
        <v>0</v>
      </c>
      <c r="AW1187" s="57"/>
      <c r="AX1187" s="153"/>
      <c r="AY1187" s="153"/>
      <c r="AZ1187" s="153"/>
      <c r="BA1187" s="153"/>
      <c r="BB1187" s="153"/>
      <c r="BC1187" s="153"/>
      <c r="BD1187" s="151"/>
      <c r="BE1187" s="152"/>
      <c r="BF1187" s="151"/>
      <c r="BG1187" s="94">
        <f>SUM($AV$1035:AV1187)</f>
        <v>-406.06520146514509</v>
      </c>
      <c r="BH1187" s="95">
        <f>SUM($AU$1035:AU1187)</f>
        <v>-1239.7999999999493</v>
      </c>
      <c r="BI1187" s="80">
        <f>SUMIFS($AU$1035:AU1275,$Q$1035:Q1275,"F")</f>
        <v>112.00000000000057</v>
      </c>
      <c r="BJ1187" s="80">
        <f>SUMIFS($AU$1035:AU1275,$Q$1035:Q1275,"S")</f>
        <v>-15.999999999994088</v>
      </c>
      <c r="BK1187" s="87">
        <f>SUMIFS($AU$1035:AU1275,$P$1035:P1275,"W")</f>
        <v>-960.00000000003297</v>
      </c>
      <c r="BL1187" s="87">
        <f>SUMIFS($AU$1035:AU1275,$P$1035:P1275,"R")</f>
        <v>1024.0000000000007</v>
      </c>
      <c r="BM1187" s="87">
        <f>SUMIFS($AU$1035:AU1275,$AQ$1035:AQ1275,"M")</f>
        <v>-899.79999999984489</v>
      </c>
      <c r="BN1187" s="87">
        <f>SUMIFS($AU$1035:AU1275,$AQ$1035:AQ1275,"H")</f>
        <v>1583.9999999998265</v>
      </c>
      <c r="BO1187" s="87">
        <f>SUMIFS($AU$1035:AU1275,$AQ$1035:AQ1275,"D")</f>
        <v>-479.9999999999896</v>
      </c>
      <c r="BP1187" s="87">
        <f>SUMIFS($AS$1035:AS1363,$AO$1035:AO1363,"W")</f>
        <v>0</v>
      </c>
      <c r="BQ1187" s="87">
        <f>SUMIFS($AU$1035:AU1275,$Q$1035:Q1275,"O")</f>
        <v>-1079.7999999999552</v>
      </c>
      <c r="BR1187" s="87">
        <f>SUMIFS($AU$1035:AU1275,$AA$1035:AA1275,"*")</f>
        <v>-499.79999999992333</v>
      </c>
      <c r="BS1187" s="87">
        <f>SUMIFS($AU$1035:AU1275,$AB$1035:AB1275,"*")</f>
        <v>-724.00000000009095</v>
      </c>
      <c r="BT1187" s="87">
        <f>SUMIFS($AU$1035:AU1275,$AC$1035:AC1275,"*")</f>
        <v>112.00000000000097</v>
      </c>
      <c r="BU1187" s="87">
        <f>SUMIFS($AU$1035:AU1275,$AA$1035:AA1275,"*",$AB$1035:AB1275,"*")</f>
        <v>47.999999999934744</v>
      </c>
      <c r="BV1187" s="87">
        <f>SUMIFS($AU$1035:AU1275,$AA$1035:AA1275,"*",$AC$1035:AC1275,"*")</f>
        <v>-335.99999999999977</v>
      </c>
      <c r="BW1187" s="87">
        <f>SUMIFS($AU$1035:AU1275,$AB$1035:AB1275,"*",$AC$1035:AC1275,"*")</f>
        <v>-143.99999999999966</v>
      </c>
      <c r="BX1187" s="87">
        <f>SUMIFS($AV$1035:AV1275,$Q$1035:Q1275,"F")</f>
        <v>34.153846153846246</v>
      </c>
      <c r="BY1187" s="87">
        <f>SUMIFS($AV$1035:AV1275,$Q$1035:Q1275,"S")</f>
        <v>20.914285714286223</v>
      </c>
      <c r="BZ1187" s="87">
        <f>SUMIFS($AV$1035:AV1275,$Q$1035:Q1275,"O")</f>
        <v>-445.13333333327751</v>
      </c>
    </row>
    <row r="1188" spans="1:78" ht="15.75" customHeight="1">
      <c r="A1188" s="252" t="s">
        <v>3357</v>
      </c>
      <c r="B1188" s="59">
        <v>45582</v>
      </c>
      <c r="C1188" s="46" t="s">
        <v>147</v>
      </c>
      <c r="D1188" s="46" t="s">
        <v>107</v>
      </c>
      <c r="E1188" s="66"/>
      <c r="F1188" s="47"/>
      <c r="G1188" s="104" t="s">
        <v>295</v>
      </c>
      <c r="H1188" s="49"/>
      <c r="I1188" s="49"/>
      <c r="J1188" s="49"/>
      <c r="K1188" s="50"/>
      <c r="L1188" s="49"/>
      <c r="M1188" s="49"/>
      <c r="N1188" s="49"/>
      <c r="O1188" s="50" t="s">
        <v>100</v>
      </c>
      <c r="P1188" s="50" t="s">
        <v>101</v>
      </c>
      <c r="Q1188" s="50" t="s">
        <v>102</v>
      </c>
      <c r="R1188" s="50">
        <v>16</v>
      </c>
      <c r="S1188" s="50">
        <v>0</v>
      </c>
      <c r="T1188" s="50">
        <v>16</v>
      </c>
      <c r="U1188" s="50" t="s">
        <v>102</v>
      </c>
      <c r="V1188" s="50" t="s">
        <v>2898</v>
      </c>
      <c r="W1188" s="50" t="s">
        <v>20</v>
      </c>
      <c r="X1188" s="50" t="s">
        <v>3026</v>
      </c>
      <c r="Y1188" s="51">
        <f t="shared" si="571"/>
        <v>0.01</v>
      </c>
      <c r="Z1188" s="52">
        <f t="shared" si="572"/>
        <v>1600</v>
      </c>
      <c r="AA1188" s="52" t="s">
        <v>3460</v>
      </c>
      <c r="AB1188" s="52" t="s">
        <v>3461</v>
      </c>
      <c r="AC1188" s="52"/>
      <c r="AD1188" s="231">
        <v>-0.15</v>
      </c>
      <c r="AE1188" s="49"/>
      <c r="AF1188" s="84"/>
      <c r="AG1188" s="49"/>
      <c r="AH1188" s="49"/>
      <c r="AI1188" s="49"/>
      <c r="AJ1188" s="226"/>
      <c r="AK1188" s="49"/>
      <c r="AL1188" s="113">
        <f t="shared" si="566"/>
        <v>-32</v>
      </c>
      <c r="AM1188" s="113">
        <f t="shared" si="567"/>
        <v>-512</v>
      </c>
      <c r="AN1188" s="218"/>
      <c r="AO1188" s="49"/>
      <c r="AP1188" s="49"/>
      <c r="AQ1188" s="84" t="s">
        <v>142</v>
      </c>
      <c r="AR1188" s="49"/>
      <c r="AS1188" s="55">
        <v>-0.16</v>
      </c>
      <c r="AT1188" s="55">
        <f t="shared" si="568"/>
        <v>1.0000000000000009E-2</v>
      </c>
      <c r="AU1188" s="54">
        <f t="shared" si="569"/>
        <v>256.00000000000023</v>
      </c>
      <c r="AV1188" s="56">
        <f t="shared" si="570"/>
        <v>16.000000000000014</v>
      </c>
      <c r="AW1188" s="57" t="s">
        <v>101</v>
      </c>
      <c r="AX1188" s="153"/>
      <c r="AY1188" s="153"/>
      <c r="AZ1188" s="153"/>
      <c r="BA1188" s="153"/>
      <c r="BB1188" s="153"/>
      <c r="BC1188" s="153"/>
      <c r="BD1188" s="151"/>
      <c r="BE1188" s="152"/>
      <c r="BF1188" s="151"/>
      <c r="BG1188" s="94">
        <f>SUM($AV$1035:AV1188)</f>
        <v>-390.06520146514509</v>
      </c>
      <c r="BH1188" s="95">
        <f>SUM($AU$1035:AU1188)</f>
        <v>-983.79999999994902</v>
      </c>
      <c r="BI1188" s="80">
        <f>SUMIFS($AU$1035:AU1276,$Q$1035:Q1276,"F")</f>
        <v>112.00000000000057</v>
      </c>
      <c r="BJ1188" s="80">
        <f>SUMIFS($AU$1035:AU1276,$Q$1035:Q1276,"S")</f>
        <v>-15.999999999994088</v>
      </c>
      <c r="BK1188" s="87">
        <f>SUMIFS($AU$1035:AU1276,$P$1035:P1276,"W")</f>
        <v>-960.00000000003297</v>
      </c>
      <c r="BL1188" s="87">
        <f>SUMIFS($AU$1035:AU1276,$P$1035:P1276,"R")</f>
        <v>1024.0000000000007</v>
      </c>
      <c r="BM1188" s="87">
        <f>SUMIFS($AU$1035:AU1276,$AQ$1035:AQ1276,"M")</f>
        <v>-899.79999999984489</v>
      </c>
      <c r="BN1188" s="87">
        <f>SUMIFS($AU$1035:AU1276,$AQ$1035:AQ1276,"H")</f>
        <v>1583.9999999998265</v>
      </c>
      <c r="BO1188" s="87">
        <f>SUMIFS($AU$1035:AU1276,$AQ$1035:AQ1276,"D")</f>
        <v>-479.9999999999896</v>
      </c>
      <c r="BP1188" s="87">
        <f>SUMIFS($AS$1035:AS1364,$AO$1035:AO1364,"W")</f>
        <v>0</v>
      </c>
      <c r="BQ1188" s="87">
        <f>SUMIFS($AU$1035:AU1276,$Q$1035:Q1276,"O")</f>
        <v>-1079.7999999999552</v>
      </c>
      <c r="BR1188" s="87">
        <f>SUMIFS($AU$1035:AU1276,$AA$1035:AA1276,"*")</f>
        <v>-499.79999999992333</v>
      </c>
      <c r="BS1188" s="87">
        <f>SUMIFS($AU$1035:AU1276,$AB$1035:AB1276,"*")</f>
        <v>-724.00000000009095</v>
      </c>
      <c r="BT1188" s="87">
        <f>SUMIFS($AU$1035:AU1276,$AC$1035:AC1276,"*")</f>
        <v>112.00000000000097</v>
      </c>
      <c r="BU1188" s="87">
        <f>SUMIFS($AU$1035:AU1276,$AA$1035:AA1276,"*",$AB$1035:AB1276,"*")</f>
        <v>47.999999999934744</v>
      </c>
      <c r="BV1188" s="87">
        <f>SUMIFS($AU$1035:AU1276,$AA$1035:AA1276,"*",$AC$1035:AC1276,"*")</f>
        <v>-335.99999999999977</v>
      </c>
      <c r="BW1188" s="87">
        <f>SUMIFS($AU$1035:AU1276,$AB$1035:AB1276,"*",$AC$1035:AC1276,"*")</f>
        <v>-143.99999999999966</v>
      </c>
      <c r="BX1188" s="87">
        <f>SUMIFS($AV$1035:AV1276,$Q$1035:Q1276,"F")</f>
        <v>34.153846153846246</v>
      </c>
      <c r="BY1188" s="87">
        <f>SUMIFS($AV$1035:AV1276,$Q$1035:Q1276,"S")</f>
        <v>20.914285714286223</v>
      </c>
      <c r="BZ1188" s="87">
        <f>SUMIFS($AV$1035:AV1276,$Q$1035:Q1276,"O")</f>
        <v>-445.13333333327751</v>
      </c>
    </row>
    <row r="1189" spans="1:78" ht="15.75" customHeight="1">
      <c r="A1189" s="252" t="s">
        <v>3357</v>
      </c>
      <c r="B1189" s="59">
        <v>45582</v>
      </c>
      <c r="C1189" s="46" t="s">
        <v>147</v>
      </c>
      <c r="D1189" s="46" t="s">
        <v>107</v>
      </c>
      <c r="E1189" s="66"/>
      <c r="F1189" s="47"/>
      <c r="G1189" s="48" t="s">
        <v>2712</v>
      </c>
      <c r="H1189" s="49"/>
      <c r="I1189" s="49"/>
      <c r="J1189" s="49"/>
      <c r="K1189" s="50"/>
      <c r="L1189" s="49"/>
      <c r="M1189" s="49"/>
      <c r="N1189" s="49"/>
      <c r="O1189" s="50" t="s">
        <v>100</v>
      </c>
      <c r="P1189" s="50" t="s">
        <v>101</v>
      </c>
      <c r="Q1189" s="50" t="s">
        <v>102</v>
      </c>
      <c r="R1189" s="50">
        <v>16</v>
      </c>
      <c r="S1189" s="50">
        <v>0</v>
      </c>
      <c r="T1189" s="50">
        <v>16</v>
      </c>
      <c r="U1189" s="50" t="s">
        <v>102</v>
      </c>
      <c r="V1189" s="50" t="s">
        <v>2898</v>
      </c>
      <c r="W1189" s="50" t="s">
        <v>20</v>
      </c>
      <c r="X1189" s="50" t="s">
        <v>3002</v>
      </c>
      <c r="Y1189" s="51">
        <f t="shared" si="571"/>
        <v>0.01</v>
      </c>
      <c r="Z1189" s="52">
        <f t="shared" si="572"/>
        <v>1600</v>
      </c>
      <c r="AA1189" s="52" t="s">
        <v>3460</v>
      </c>
      <c r="AB1189" s="52" t="s">
        <v>3461</v>
      </c>
      <c r="AC1189" s="52"/>
      <c r="AD1189" s="231">
        <v>-0.26</v>
      </c>
      <c r="AE1189" s="49"/>
      <c r="AF1189" s="84"/>
      <c r="AG1189" s="49"/>
      <c r="AH1189" s="49"/>
      <c r="AI1189" s="49"/>
      <c r="AJ1189" s="226"/>
      <c r="AK1189" s="49"/>
      <c r="AL1189" s="113">
        <f t="shared" si="566"/>
        <v>-32</v>
      </c>
      <c r="AM1189" s="113">
        <f t="shared" si="567"/>
        <v>-512</v>
      </c>
      <c r="AN1189" s="218"/>
      <c r="AO1189" s="49"/>
      <c r="AP1189" s="49"/>
      <c r="AQ1189" s="84" t="s">
        <v>142</v>
      </c>
      <c r="AR1189" s="49"/>
      <c r="AS1189" s="55">
        <v>-0.26</v>
      </c>
      <c r="AT1189" s="55">
        <f t="shared" si="568"/>
        <v>0</v>
      </c>
      <c r="AU1189" s="54">
        <f t="shared" si="569"/>
        <v>0</v>
      </c>
      <c r="AV1189" s="56">
        <f t="shared" si="570"/>
        <v>0</v>
      </c>
      <c r="AW1189" s="57" t="s">
        <v>155</v>
      </c>
      <c r="AX1189" s="153" t="s">
        <v>3462</v>
      </c>
      <c r="AY1189" s="153" t="s">
        <v>3463</v>
      </c>
      <c r="AZ1189" s="153"/>
      <c r="BA1189" s="153"/>
      <c r="BB1189" s="153"/>
      <c r="BC1189" s="153"/>
      <c r="BD1189" s="151"/>
      <c r="BE1189" s="152"/>
      <c r="BF1189" s="151"/>
      <c r="BG1189" s="94">
        <f>SUM($AV$1035:AV1189)</f>
        <v>-390.06520146514509</v>
      </c>
      <c r="BH1189" s="95">
        <f>SUM($AU$1035:AU1189)</f>
        <v>-983.79999999994902</v>
      </c>
      <c r="BI1189" s="80">
        <f>SUMIFS($AU$1035:AU1277,$Q$1035:Q1277,"F")</f>
        <v>112.00000000000057</v>
      </c>
      <c r="BJ1189" s="80">
        <f>SUMIFS($AU$1035:AU1277,$Q$1035:Q1277,"S")</f>
        <v>-15.999999999994088</v>
      </c>
      <c r="BK1189" s="87">
        <f>SUMIFS($AU$1035:AU1277,$P$1035:P1277,"W")</f>
        <v>-960.00000000003297</v>
      </c>
      <c r="BL1189" s="87">
        <f>SUMIFS($AU$1035:AU1277,$P$1035:P1277,"R")</f>
        <v>1024.0000000000007</v>
      </c>
      <c r="BM1189" s="87">
        <f>SUMIFS($AU$1035:AU1277,$AQ$1035:AQ1277,"M")</f>
        <v>-899.79999999984489</v>
      </c>
      <c r="BN1189" s="87">
        <f>SUMIFS($AU$1035:AU1277,$AQ$1035:AQ1277,"H")</f>
        <v>1583.9999999998265</v>
      </c>
      <c r="BO1189" s="87">
        <f>SUMIFS($AU$1035:AU1277,$AQ$1035:AQ1277,"D")</f>
        <v>-479.9999999999896</v>
      </c>
      <c r="BP1189" s="87">
        <f>SUMIFS($AS$1035:AS1365,$AO$1035:AO1365,"W")</f>
        <v>0</v>
      </c>
      <c r="BQ1189" s="87">
        <f>SUMIFS($AU$1035:AU1277,$Q$1035:Q1277,"O")</f>
        <v>-1079.7999999999552</v>
      </c>
      <c r="BR1189" s="87">
        <f>SUMIFS($AU$1035:AU1277,$AA$1035:AA1277,"*")</f>
        <v>-499.79999999992333</v>
      </c>
      <c r="BS1189" s="87">
        <f>SUMIFS($AU$1035:AU1277,$AB$1035:AB1277,"*")</f>
        <v>-724.00000000009095</v>
      </c>
      <c r="BT1189" s="87">
        <f>SUMIFS($AU$1035:AU1277,$AC$1035:AC1277,"*")</f>
        <v>112.00000000000097</v>
      </c>
      <c r="BU1189" s="87">
        <f>SUMIFS($AU$1035:AU1277,$AA$1035:AA1277,"*",$AB$1035:AB1277,"*")</f>
        <v>47.999999999934744</v>
      </c>
      <c r="BV1189" s="87">
        <f>SUMIFS($AU$1035:AU1277,$AA$1035:AA1277,"*",$AC$1035:AC1277,"*")</f>
        <v>-335.99999999999977</v>
      </c>
      <c r="BW1189" s="87">
        <f>SUMIFS($AU$1035:AU1277,$AB$1035:AB1277,"*",$AC$1035:AC1277,"*")</f>
        <v>-143.99999999999966</v>
      </c>
      <c r="BX1189" s="87">
        <f>SUMIFS($AV$1035:AV1277,$Q$1035:Q1277,"F")</f>
        <v>34.153846153846246</v>
      </c>
      <c r="BY1189" s="87">
        <f>SUMIFS($AV$1035:AV1277,$Q$1035:Q1277,"S")</f>
        <v>20.914285714286223</v>
      </c>
      <c r="BZ1189" s="87">
        <f>SUMIFS($AV$1035:AV1277,$Q$1035:Q1277,"O")</f>
        <v>-445.13333333327751</v>
      </c>
    </row>
    <row r="1190" spans="1:78" ht="15.75" customHeight="1">
      <c r="A1190" s="252" t="s">
        <v>3357</v>
      </c>
      <c r="B1190" s="59">
        <v>45582</v>
      </c>
      <c r="C1190" s="46" t="s">
        <v>147</v>
      </c>
      <c r="D1190" s="46" t="s">
        <v>107</v>
      </c>
      <c r="E1190" s="66"/>
      <c r="F1190" s="47"/>
      <c r="G1190" s="104" t="s">
        <v>2596</v>
      </c>
      <c r="H1190" s="49"/>
      <c r="I1190" s="49"/>
      <c r="J1190" s="49"/>
      <c r="K1190" s="50"/>
      <c r="L1190" s="49"/>
      <c r="M1190" s="49"/>
      <c r="N1190" s="49"/>
      <c r="O1190" s="50" t="s">
        <v>100</v>
      </c>
      <c r="P1190" s="50" t="s">
        <v>126</v>
      </c>
      <c r="Q1190" s="50" t="s">
        <v>102</v>
      </c>
      <c r="R1190" s="50">
        <v>32</v>
      </c>
      <c r="S1190" s="50">
        <v>0</v>
      </c>
      <c r="T1190" s="50">
        <v>32</v>
      </c>
      <c r="U1190" s="50" t="s">
        <v>22</v>
      </c>
      <c r="V1190" s="50" t="s">
        <v>2906</v>
      </c>
      <c r="W1190" s="50" t="s">
        <v>20</v>
      </c>
      <c r="X1190" s="50" t="s">
        <v>3026</v>
      </c>
      <c r="Y1190" s="51">
        <f t="shared" si="571"/>
        <v>0.01</v>
      </c>
      <c r="Z1190" s="52">
        <f t="shared" si="572"/>
        <v>1600</v>
      </c>
      <c r="AA1190" s="52" t="s">
        <v>1889</v>
      </c>
      <c r="AB1190" s="52"/>
      <c r="AC1190" s="52" t="s">
        <v>2976</v>
      </c>
      <c r="AD1190" s="231">
        <v>0.01</v>
      </c>
      <c r="AE1190" s="49"/>
      <c r="AF1190" s="84"/>
      <c r="AG1190" s="49"/>
      <c r="AH1190" s="49"/>
      <c r="AI1190" s="49"/>
      <c r="AJ1190" s="226"/>
      <c r="AK1190" s="49"/>
      <c r="AL1190" s="113">
        <f t="shared" si="566"/>
        <v>-32</v>
      </c>
      <c r="AM1190" s="113">
        <f t="shared" si="567"/>
        <v>-1024</v>
      </c>
      <c r="AN1190" s="218"/>
      <c r="AO1190" s="49"/>
      <c r="AP1190" s="49"/>
      <c r="AQ1190" s="84" t="str">
        <f>UPPER(RIGHT(Journal_Live[[#This Row],[DURATION ]]))</f>
        <v/>
      </c>
      <c r="AR1190" s="49"/>
      <c r="AS1190" s="55"/>
      <c r="AT1190" s="55">
        <f t="shared" si="568"/>
        <v>0</v>
      </c>
      <c r="AU1190" s="54">
        <f t="shared" si="569"/>
        <v>0</v>
      </c>
      <c r="AV1190" s="56">
        <f t="shared" si="570"/>
        <v>0</v>
      </c>
      <c r="AW1190" s="57"/>
      <c r="AX1190" s="153"/>
      <c r="AY1190" s="153"/>
      <c r="AZ1190" s="153"/>
      <c r="BA1190" s="153"/>
      <c r="BB1190" s="153"/>
      <c r="BC1190" s="153"/>
      <c r="BD1190" s="151"/>
      <c r="BE1190" s="152"/>
      <c r="BF1190" s="151"/>
      <c r="BG1190" s="94">
        <f>SUM($AV$1035:AV1190)</f>
        <v>-390.06520146514509</v>
      </c>
      <c r="BH1190" s="95">
        <f>SUM($AU$1035:AU1190)</f>
        <v>-983.79999999994902</v>
      </c>
      <c r="BI1190" s="80">
        <f>SUMIFS($AU$1035:AU1278,$Q$1035:Q1278,"F")</f>
        <v>112.00000000000057</v>
      </c>
      <c r="BJ1190" s="80">
        <f>SUMIFS($AU$1035:AU1278,$Q$1035:Q1278,"S")</f>
        <v>-15.999999999994088</v>
      </c>
      <c r="BK1190" s="87">
        <f>SUMIFS($AU$1035:AU1278,$P$1035:P1278,"W")</f>
        <v>-960.00000000003297</v>
      </c>
      <c r="BL1190" s="87">
        <f>SUMIFS($AU$1035:AU1278,$P$1035:P1278,"R")</f>
        <v>1024.0000000000007</v>
      </c>
      <c r="BM1190" s="87">
        <f>SUMIFS($AU$1035:AU1278,$AQ$1035:AQ1278,"M")</f>
        <v>-899.79999999984489</v>
      </c>
      <c r="BN1190" s="87">
        <f>SUMIFS($AU$1035:AU1278,$AQ$1035:AQ1278,"H")</f>
        <v>1583.9999999998265</v>
      </c>
      <c r="BO1190" s="87">
        <f>SUMIFS($AU$1035:AU1278,$AQ$1035:AQ1278,"D")</f>
        <v>-479.9999999999896</v>
      </c>
      <c r="BP1190" s="87">
        <f>SUMIFS($AS$1035:AS1366,$AO$1035:AO1366,"W")</f>
        <v>0</v>
      </c>
      <c r="BQ1190" s="87">
        <f>SUMIFS($AU$1035:AU1278,$Q$1035:Q1278,"O")</f>
        <v>-1079.7999999999552</v>
      </c>
      <c r="BR1190" s="87">
        <f>SUMIFS($AU$1035:AU1278,$AA$1035:AA1278,"*")</f>
        <v>-499.79999999992333</v>
      </c>
      <c r="BS1190" s="87">
        <f>SUMIFS($AU$1035:AU1278,$AB$1035:AB1278,"*")</f>
        <v>-724.00000000009095</v>
      </c>
      <c r="BT1190" s="87">
        <f>SUMIFS($AU$1035:AU1278,$AC$1035:AC1278,"*")</f>
        <v>112.00000000000097</v>
      </c>
      <c r="BU1190" s="87">
        <f>SUMIFS($AU$1035:AU1278,$AA$1035:AA1278,"*",$AB$1035:AB1278,"*")</f>
        <v>47.999999999934744</v>
      </c>
      <c r="BV1190" s="87">
        <f>SUMIFS($AU$1035:AU1278,$AA$1035:AA1278,"*",$AC$1035:AC1278,"*")</f>
        <v>-335.99999999999977</v>
      </c>
      <c r="BW1190" s="87">
        <f>SUMIFS($AU$1035:AU1278,$AB$1035:AB1278,"*",$AC$1035:AC1278,"*")</f>
        <v>-143.99999999999966</v>
      </c>
      <c r="BX1190" s="87">
        <f>SUMIFS($AV$1035:AV1278,$Q$1035:Q1278,"F")</f>
        <v>34.153846153846246</v>
      </c>
      <c r="BY1190" s="87">
        <f>SUMIFS($AV$1035:AV1278,$Q$1035:Q1278,"S")</f>
        <v>20.914285714286223</v>
      </c>
      <c r="BZ1190" s="87">
        <f>SUMIFS($AV$1035:AV1278,$Q$1035:Q1278,"O")</f>
        <v>-445.13333333327751</v>
      </c>
    </row>
    <row r="1191" spans="1:78" ht="15.75" customHeight="1">
      <c r="A1191" s="252" t="s">
        <v>3357</v>
      </c>
      <c r="B1191" s="59">
        <v>45582</v>
      </c>
      <c r="C1191" s="46" t="s">
        <v>147</v>
      </c>
      <c r="D1191" s="46" t="s">
        <v>107</v>
      </c>
      <c r="E1191" s="66"/>
      <c r="F1191" s="47"/>
      <c r="G1191" s="104" t="s">
        <v>3380</v>
      </c>
      <c r="H1191" s="49"/>
      <c r="I1191" s="49"/>
      <c r="J1191" s="49"/>
      <c r="K1191" s="50"/>
      <c r="L1191" s="49"/>
      <c r="M1191" s="49"/>
      <c r="N1191" s="49"/>
      <c r="O1191" s="50" t="s">
        <v>100</v>
      </c>
      <c r="P1191" s="50" t="s">
        <v>101</v>
      </c>
      <c r="Q1191" s="50" t="s">
        <v>102</v>
      </c>
      <c r="R1191" s="50">
        <v>7</v>
      </c>
      <c r="S1191" s="50">
        <v>0</v>
      </c>
      <c r="T1191" s="50">
        <v>7</v>
      </c>
      <c r="U1191" s="50" t="s">
        <v>22</v>
      </c>
      <c r="V1191" s="50" t="s">
        <v>2898</v>
      </c>
      <c r="W1191" s="50" t="s">
        <v>22</v>
      </c>
      <c r="X1191" s="50" t="s">
        <v>3035</v>
      </c>
      <c r="Y1191" s="51">
        <f t="shared" si="571"/>
        <v>0.01</v>
      </c>
      <c r="Z1191" s="52">
        <f t="shared" si="572"/>
        <v>1600</v>
      </c>
      <c r="AA1191" s="52" t="s">
        <v>3464</v>
      </c>
      <c r="AB1191" s="52"/>
      <c r="AC1191" s="52"/>
      <c r="AD1191" s="231">
        <v>-0.17</v>
      </c>
      <c r="AE1191" s="49"/>
      <c r="AF1191" s="84"/>
      <c r="AG1191" s="49"/>
      <c r="AH1191" s="49"/>
      <c r="AI1191" s="49"/>
      <c r="AJ1191" s="226" t="s">
        <v>3465</v>
      </c>
      <c r="AK1191" s="49"/>
      <c r="AL1191" s="113">
        <f t="shared" si="566"/>
        <v>-32</v>
      </c>
      <c r="AM1191" s="113">
        <f t="shared" si="567"/>
        <v>-224</v>
      </c>
      <c r="AN1191" s="218"/>
      <c r="AO1191" s="49"/>
      <c r="AP1191" s="49"/>
      <c r="AQ1191" s="84" t="str">
        <f>UPPER(RIGHT(Journal_Live[[#This Row],[DURATION ]]))</f>
        <v/>
      </c>
      <c r="AR1191" s="49"/>
      <c r="AS1191" s="55"/>
      <c r="AT1191" s="55">
        <f t="shared" si="568"/>
        <v>0</v>
      </c>
      <c r="AU1191" s="54">
        <f t="shared" si="569"/>
        <v>0</v>
      </c>
      <c r="AV1191" s="56">
        <f t="shared" si="570"/>
        <v>0</v>
      </c>
      <c r="AW1191" s="57"/>
      <c r="AX1191" s="153"/>
      <c r="AY1191" s="153"/>
      <c r="AZ1191" s="153"/>
      <c r="BA1191" s="153"/>
      <c r="BB1191" s="153"/>
      <c r="BC1191" s="153"/>
      <c r="BD1191" s="151"/>
      <c r="BE1191" s="152"/>
      <c r="BF1191" s="151"/>
      <c r="BG1191" s="94">
        <f>SUM($AV$1035:AV1191)</f>
        <v>-390.06520146514509</v>
      </c>
      <c r="BH1191" s="95">
        <f>SUM($AU$1035:AU1191)</f>
        <v>-983.79999999994902</v>
      </c>
      <c r="BI1191" s="80">
        <f>SUMIFS($AU$1035:AU1279,$Q$1035:Q1279,"F")</f>
        <v>112.00000000000057</v>
      </c>
      <c r="BJ1191" s="80">
        <f>SUMIFS($AU$1035:AU1279,$Q$1035:Q1279,"S")</f>
        <v>-15.999999999994088</v>
      </c>
      <c r="BK1191" s="87">
        <f>SUMIFS($AU$1035:AU1279,$P$1035:P1279,"W")</f>
        <v>-960.00000000003297</v>
      </c>
      <c r="BL1191" s="87">
        <f>SUMIFS($AU$1035:AU1279,$P$1035:P1279,"R")</f>
        <v>1024.0000000000007</v>
      </c>
      <c r="BM1191" s="87">
        <f>SUMIFS($AU$1035:AU1279,$AQ$1035:AQ1279,"M")</f>
        <v>-899.79999999984489</v>
      </c>
      <c r="BN1191" s="87">
        <f>SUMIFS($AU$1035:AU1279,$AQ$1035:AQ1279,"H")</f>
        <v>1583.9999999998265</v>
      </c>
      <c r="BO1191" s="87">
        <f>SUMIFS($AU$1035:AU1279,$AQ$1035:AQ1279,"D")</f>
        <v>-479.9999999999896</v>
      </c>
      <c r="BP1191" s="87">
        <f>SUMIFS($AS$1035:AS1367,$AO$1035:AO1367,"W")</f>
        <v>0</v>
      </c>
      <c r="BQ1191" s="87">
        <f>SUMIFS($AU$1035:AU1279,$Q$1035:Q1279,"O")</f>
        <v>-1079.7999999999552</v>
      </c>
      <c r="BR1191" s="87">
        <f>SUMIFS($AU$1035:AU1279,$AA$1035:AA1279,"*")</f>
        <v>-499.79999999992333</v>
      </c>
      <c r="BS1191" s="87">
        <f>SUMIFS($AU$1035:AU1279,$AB$1035:AB1279,"*")</f>
        <v>-724.00000000009095</v>
      </c>
      <c r="BT1191" s="87">
        <f>SUMIFS($AU$1035:AU1279,$AC$1035:AC1279,"*")</f>
        <v>112.00000000000097</v>
      </c>
      <c r="BU1191" s="87">
        <f>SUMIFS($AU$1035:AU1279,$AA$1035:AA1279,"*",$AB$1035:AB1279,"*")</f>
        <v>47.999999999934744</v>
      </c>
      <c r="BV1191" s="87">
        <f>SUMIFS($AU$1035:AU1279,$AA$1035:AA1279,"*",$AC$1035:AC1279,"*")</f>
        <v>-335.99999999999977</v>
      </c>
      <c r="BW1191" s="87">
        <f>SUMIFS($AU$1035:AU1279,$AB$1035:AB1279,"*",$AC$1035:AC1279,"*")</f>
        <v>-143.99999999999966</v>
      </c>
      <c r="BX1191" s="87">
        <f>SUMIFS($AV$1035:AV1279,$Q$1035:Q1279,"F")</f>
        <v>34.153846153846246</v>
      </c>
      <c r="BY1191" s="87">
        <f>SUMIFS($AV$1035:AV1279,$Q$1035:Q1279,"S")</f>
        <v>20.914285714286223</v>
      </c>
      <c r="BZ1191" s="87">
        <f>SUMIFS($AV$1035:AV1279,$Q$1035:Q1279,"O")</f>
        <v>-445.13333333327751</v>
      </c>
    </row>
    <row r="1192" spans="1:78" ht="15.75" customHeight="1">
      <c r="A1192" s="252" t="s">
        <v>3357</v>
      </c>
      <c r="B1192" s="59">
        <v>45582</v>
      </c>
      <c r="C1192" s="46" t="s">
        <v>147</v>
      </c>
      <c r="D1192" s="46" t="s">
        <v>107</v>
      </c>
      <c r="E1192" s="66"/>
      <c r="F1192" s="47"/>
      <c r="G1192" s="104" t="s">
        <v>2688</v>
      </c>
      <c r="H1192" s="49"/>
      <c r="I1192" s="49"/>
      <c r="J1192" s="49"/>
      <c r="K1192" s="50"/>
      <c r="L1192" s="49"/>
      <c r="M1192" s="49"/>
      <c r="N1192" s="49"/>
      <c r="O1192" s="50" t="s">
        <v>100</v>
      </c>
      <c r="P1192" s="50" t="s">
        <v>101</v>
      </c>
      <c r="Q1192" s="50" t="s">
        <v>102</v>
      </c>
      <c r="R1192" s="50">
        <v>7</v>
      </c>
      <c r="S1192" s="50">
        <v>0</v>
      </c>
      <c r="T1192" s="50">
        <v>7</v>
      </c>
      <c r="U1192" s="50" t="s">
        <v>22</v>
      </c>
      <c r="V1192" s="50" t="s">
        <v>2898</v>
      </c>
      <c r="W1192" s="50" t="s">
        <v>22</v>
      </c>
      <c r="X1192" s="50" t="s">
        <v>3035</v>
      </c>
      <c r="Y1192" s="51">
        <f t="shared" si="571"/>
        <v>0.01</v>
      </c>
      <c r="Z1192" s="52">
        <f t="shared" si="572"/>
        <v>1600</v>
      </c>
      <c r="AA1192" s="52" t="s">
        <v>3464</v>
      </c>
      <c r="AB1192" s="52"/>
      <c r="AC1192" s="52"/>
      <c r="AD1192" s="231">
        <v>-0.35</v>
      </c>
      <c r="AE1192" s="49"/>
      <c r="AF1192" s="84"/>
      <c r="AG1192" s="49"/>
      <c r="AH1192" s="49"/>
      <c r="AI1192" s="49"/>
      <c r="AJ1192" s="226" t="s">
        <v>3466</v>
      </c>
      <c r="AK1192" s="49"/>
      <c r="AL1192" s="113">
        <f t="shared" si="566"/>
        <v>-32</v>
      </c>
      <c r="AM1192" s="113">
        <f t="shared" si="567"/>
        <v>-224</v>
      </c>
      <c r="AN1192" s="218"/>
      <c r="AO1192" s="49"/>
      <c r="AP1192" s="49"/>
      <c r="AQ1192" s="84" t="str">
        <f>UPPER(RIGHT(Journal_Live[[#This Row],[DURATION ]]))</f>
        <v/>
      </c>
      <c r="AR1192" s="49"/>
      <c r="AS1192" s="55"/>
      <c r="AT1192" s="55">
        <f t="shared" si="568"/>
        <v>0</v>
      </c>
      <c r="AU1192" s="54">
        <f t="shared" si="569"/>
        <v>0</v>
      </c>
      <c r="AV1192" s="56">
        <f t="shared" si="570"/>
        <v>0</v>
      </c>
      <c r="AW1192" s="57"/>
      <c r="AX1192" s="153"/>
      <c r="AY1192" s="153"/>
      <c r="AZ1192" s="153"/>
      <c r="BA1192" s="153"/>
      <c r="BB1192" s="153"/>
      <c r="BC1192" s="153"/>
      <c r="BD1192" s="151"/>
      <c r="BE1192" s="152"/>
      <c r="BF1192" s="151"/>
      <c r="BG1192" s="94">
        <f>SUM($AV$1035:AV1192)</f>
        <v>-390.06520146514509</v>
      </c>
      <c r="BH1192" s="95">
        <f>SUM($AU$1035:AU1192)</f>
        <v>-983.79999999994902</v>
      </c>
      <c r="BI1192" s="80">
        <f>SUMIFS($AU$1035:AU1280,$Q$1035:Q1280,"F")</f>
        <v>112.00000000000057</v>
      </c>
      <c r="BJ1192" s="80">
        <f>SUMIFS($AU$1035:AU1280,$Q$1035:Q1280,"S")</f>
        <v>-15.999999999994088</v>
      </c>
      <c r="BK1192" s="87">
        <f>SUMIFS($AU$1035:AU1280,$P$1035:P1280,"W")</f>
        <v>-960.00000000003297</v>
      </c>
      <c r="BL1192" s="87">
        <f>SUMIFS($AU$1035:AU1280,$P$1035:P1280,"R")</f>
        <v>1024.0000000000007</v>
      </c>
      <c r="BM1192" s="87">
        <f>SUMIFS($AU$1035:AU1280,$AQ$1035:AQ1280,"M")</f>
        <v>-899.79999999984489</v>
      </c>
      <c r="BN1192" s="87">
        <f>SUMIFS($AU$1035:AU1280,$AQ$1035:AQ1280,"H")</f>
        <v>1583.9999999998265</v>
      </c>
      <c r="BO1192" s="87">
        <f>SUMIFS($AU$1035:AU1280,$AQ$1035:AQ1280,"D")</f>
        <v>-479.9999999999896</v>
      </c>
      <c r="BP1192" s="87">
        <f>SUMIFS($AS$1035:AS1368,$AO$1035:AO1368,"W")</f>
        <v>0</v>
      </c>
      <c r="BQ1192" s="87">
        <f>SUMIFS($AU$1035:AU1280,$Q$1035:Q1280,"O")</f>
        <v>-1079.7999999999552</v>
      </c>
      <c r="BR1192" s="87">
        <f>SUMIFS($AU$1035:AU1280,$AA$1035:AA1280,"*")</f>
        <v>-499.79999999992333</v>
      </c>
      <c r="BS1192" s="87">
        <f>SUMIFS($AU$1035:AU1280,$AB$1035:AB1280,"*")</f>
        <v>-724.00000000009095</v>
      </c>
      <c r="BT1192" s="87">
        <f>SUMIFS($AU$1035:AU1280,$AC$1035:AC1280,"*")</f>
        <v>112.00000000000097</v>
      </c>
      <c r="BU1192" s="87">
        <f>SUMIFS($AU$1035:AU1280,$AA$1035:AA1280,"*",$AB$1035:AB1280,"*")</f>
        <v>47.999999999934744</v>
      </c>
      <c r="BV1192" s="87">
        <f>SUMIFS($AU$1035:AU1280,$AA$1035:AA1280,"*",$AC$1035:AC1280,"*")</f>
        <v>-335.99999999999977</v>
      </c>
      <c r="BW1192" s="87">
        <f>SUMIFS($AU$1035:AU1280,$AB$1035:AB1280,"*",$AC$1035:AC1280,"*")</f>
        <v>-143.99999999999966</v>
      </c>
      <c r="BX1192" s="87">
        <f>SUMIFS($AV$1035:AV1280,$Q$1035:Q1280,"F")</f>
        <v>34.153846153846246</v>
      </c>
      <c r="BY1192" s="87">
        <f>SUMIFS($AV$1035:AV1280,$Q$1035:Q1280,"S")</f>
        <v>20.914285714286223</v>
      </c>
      <c r="BZ1192" s="87">
        <f>SUMIFS($AV$1035:AV1280,$Q$1035:Q1280,"O")</f>
        <v>-445.13333333327751</v>
      </c>
    </row>
    <row r="1193" spans="1:78" ht="15.75" customHeight="1">
      <c r="A1193" s="252" t="s">
        <v>3357</v>
      </c>
      <c r="B1193" s="59">
        <v>45582</v>
      </c>
      <c r="C1193" s="46" t="s">
        <v>147</v>
      </c>
      <c r="D1193" s="46" t="s">
        <v>107</v>
      </c>
      <c r="E1193" s="66"/>
      <c r="F1193" s="47"/>
      <c r="G1193" s="104" t="s">
        <v>2823</v>
      </c>
      <c r="H1193" s="49"/>
      <c r="I1193" s="49"/>
      <c r="J1193" s="49"/>
      <c r="K1193" s="50"/>
      <c r="L1193" s="49"/>
      <c r="M1193" s="49"/>
      <c r="N1193" s="49"/>
      <c r="O1193" s="50" t="s">
        <v>100</v>
      </c>
      <c r="P1193" s="50" t="s">
        <v>101</v>
      </c>
      <c r="Q1193" s="50" t="s">
        <v>102</v>
      </c>
      <c r="R1193" s="50">
        <v>16</v>
      </c>
      <c r="S1193" s="50">
        <v>0</v>
      </c>
      <c r="T1193" s="50">
        <v>16</v>
      </c>
      <c r="U1193" s="50" t="s">
        <v>22</v>
      </c>
      <c r="V1193" s="50" t="s">
        <v>2898</v>
      </c>
      <c r="W1193" s="50" t="s">
        <v>22</v>
      </c>
      <c r="X1193" s="50" t="s">
        <v>3002</v>
      </c>
      <c r="Y1193" s="51">
        <f t="shared" ref="Y1193" si="573">IF(ISBLANK(O1193),"",(IF(O1193=UPPER("IB"),0.005,0.01)))</f>
        <v>0.01</v>
      </c>
      <c r="Z1193" s="52">
        <f t="shared" ref="Z1193" si="574">IF(ISBLANK(O1193),"",IF(O1193="IB",8.63*200,IF(O1193="IR",16*100,IF(O1193="YT",20*100,IF(O1193="YT-XT",24*200,IF(O1193="TED",80*100,IF(O1193="XT",29*200)))))))</f>
        <v>1600</v>
      </c>
      <c r="AA1193" s="52" t="s">
        <v>1889</v>
      </c>
      <c r="AB1193" s="52"/>
      <c r="AC1193" s="52"/>
      <c r="AD1193" s="231">
        <v>-0.18</v>
      </c>
      <c r="AE1193" s="49"/>
      <c r="AF1193" s="84"/>
      <c r="AG1193" s="49"/>
      <c r="AH1193" s="49"/>
      <c r="AI1193" s="49"/>
      <c r="AJ1193" s="226"/>
      <c r="AK1193" s="49"/>
      <c r="AL1193" s="113">
        <f t="shared" si="566"/>
        <v>-32</v>
      </c>
      <c r="AM1193" s="113">
        <f t="shared" si="567"/>
        <v>-512</v>
      </c>
      <c r="AN1193" s="218"/>
      <c r="AO1193" s="49"/>
      <c r="AP1193" s="49"/>
      <c r="AQ1193" s="84" t="str">
        <f>UPPER(RIGHT(Journal_Live[[#This Row],[DURATION ]]))</f>
        <v/>
      </c>
      <c r="AR1193" s="49"/>
      <c r="AS1193" s="55"/>
      <c r="AT1193" s="55">
        <f t="shared" si="568"/>
        <v>0</v>
      </c>
      <c r="AU1193" s="54">
        <f t="shared" si="569"/>
        <v>0</v>
      </c>
      <c r="AV1193" s="56">
        <f t="shared" si="570"/>
        <v>0</v>
      </c>
      <c r="AW1193" s="57"/>
      <c r="AX1193" s="153"/>
      <c r="AY1193" s="153"/>
      <c r="AZ1193" s="153"/>
      <c r="BA1193" s="153"/>
      <c r="BB1193" s="153"/>
      <c r="BC1193" s="153"/>
      <c r="BD1193" s="151"/>
      <c r="BE1193" s="152"/>
      <c r="BF1193" s="151"/>
      <c r="BG1193" s="94">
        <f>SUM($AV$1035:AV1193)</f>
        <v>-390.06520146514509</v>
      </c>
      <c r="BH1193" s="95">
        <f>SUM($AU$1035:AU1193)</f>
        <v>-983.79999999994902</v>
      </c>
      <c r="BI1193" s="80">
        <f>SUMIFS($AU$1035:AU1281,$Q$1035:Q1281,"F")</f>
        <v>112.00000000000057</v>
      </c>
      <c r="BJ1193" s="80">
        <f>SUMIFS($AU$1035:AU1281,$Q$1035:Q1281,"S")</f>
        <v>-15.999999999994088</v>
      </c>
      <c r="BK1193" s="87">
        <f>SUMIFS($AU$1035:AU1281,$P$1035:P1281,"W")</f>
        <v>-960.00000000003297</v>
      </c>
      <c r="BL1193" s="87">
        <f>SUMIFS($AU$1035:AU1281,$P$1035:P1281,"R")</f>
        <v>1024.0000000000007</v>
      </c>
      <c r="BM1193" s="87">
        <f>SUMIFS($AU$1035:AU1281,$AQ$1035:AQ1281,"M")</f>
        <v>-899.79999999984489</v>
      </c>
      <c r="BN1193" s="87">
        <f>SUMIFS($AU$1035:AU1281,$AQ$1035:AQ1281,"H")</f>
        <v>1583.9999999998265</v>
      </c>
      <c r="BO1193" s="87">
        <f>SUMIFS($AU$1035:AU1281,$AQ$1035:AQ1281,"D")</f>
        <v>-479.9999999999896</v>
      </c>
      <c r="BP1193" s="87">
        <f>SUMIFS($AS$1035:AS1369,$AO$1035:AO1369,"W")</f>
        <v>0</v>
      </c>
      <c r="BQ1193" s="87">
        <f>SUMIFS($AU$1035:AU1281,$Q$1035:Q1281,"O")</f>
        <v>-1079.7999999999552</v>
      </c>
      <c r="BR1193" s="87">
        <f>SUMIFS($AU$1035:AU1281,$AA$1035:AA1281,"*")</f>
        <v>-499.79999999992333</v>
      </c>
      <c r="BS1193" s="87">
        <f>SUMIFS($AU$1035:AU1281,$AB$1035:AB1281,"*")</f>
        <v>-724.00000000009095</v>
      </c>
      <c r="BT1193" s="87">
        <f>SUMIFS($AU$1035:AU1281,$AC$1035:AC1281,"*")</f>
        <v>112.00000000000097</v>
      </c>
      <c r="BU1193" s="87">
        <f>SUMIFS($AU$1035:AU1281,$AA$1035:AA1281,"*",$AB$1035:AB1281,"*")</f>
        <v>47.999999999934744</v>
      </c>
      <c r="BV1193" s="87">
        <f>SUMIFS($AU$1035:AU1281,$AA$1035:AA1281,"*",$AC$1035:AC1281,"*")</f>
        <v>-335.99999999999977</v>
      </c>
      <c r="BW1193" s="87">
        <f>SUMIFS($AU$1035:AU1281,$AB$1035:AB1281,"*",$AC$1035:AC1281,"*")</f>
        <v>-143.99999999999966</v>
      </c>
      <c r="BX1193" s="87">
        <f>SUMIFS($AV$1035:AV1281,$Q$1035:Q1281,"F")</f>
        <v>34.153846153846246</v>
      </c>
      <c r="BY1193" s="87">
        <f>SUMIFS($AV$1035:AV1281,$Q$1035:Q1281,"S")</f>
        <v>20.914285714286223</v>
      </c>
      <c r="BZ1193" s="87">
        <f>SUMIFS($AV$1035:AV1281,$Q$1035:Q1281,"O")</f>
        <v>-445.13333333327751</v>
      </c>
    </row>
    <row r="1194" spans="1:78" ht="15.75" customHeight="1">
      <c r="A1194" s="45" t="s">
        <v>3357</v>
      </c>
      <c r="B1194" s="59"/>
      <c r="C1194" s="46"/>
      <c r="D1194" s="46"/>
      <c r="E1194" s="66"/>
      <c r="F1194" s="47"/>
      <c r="G1194" s="48"/>
      <c r="H1194" s="49"/>
      <c r="I1194" s="49"/>
      <c r="J1194" s="49"/>
      <c r="K1194" s="50"/>
      <c r="L1194" s="49"/>
      <c r="M1194" s="49"/>
      <c r="N1194" s="49"/>
      <c r="O1194" s="50"/>
      <c r="P1194" s="50"/>
      <c r="Q1194" s="50"/>
      <c r="R1194" s="50"/>
      <c r="S1194" s="50"/>
      <c r="T1194" s="50"/>
      <c r="U1194" s="50"/>
      <c r="V1194" s="50"/>
      <c r="W1194" s="50"/>
      <c r="X1194" s="50"/>
      <c r="Y1194" s="50"/>
      <c r="Z1194" s="50"/>
      <c r="AA1194" s="52"/>
      <c r="AB1194" s="52"/>
      <c r="AC1194" s="52"/>
      <c r="AD1194" s="231"/>
      <c r="AE1194" s="49"/>
      <c r="AF1194" s="84"/>
      <c r="AG1194" s="49"/>
      <c r="AH1194" s="49"/>
      <c r="AI1194" s="49"/>
      <c r="AJ1194" s="226"/>
      <c r="AK1194" s="49"/>
      <c r="AL1194" s="113">
        <f t="shared" ref="AL1184:AL1199" si="575">-0.02*Z1194</f>
        <v>0</v>
      </c>
      <c r="AM1194" s="113">
        <f t="shared" ref="AM1184:AM1199" si="576">AL1194*(R1194-S1194)</f>
        <v>0</v>
      </c>
      <c r="AN1194" s="218"/>
      <c r="AO1194" s="49"/>
      <c r="AP1194" s="49"/>
      <c r="AQ1194" s="84" t="str">
        <f>UPPER(RIGHT(Journal_Live[[#This Row],[DURATION ]]))</f>
        <v/>
      </c>
      <c r="AR1194" s="49"/>
      <c r="AS1194" s="55"/>
      <c r="AT1194" s="55">
        <f t="shared" ref="AT1184:AT1199" si="577">IF(ISBLANK(AS1194),,IF(U1194="S",AD1194-AS1194,AS1194-AD1194))</f>
        <v>0</v>
      </c>
      <c r="AU1194" s="54">
        <f t="shared" ref="AU1184:AU1199" si="578">AV1194*R1194</f>
        <v>0</v>
      </c>
      <c r="AV1194" s="56">
        <f t="shared" ref="AV1184:AV1199" si="579">IF(ISBLANK(AS1194),,(AT1194*Z1194))</f>
        <v>0</v>
      </c>
      <c r="AW1194" s="57"/>
      <c r="AX1194" s="153" t="s">
        <v>3467</v>
      </c>
      <c r="AY1194" s="153" t="s">
        <v>3468</v>
      </c>
      <c r="AZ1194" s="153"/>
      <c r="BA1194" s="153"/>
      <c r="BB1194" s="153"/>
      <c r="BC1194" s="153"/>
      <c r="BD1194" s="151"/>
      <c r="BE1194" s="152"/>
      <c r="BF1194" s="151"/>
      <c r="BG1194" s="94">
        <f>SUM($AV$1035:AV1194)</f>
        <v>-390.06520146514509</v>
      </c>
      <c r="BH1194" s="95">
        <f>SUM($AU$1035:AU1194)</f>
        <v>-983.79999999994902</v>
      </c>
      <c r="BI1194" s="80">
        <f>SUMIFS($AU$1035:AU1282,$Q$1035:Q1282,"F")</f>
        <v>112.00000000000057</v>
      </c>
      <c r="BJ1194" s="80">
        <f>SUMIFS($AU$1035:AU1282,$Q$1035:Q1282,"S")</f>
        <v>-15.999999999994088</v>
      </c>
      <c r="BK1194" s="87">
        <f>SUMIFS($AU$1035:AU1282,$P$1035:P1282,"W")</f>
        <v>-960.00000000003297</v>
      </c>
      <c r="BL1194" s="87">
        <f>SUMIFS($AU$1035:AU1282,$P$1035:P1282,"R")</f>
        <v>1024.0000000000007</v>
      </c>
      <c r="BM1194" s="87">
        <f>SUMIFS($AU$1035:AU1282,$AQ$1035:AQ1282,"M")</f>
        <v>-899.79999999984489</v>
      </c>
      <c r="BN1194" s="87">
        <f>SUMIFS($AU$1035:AU1282,$AQ$1035:AQ1282,"H")</f>
        <v>1583.9999999998265</v>
      </c>
      <c r="BO1194" s="87">
        <f>SUMIFS($AU$1035:AU1282,$AQ$1035:AQ1282,"D")</f>
        <v>-479.9999999999896</v>
      </c>
      <c r="BP1194" s="87">
        <f>SUMIFS($AS$1035:AS1370,$AO$1035:AO1370,"W")</f>
        <v>0</v>
      </c>
      <c r="BQ1194" s="87">
        <f>SUMIFS($AU$1035:AU1282,$Q$1035:Q1282,"O")</f>
        <v>-1079.7999999999552</v>
      </c>
      <c r="BR1194" s="87">
        <f>SUMIFS($AU$1035:AU1282,$AA$1035:AA1282,"*")</f>
        <v>-499.79999999992333</v>
      </c>
      <c r="BS1194" s="87">
        <f>SUMIFS($AU$1035:AU1282,$AB$1035:AB1282,"*")</f>
        <v>-724.00000000009095</v>
      </c>
      <c r="BT1194" s="87">
        <f>SUMIFS($AU$1035:AU1282,$AC$1035:AC1282,"*")</f>
        <v>112.00000000000097</v>
      </c>
      <c r="BU1194" s="87">
        <f>SUMIFS($AU$1035:AU1282,$AA$1035:AA1282,"*",$AB$1035:AB1282,"*")</f>
        <v>47.999999999934744</v>
      </c>
      <c r="BV1194" s="87">
        <f>SUMIFS($AU$1035:AU1282,$AA$1035:AA1282,"*",$AC$1035:AC1282,"*")</f>
        <v>-335.99999999999977</v>
      </c>
      <c r="BW1194" s="87">
        <f>SUMIFS($AU$1035:AU1282,$AB$1035:AB1282,"*",$AC$1035:AC1282,"*")</f>
        <v>-143.99999999999966</v>
      </c>
      <c r="BX1194" s="87">
        <f>SUMIFS($AV$1035:AV1282,$Q$1035:Q1282,"F")</f>
        <v>34.153846153846246</v>
      </c>
      <c r="BY1194" s="87">
        <f>SUMIFS($AV$1035:AV1282,$Q$1035:Q1282,"S")</f>
        <v>20.914285714286223</v>
      </c>
      <c r="BZ1194" s="87">
        <f>SUMIFS($AV$1035:AV1282,$Q$1035:Q1282,"O")</f>
        <v>-445.13333333327751</v>
      </c>
    </row>
    <row r="1195" spans="1:78" ht="15.75" customHeight="1">
      <c r="A1195" s="45" t="s">
        <v>3357</v>
      </c>
      <c r="B1195" s="59"/>
      <c r="C1195" s="46"/>
      <c r="D1195" s="46"/>
      <c r="E1195" s="66"/>
      <c r="F1195" s="47"/>
      <c r="G1195" s="48"/>
      <c r="H1195" s="49"/>
      <c r="I1195" s="49"/>
      <c r="J1195" s="49"/>
      <c r="K1195" s="50"/>
      <c r="L1195" s="49"/>
      <c r="M1195" s="49"/>
      <c r="N1195" s="49"/>
      <c r="O1195" s="50"/>
      <c r="P1195" s="50"/>
      <c r="Q1195" s="50"/>
      <c r="R1195" s="50"/>
      <c r="S1195" s="50"/>
      <c r="T1195" s="50"/>
      <c r="U1195" s="50"/>
      <c r="V1195" s="50"/>
      <c r="W1195" s="50"/>
      <c r="X1195" s="50"/>
      <c r="Y1195" s="50"/>
      <c r="Z1195" s="50"/>
      <c r="AA1195" s="52"/>
      <c r="AB1195" s="52"/>
      <c r="AC1195" s="52"/>
      <c r="AD1195" s="231"/>
      <c r="AE1195" s="49"/>
      <c r="AF1195" s="84"/>
      <c r="AG1195" s="49"/>
      <c r="AH1195" s="49"/>
      <c r="AI1195" s="49"/>
      <c r="AJ1195" s="226"/>
      <c r="AK1195" s="49"/>
      <c r="AL1195" s="113">
        <f t="shared" si="575"/>
        <v>0</v>
      </c>
      <c r="AM1195" s="113">
        <f t="shared" si="576"/>
        <v>0</v>
      </c>
      <c r="AN1195" s="218"/>
      <c r="AO1195" s="49"/>
      <c r="AP1195" s="49"/>
      <c r="AQ1195" s="84" t="str">
        <f>UPPER(RIGHT(Journal_Live[[#This Row],[DURATION ]]))</f>
        <v/>
      </c>
      <c r="AR1195" s="49"/>
      <c r="AS1195" s="55"/>
      <c r="AT1195" s="55">
        <f t="shared" si="577"/>
        <v>0</v>
      </c>
      <c r="AU1195" s="54">
        <f t="shared" si="578"/>
        <v>0</v>
      </c>
      <c r="AV1195" s="56">
        <f t="shared" si="579"/>
        <v>0</v>
      </c>
      <c r="AW1195" s="57"/>
      <c r="AX1195" s="153"/>
      <c r="AY1195" s="153"/>
      <c r="AZ1195" s="153"/>
      <c r="BA1195" s="153"/>
      <c r="BB1195" s="153"/>
      <c r="BC1195" s="153"/>
      <c r="BD1195" s="151"/>
      <c r="BE1195" s="152"/>
      <c r="BF1195" s="151"/>
      <c r="BG1195" s="94">
        <f>SUM($AV$1035:AV1195)</f>
        <v>-390.06520146514509</v>
      </c>
      <c r="BH1195" s="95">
        <f>SUM($AU$1035:AU1195)</f>
        <v>-983.79999999994902</v>
      </c>
      <c r="BI1195" s="80">
        <f>SUMIFS($AU$1035:AU1283,$Q$1035:Q1283,"F")</f>
        <v>112.00000000000057</v>
      </c>
      <c r="BJ1195" s="80">
        <f>SUMIFS($AU$1035:AU1283,$Q$1035:Q1283,"S")</f>
        <v>-15.999999999994088</v>
      </c>
      <c r="BK1195" s="87">
        <f>SUMIFS($AU$1035:AU1283,$P$1035:P1283,"W")</f>
        <v>-960.00000000003297</v>
      </c>
      <c r="BL1195" s="87">
        <f>SUMIFS($AU$1035:AU1283,$P$1035:P1283,"R")</f>
        <v>1024.0000000000007</v>
      </c>
      <c r="BM1195" s="87">
        <f>SUMIFS($AU$1035:AU1283,$AQ$1035:AQ1283,"M")</f>
        <v>-899.79999999984489</v>
      </c>
      <c r="BN1195" s="87">
        <f>SUMIFS($AU$1035:AU1283,$AQ$1035:AQ1283,"H")</f>
        <v>1583.9999999998265</v>
      </c>
      <c r="BO1195" s="87">
        <f>SUMIFS($AU$1035:AU1283,$AQ$1035:AQ1283,"D")</f>
        <v>-479.9999999999896</v>
      </c>
      <c r="BP1195" s="87">
        <f>SUMIFS($AS$1035:AS1371,$AO$1035:AO1371,"W")</f>
        <v>0</v>
      </c>
      <c r="BQ1195" s="87">
        <f>SUMIFS($AU$1035:AU1283,$Q$1035:Q1283,"O")</f>
        <v>-1079.7999999999552</v>
      </c>
      <c r="BR1195" s="87">
        <f>SUMIFS($AU$1035:AU1283,$AA$1035:AA1283,"*")</f>
        <v>-499.79999999992333</v>
      </c>
      <c r="BS1195" s="87">
        <f>SUMIFS($AU$1035:AU1283,$AB$1035:AB1283,"*")</f>
        <v>-724.00000000009095</v>
      </c>
      <c r="BT1195" s="87">
        <f>SUMIFS($AU$1035:AU1283,$AC$1035:AC1283,"*")</f>
        <v>112.00000000000097</v>
      </c>
      <c r="BU1195" s="87">
        <f>SUMIFS($AU$1035:AU1283,$AA$1035:AA1283,"*",$AB$1035:AB1283,"*")</f>
        <v>47.999999999934744</v>
      </c>
      <c r="BV1195" s="87">
        <f>SUMIFS($AU$1035:AU1283,$AA$1035:AA1283,"*",$AC$1035:AC1283,"*")</f>
        <v>-335.99999999999977</v>
      </c>
      <c r="BW1195" s="87">
        <f>SUMIFS($AU$1035:AU1283,$AB$1035:AB1283,"*",$AC$1035:AC1283,"*")</f>
        <v>-143.99999999999966</v>
      </c>
      <c r="BX1195" s="87">
        <f>SUMIFS($AV$1035:AV1283,$Q$1035:Q1283,"F")</f>
        <v>34.153846153846246</v>
      </c>
      <c r="BY1195" s="87">
        <f>SUMIFS($AV$1035:AV1283,$Q$1035:Q1283,"S")</f>
        <v>20.914285714286223</v>
      </c>
      <c r="BZ1195" s="87">
        <f>SUMIFS($AV$1035:AV1283,$Q$1035:Q1283,"O")</f>
        <v>-445.13333333327751</v>
      </c>
    </row>
    <row r="1196" spans="1:78" ht="15.75" customHeight="1">
      <c r="A1196" s="45" t="s">
        <v>3357</v>
      </c>
      <c r="B1196" s="59"/>
      <c r="C1196" s="46"/>
      <c r="D1196" s="46"/>
      <c r="E1196" s="66"/>
      <c r="F1196" s="47"/>
      <c r="G1196" s="48"/>
      <c r="H1196" s="49"/>
      <c r="I1196" s="49"/>
      <c r="J1196" s="49"/>
      <c r="K1196" s="50"/>
      <c r="L1196" s="49"/>
      <c r="M1196" s="49"/>
      <c r="N1196" s="49"/>
      <c r="O1196" s="50"/>
      <c r="P1196" s="50"/>
      <c r="Q1196" s="50"/>
      <c r="R1196" s="50"/>
      <c r="S1196" s="50"/>
      <c r="T1196" s="50"/>
      <c r="U1196" s="50"/>
      <c r="V1196" s="50"/>
      <c r="W1196" s="50"/>
      <c r="X1196" s="50"/>
      <c r="Y1196" s="50"/>
      <c r="Z1196" s="50"/>
      <c r="AA1196" s="52"/>
      <c r="AB1196" s="52"/>
      <c r="AC1196" s="52"/>
      <c r="AD1196" s="231"/>
      <c r="AE1196" s="49"/>
      <c r="AF1196" s="84"/>
      <c r="AG1196" s="49"/>
      <c r="AH1196" s="49"/>
      <c r="AI1196" s="49"/>
      <c r="AJ1196" s="226"/>
      <c r="AK1196" s="49"/>
      <c r="AL1196" s="113">
        <f t="shared" si="575"/>
        <v>0</v>
      </c>
      <c r="AM1196" s="113">
        <f t="shared" si="576"/>
        <v>0</v>
      </c>
      <c r="AN1196" s="218"/>
      <c r="AO1196" s="49"/>
      <c r="AP1196" s="49"/>
      <c r="AQ1196" s="84" t="str">
        <f>UPPER(RIGHT(Journal_Live[[#This Row],[DURATION ]]))</f>
        <v/>
      </c>
      <c r="AR1196" s="49"/>
      <c r="AS1196" s="55"/>
      <c r="AT1196" s="55">
        <f t="shared" si="577"/>
        <v>0</v>
      </c>
      <c r="AU1196" s="54">
        <f t="shared" si="578"/>
        <v>0</v>
      </c>
      <c r="AV1196" s="56">
        <f t="shared" si="579"/>
        <v>0</v>
      </c>
      <c r="AW1196" s="57"/>
      <c r="AX1196" s="153"/>
      <c r="AY1196" s="153"/>
      <c r="AZ1196" s="153"/>
      <c r="BA1196" s="153"/>
      <c r="BB1196" s="153"/>
      <c r="BC1196" s="153"/>
      <c r="BD1196" s="151"/>
      <c r="BE1196" s="152"/>
      <c r="BF1196" s="151"/>
      <c r="BG1196" s="94">
        <f>SUM($AV$1035:AV1196)</f>
        <v>-390.06520146514509</v>
      </c>
      <c r="BH1196" s="95">
        <f>SUM($AU$1035:AU1196)</f>
        <v>-983.79999999994902</v>
      </c>
      <c r="BI1196" s="80">
        <f>SUMIFS($AU$1035:AU1284,$Q$1035:Q1284,"F")</f>
        <v>112.00000000000057</v>
      </c>
      <c r="BJ1196" s="80">
        <f>SUMIFS($AU$1035:AU1284,$Q$1035:Q1284,"S")</f>
        <v>-15.999999999994088</v>
      </c>
      <c r="BK1196" s="87">
        <f>SUMIFS($AU$1035:AU1284,$P$1035:P1284,"W")</f>
        <v>-960.00000000003297</v>
      </c>
      <c r="BL1196" s="87">
        <f>SUMIFS($AU$1035:AU1284,$P$1035:P1284,"R")</f>
        <v>1024.0000000000007</v>
      </c>
      <c r="BM1196" s="87">
        <f>SUMIFS($AU$1035:AU1284,$AQ$1035:AQ1284,"M")</f>
        <v>-899.79999999984489</v>
      </c>
      <c r="BN1196" s="87">
        <f>SUMIFS($AU$1035:AU1284,$AQ$1035:AQ1284,"H")</f>
        <v>1583.9999999998265</v>
      </c>
      <c r="BO1196" s="87">
        <f>SUMIFS($AU$1035:AU1284,$AQ$1035:AQ1284,"D")</f>
        <v>-479.9999999999896</v>
      </c>
      <c r="BP1196" s="87">
        <f>SUMIFS($AS$1035:AS1372,$AO$1035:AO1372,"W")</f>
        <v>0</v>
      </c>
      <c r="BQ1196" s="87">
        <f>SUMIFS($AU$1035:AU1284,$Q$1035:Q1284,"O")</f>
        <v>-1079.7999999999552</v>
      </c>
      <c r="BR1196" s="87">
        <f>SUMIFS($AU$1035:AU1284,$AA$1035:AA1284,"*")</f>
        <v>-499.79999999992333</v>
      </c>
      <c r="BS1196" s="87">
        <f>SUMIFS($AU$1035:AU1284,$AB$1035:AB1284,"*")</f>
        <v>-724.00000000009095</v>
      </c>
      <c r="BT1196" s="87">
        <f>SUMIFS($AU$1035:AU1284,$AC$1035:AC1284,"*")</f>
        <v>112.00000000000097</v>
      </c>
      <c r="BU1196" s="87">
        <f>SUMIFS($AU$1035:AU1284,$AA$1035:AA1284,"*",$AB$1035:AB1284,"*")</f>
        <v>47.999999999934744</v>
      </c>
      <c r="BV1196" s="87">
        <f>SUMIFS($AU$1035:AU1284,$AA$1035:AA1284,"*",$AC$1035:AC1284,"*")</f>
        <v>-335.99999999999977</v>
      </c>
      <c r="BW1196" s="87">
        <f>SUMIFS($AU$1035:AU1284,$AB$1035:AB1284,"*",$AC$1035:AC1284,"*")</f>
        <v>-143.99999999999966</v>
      </c>
      <c r="BX1196" s="87">
        <f>SUMIFS($AV$1035:AV1284,$Q$1035:Q1284,"F")</f>
        <v>34.153846153846246</v>
      </c>
      <c r="BY1196" s="87">
        <f>SUMIFS($AV$1035:AV1284,$Q$1035:Q1284,"S")</f>
        <v>20.914285714286223</v>
      </c>
      <c r="BZ1196" s="87">
        <f>SUMIFS($AV$1035:AV1284,$Q$1035:Q1284,"O")</f>
        <v>-445.13333333327751</v>
      </c>
    </row>
    <row r="1197" spans="1:78" ht="15.75" customHeight="1">
      <c r="A1197" s="45" t="s">
        <v>3357</v>
      </c>
      <c r="B1197" s="59"/>
      <c r="C1197" s="46"/>
      <c r="D1197" s="46"/>
      <c r="E1197" s="66"/>
      <c r="F1197" s="47"/>
      <c r="G1197" s="48"/>
      <c r="H1197" s="49"/>
      <c r="I1197" s="49"/>
      <c r="J1197" s="49"/>
      <c r="K1197" s="50"/>
      <c r="L1197" s="49"/>
      <c r="M1197" s="49"/>
      <c r="N1197" s="49"/>
      <c r="O1197" s="50"/>
      <c r="P1197" s="50"/>
      <c r="Q1197" s="50"/>
      <c r="R1197" s="50"/>
      <c r="S1197" s="50"/>
      <c r="T1197" s="50"/>
      <c r="U1197" s="50"/>
      <c r="V1197" s="50"/>
      <c r="W1197" s="50"/>
      <c r="X1197" s="50"/>
      <c r="Y1197" s="50"/>
      <c r="Z1197" s="50"/>
      <c r="AA1197" s="52"/>
      <c r="AB1197" s="52"/>
      <c r="AC1197" s="52"/>
      <c r="AD1197" s="231"/>
      <c r="AE1197" s="49"/>
      <c r="AF1197" s="84"/>
      <c r="AG1197" s="49"/>
      <c r="AH1197" s="49"/>
      <c r="AI1197" s="49"/>
      <c r="AJ1197" s="226"/>
      <c r="AK1197" s="49"/>
      <c r="AL1197" s="113">
        <f t="shared" si="575"/>
        <v>0</v>
      </c>
      <c r="AM1197" s="113">
        <f t="shared" si="576"/>
        <v>0</v>
      </c>
      <c r="AN1197" s="218"/>
      <c r="AO1197" s="49"/>
      <c r="AP1197" s="49"/>
      <c r="AQ1197" s="84" t="str">
        <f>UPPER(RIGHT(Journal_Live[[#This Row],[DURATION ]]))</f>
        <v/>
      </c>
      <c r="AR1197" s="49"/>
      <c r="AS1197" s="55"/>
      <c r="AT1197" s="55">
        <f t="shared" si="577"/>
        <v>0</v>
      </c>
      <c r="AU1197" s="54">
        <f t="shared" si="578"/>
        <v>0</v>
      </c>
      <c r="AV1197" s="56">
        <f t="shared" si="579"/>
        <v>0</v>
      </c>
      <c r="AW1197" s="57"/>
      <c r="AX1197" s="153"/>
      <c r="AY1197" s="153"/>
      <c r="AZ1197" s="153"/>
      <c r="BA1197" s="153"/>
      <c r="BB1197" s="153"/>
      <c r="BC1197" s="153"/>
      <c r="BD1197" s="151"/>
      <c r="BE1197" s="152"/>
      <c r="BF1197" s="151"/>
      <c r="BG1197" s="94">
        <f>SUM($AV$1035:AV1197)</f>
        <v>-390.06520146514509</v>
      </c>
      <c r="BH1197" s="95">
        <f>SUM($AU$1035:AU1197)</f>
        <v>-983.79999999994902</v>
      </c>
      <c r="BI1197" s="80">
        <f>SUMIFS($AU$1035:AU1285,$Q$1035:Q1285,"F")</f>
        <v>112.00000000000057</v>
      </c>
      <c r="BJ1197" s="80">
        <f>SUMIFS($AU$1035:AU1285,$Q$1035:Q1285,"S")</f>
        <v>-15.999999999994088</v>
      </c>
      <c r="BK1197" s="87">
        <f>SUMIFS($AU$1035:AU1285,$P$1035:P1285,"W")</f>
        <v>-960.00000000003297</v>
      </c>
      <c r="BL1197" s="87">
        <f>SUMIFS($AU$1035:AU1285,$P$1035:P1285,"R")</f>
        <v>1024.0000000000007</v>
      </c>
      <c r="BM1197" s="87">
        <f>SUMIFS($AU$1035:AU1285,$AQ$1035:AQ1285,"M")</f>
        <v>-899.79999999984489</v>
      </c>
      <c r="BN1197" s="87">
        <f>SUMIFS($AU$1035:AU1285,$AQ$1035:AQ1285,"H")</f>
        <v>1583.9999999998265</v>
      </c>
      <c r="BO1197" s="87">
        <f>SUMIFS($AU$1035:AU1285,$AQ$1035:AQ1285,"D")</f>
        <v>-479.9999999999896</v>
      </c>
      <c r="BP1197" s="87">
        <f>SUMIFS($AS$1035:AS1373,$AO$1035:AO1373,"W")</f>
        <v>0</v>
      </c>
      <c r="BQ1197" s="87">
        <f>SUMIFS($AU$1035:AU1285,$Q$1035:Q1285,"O")</f>
        <v>-1079.7999999999552</v>
      </c>
      <c r="BR1197" s="87">
        <f>SUMIFS($AU$1035:AU1285,$AA$1035:AA1285,"*")</f>
        <v>-499.79999999992333</v>
      </c>
      <c r="BS1197" s="87">
        <f>SUMIFS($AU$1035:AU1285,$AB$1035:AB1285,"*")</f>
        <v>-724.00000000009095</v>
      </c>
      <c r="BT1197" s="87">
        <f>SUMIFS($AU$1035:AU1285,$AC$1035:AC1285,"*")</f>
        <v>112.00000000000097</v>
      </c>
      <c r="BU1197" s="87">
        <f>SUMIFS($AU$1035:AU1285,$AA$1035:AA1285,"*",$AB$1035:AB1285,"*")</f>
        <v>47.999999999934744</v>
      </c>
      <c r="BV1197" s="87">
        <f>SUMIFS($AU$1035:AU1285,$AA$1035:AA1285,"*",$AC$1035:AC1285,"*")</f>
        <v>-335.99999999999977</v>
      </c>
      <c r="BW1197" s="87">
        <f>SUMIFS($AU$1035:AU1285,$AB$1035:AB1285,"*",$AC$1035:AC1285,"*")</f>
        <v>-143.99999999999966</v>
      </c>
      <c r="BX1197" s="87">
        <f>SUMIFS($AV$1035:AV1285,$Q$1035:Q1285,"F")</f>
        <v>34.153846153846246</v>
      </c>
      <c r="BY1197" s="87">
        <f>SUMIFS($AV$1035:AV1285,$Q$1035:Q1285,"S")</f>
        <v>20.914285714286223</v>
      </c>
      <c r="BZ1197" s="87">
        <f>SUMIFS($AV$1035:AV1285,$Q$1035:Q1285,"O")</f>
        <v>-445.13333333327751</v>
      </c>
    </row>
    <row r="1198" spans="1:78" ht="15.75" customHeight="1">
      <c r="A1198" s="45" t="s">
        <v>3357</v>
      </c>
      <c r="B1198" s="59"/>
      <c r="C1198" s="46"/>
      <c r="D1198" s="46"/>
      <c r="E1198" s="66"/>
      <c r="F1198" s="47"/>
      <c r="G1198" s="48"/>
      <c r="H1198" s="49"/>
      <c r="I1198" s="49"/>
      <c r="J1198" s="49"/>
      <c r="K1198" s="50"/>
      <c r="L1198" s="49"/>
      <c r="M1198" s="49"/>
      <c r="N1198" s="49"/>
      <c r="O1198" s="50"/>
      <c r="P1198" s="50"/>
      <c r="Q1198" s="50"/>
      <c r="R1198" s="50"/>
      <c r="S1198" s="50"/>
      <c r="T1198" s="50"/>
      <c r="U1198" s="50"/>
      <c r="V1198" s="50"/>
      <c r="W1198" s="50"/>
      <c r="X1198" s="50"/>
      <c r="Y1198" s="50"/>
      <c r="Z1198" s="50"/>
      <c r="AA1198" s="52"/>
      <c r="AB1198" s="52"/>
      <c r="AC1198" s="52"/>
      <c r="AD1198" s="231"/>
      <c r="AE1198" s="49"/>
      <c r="AF1198" s="84"/>
      <c r="AG1198" s="49"/>
      <c r="AH1198" s="49"/>
      <c r="AI1198" s="49"/>
      <c r="AJ1198" s="226"/>
      <c r="AK1198" s="49"/>
      <c r="AL1198" s="113">
        <f t="shared" si="575"/>
        <v>0</v>
      </c>
      <c r="AM1198" s="113">
        <f t="shared" si="576"/>
        <v>0</v>
      </c>
      <c r="AN1198" s="218"/>
      <c r="AO1198" s="49"/>
      <c r="AP1198" s="49"/>
      <c r="AQ1198" s="84" t="str">
        <f>UPPER(RIGHT(Journal_Live[[#This Row],[DURATION ]]))</f>
        <v/>
      </c>
      <c r="AR1198" s="49"/>
      <c r="AS1198" s="55"/>
      <c r="AT1198" s="55">
        <f t="shared" si="577"/>
        <v>0</v>
      </c>
      <c r="AU1198" s="54">
        <f t="shared" si="578"/>
        <v>0</v>
      </c>
      <c r="AV1198" s="56">
        <f t="shared" si="579"/>
        <v>0</v>
      </c>
      <c r="AW1198" s="57"/>
      <c r="AX1198" s="153"/>
      <c r="AY1198" s="153"/>
      <c r="AZ1198" s="153"/>
      <c r="BA1198" s="153"/>
      <c r="BB1198" s="153"/>
      <c r="BC1198" s="153"/>
      <c r="BD1198" s="151"/>
      <c r="BE1198" s="152"/>
      <c r="BF1198" s="151"/>
      <c r="BG1198" s="94">
        <f>SUM($AV$1035:AV1198)</f>
        <v>-390.06520146514509</v>
      </c>
      <c r="BH1198" s="95">
        <f>SUM($AU$1035:AU1198)</f>
        <v>-983.79999999994902</v>
      </c>
      <c r="BI1198" s="80">
        <f>SUMIFS($AU$1035:AU1286,$Q$1035:Q1286,"F")</f>
        <v>112.00000000000057</v>
      </c>
      <c r="BJ1198" s="80">
        <f>SUMIFS($AU$1035:AU1286,$Q$1035:Q1286,"S")</f>
        <v>-15.999999999994088</v>
      </c>
      <c r="BK1198" s="87">
        <f>SUMIFS($AU$1035:AU1286,$P$1035:P1286,"W")</f>
        <v>-960.00000000003297</v>
      </c>
      <c r="BL1198" s="87">
        <f>SUMIFS($AU$1035:AU1286,$P$1035:P1286,"R")</f>
        <v>1024.0000000000007</v>
      </c>
      <c r="BM1198" s="87">
        <f>SUMIFS($AU$1035:AU1286,$AQ$1035:AQ1286,"M")</f>
        <v>-899.79999999984489</v>
      </c>
      <c r="BN1198" s="87">
        <f>SUMIFS($AU$1035:AU1286,$AQ$1035:AQ1286,"H")</f>
        <v>1583.9999999998265</v>
      </c>
      <c r="BO1198" s="87">
        <f>SUMIFS($AU$1035:AU1286,$AQ$1035:AQ1286,"D")</f>
        <v>-479.9999999999896</v>
      </c>
      <c r="BP1198" s="87">
        <f>SUMIFS($AS$1035:AS1374,$AO$1035:AO1374,"W")</f>
        <v>0</v>
      </c>
      <c r="BQ1198" s="87">
        <f>SUMIFS($AU$1035:AU1286,$Q$1035:Q1286,"O")</f>
        <v>-1079.7999999999552</v>
      </c>
      <c r="BR1198" s="87">
        <f>SUMIFS($AU$1035:AU1286,$AA$1035:AA1286,"*")</f>
        <v>-499.79999999992333</v>
      </c>
      <c r="BS1198" s="87">
        <f>SUMIFS($AU$1035:AU1286,$AB$1035:AB1286,"*")</f>
        <v>-724.00000000009095</v>
      </c>
      <c r="BT1198" s="87">
        <f>SUMIFS($AU$1035:AU1286,$AC$1035:AC1286,"*")</f>
        <v>112.00000000000097</v>
      </c>
      <c r="BU1198" s="87">
        <f>SUMIFS($AU$1035:AU1286,$AA$1035:AA1286,"*",$AB$1035:AB1286,"*")</f>
        <v>47.999999999934744</v>
      </c>
      <c r="BV1198" s="87">
        <f>SUMIFS($AU$1035:AU1286,$AA$1035:AA1286,"*",$AC$1035:AC1286,"*")</f>
        <v>-335.99999999999977</v>
      </c>
      <c r="BW1198" s="87">
        <f>SUMIFS($AU$1035:AU1286,$AB$1035:AB1286,"*",$AC$1035:AC1286,"*")</f>
        <v>-143.99999999999966</v>
      </c>
      <c r="BX1198" s="87">
        <f>SUMIFS($AV$1035:AV1286,$Q$1035:Q1286,"F")</f>
        <v>34.153846153846246</v>
      </c>
      <c r="BY1198" s="87">
        <f>SUMIFS($AV$1035:AV1286,$Q$1035:Q1286,"S")</f>
        <v>20.914285714286223</v>
      </c>
      <c r="BZ1198" s="87">
        <f>SUMIFS($AV$1035:AV1286,$Q$1035:Q1286,"O")</f>
        <v>-445.13333333327751</v>
      </c>
    </row>
    <row r="1199" spans="1:78" ht="15.75" customHeight="1">
      <c r="A1199" s="45" t="s">
        <v>3357</v>
      </c>
      <c r="B1199" s="59"/>
      <c r="C1199" s="46"/>
      <c r="D1199" s="46"/>
      <c r="E1199" s="66"/>
      <c r="F1199" s="47"/>
      <c r="G1199" s="48"/>
      <c r="H1199" s="49"/>
      <c r="I1199" s="49"/>
      <c r="J1199" s="49"/>
      <c r="K1199" s="50"/>
      <c r="L1199" s="49"/>
      <c r="M1199" s="49"/>
      <c r="N1199" s="49"/>
      <c r="O1199" s="50"/>
      <c r="P1199" s="50"/>
      <c r="Q1199" s="50"/>
      <c r="R1199" s="50"/>
      <c r="S1199" s="50"/>
      <c r="T1199" s="50"/>
      <c r="U1199" s="50"/>
      <c r="V1199" s="50"/>
      <c r="W1199" s="50"/>
      <c r="X1199" s="50"/>
      <c r="Y1199" s="50"/>
      <c r="Z1199" s="50"/>
      <c r="AA1199" s="52"/>
      <c r="AB1199" s="52"/>
      <c r="AC1199" s="52"/>
      <c r="AD1199" s="231"/>
      <c r="AE1199" s="49"/>
      <c r="AF1199" s="84"/>
      <c r="AG1199" s="49"/>
      <c r="AH1199" s="49"/>
      <c r="AI1199" s="49"/>
      <c r="AJ1199" s="226"/>
      <c r="AK1199" s="49"/>
      <c r="AL1199" s="113">
        <f t="shared" si="575"/>
        <v>0</v>
      </c>
      <c r="AM1199" s="113">
        <f t="shared" si="576"/>
        <v>0</v>
      </c>
      <c r="AN1199" s="218"/>
      <c r="AO1199" s="49"/>
      <c r="AP1199" s="49"/>
      <c r="AQ1199" s="84" t="str">
        <f>UPPER(RIGHT(Journal_Live[[#This Row],[DURATION ]]))</f>
        <v/>
      </c>
      <c r="AR1199" s="49"/>
      <c r="AS1199" s="55"/>
      <c r="AT1199" s="55">
        <f t="shared" si="577"/>
        <v>0</v>
      </c>
      <c r="AU1199" s="54">
        <f t="shared" si="578"/>
        <v>0</v>
      </c>
      <c r="AV1199" s="56">
        <f t="shared" si="579"/>
        <v>0</v>
      </c>
      <c r="AW1199" s="57"/>
      <c r="AX1199" s="153"/>
      <c r="AY1199" s="153"/>
      <c r="AZ1199" s="153"/>
      <c r="BA1199" s="153"/>
      <c r="BB1199" s="153"/>
      <c r="BC1199" s="153"/>
      <c r="BD1199" s="151"/>
      <c r="BE1199" s="152"/>
      <c r="BF1199" s="151"/>
      <c r="BG1199" s="94">
        <f>SUM($AV$1035:AV1199)</f>
        <v>-390.06520146514509</v>
      </c>
      <c r="BH1199" s="95">
        <f>SUM($AU$1035:AU1199)</f>
        <v>-983.79999999994902</v>
      </c>
      <c r="BI1199" s="80">
        <f>SUMIFS($AU$1035:AU1287,$Q$1035:Q1287,"F")</f>
        <v>112.00000000000057</v>
      </c>
      <c r="BJ1199" s="80">
        <f>SUMIFS($AU$1035:AU1287,$Q$1035:Q1287,"S")</f>
        <v>-15.999999999994088</v>
      </c>
      <c r="BK1199" s="87">
        <f>SUMIFS($AU$1035:AU1287,$P$1035:P1287,"W")</f>
        <v>-960.00000000003297</v>
      </c>
      <c r="BL1199" s="87">
        <f>SUMIFS($AU$1035:AU1287,$P$1035:P1287,"R")</f>
        <v>1024.0000000000007</v>
      </c>
      <c r="BM1199" s="87">
        <f>SUMIFS($AU$1035:AU1287,$AQ$1035:AQ1287,"M")</f>
        <v>-899.79999999984489</v>
      </c>
      <c r="BN1199" s="87">
        <f>SUMIFS($AU$1035:AU1287,$AQ$1035:AQ1287,"H")</f>
        <v>1583.9999999998265</v>
      </c>
      <c r="BO1199" s="87">
        <f>SUMIFS($AU$1035:AU1287,$AQ$1035:AQ1287,"D")</f>
        <v>-479.9999999999896</v>
      </c>
      <c r="BP1199" s="87">
        <f>SUMIFS($AS$1035:AS1375,$AO$1035:AO1375,"W")</f>
        <v>0</v>
      </c>
      <c r="BQ1199" s="87">
        <f>SUMIFS($AU$1035:AU1287,$Q$1035:Q1287,"O")</f>
        <v>-1079.7999999999552</v>
      </c>
      <c r="BR1199" s="87">
        <f>SUMIFS($AU$1035:AU1287,$AA$1035:AA1287,"*")</f>
        <v>-499.79999999992333</v>
      </c>
      <c r="BS1199" s="87">
        <f>SUMIFS($AU$1035:AU1287,$AB$1035:AB1287,"*")</f>
        <v>-724.00000000009095</v>
      </c>
      <c r="BT1199" s="87">
        <f>SUMIFS($AU$1035:AU1287,$AC$1035:AC1287,"*")</f>
        <v>112.00000000000097</v>
      </c>
      <c r="BU1199" s="87">
        <f>SUMIFS($AU$1035:AU1287,$AA$1035:AA1287,"*",$AB$1035:AB1287,"*")</f>
        <v>47.999999999934744</v>
      </c>
      <c r="BV1199" s="87">
        <f>SUMIFS($AU$1035:AU1287,$AA$1035:AA1287,"*",$AC$1035:AC1287,"*")</f>
        <v>-335.99999999999977</v>
      </c>
      <c r="BW1199" s="87">
        <f>SUMIFS($AU$1035:AU1287,$AB$1035:AB1287,"*",$AC$1035:AC1287,"*")</f>
        <v>-143.99999999999966</v>
      </c>
      <c r="BX1199" s="87">
        <f>SUMIFS($AV$1035:AV1287,$Q$1035:Q1287,"F")</f>
        <v>34.153846153846246</v>
      </c>
      <c r="BY1199" s="87">
        <f>SUMIFS($AV$1035:AV1287,$Q$1035:Q1287,"S")</f>
        <v>20.914285714286223</v>
      </c>
      <c r="BZ1199" s="87">
        <f>SUMIFS($AV$1035:AV1287,$Q$1035:Q1287,"O")</f>
        <v>-445.13333333327751</v>
      </c>
    </row>
    <row r="1200" spans="1:78" ht="15.75" customHeight="1">
      <c r="A1200" s="45" t="s">
        <v>3357</v>
      </c>
      <c r="B1200" s="59"/>
      <c r="C1200" s="46"/>
      <c r="D1200" s="46"/>
      <c r="E1200" s="66"/>
      <c r="F1200" s="47"/>
      <c r="G1200" s="48"/>
      <c r="H1200" s="49"/>
      <c r="I1200" s="49"/>
      <c r="J1200" s="49"/>
      <c r="K1200" s="50"/>
      <c r="L1200" s="49"/>
      <c r="M1200" s="49"/>
      <c r="N1200" s="49"/>
      <c r="O1200" s="50"/>
      <c r="P1200" s="50"/>
      <c r="Q1200" s="50"/>
      <c r="R1200" s="50"/>
      <c r="S1200" s="50"/>
      <c r="T1200" s="50"/>
      <c r="U1200" s="50"/>
      <c r="V1200" s="50"/>
      <c r="W1200" s="50"/>
      <c r="X1200" s="50"/>
      <c r="Y1200" s="50"/>
      <c r="Z1200" s="50"/>
      <c r="AA1200" s="52"/>
      <c r="AB1200" s="52"/>
      <c r="AC1200" s="52"/>
      <c r="AD1200" s="231"/>
      <c r="AE1200" s="49"/>
      <c r="AF1200" s="84"/>
      <c r="AG1200" s="49"/>
      <c r="AH1200" s="49"/>
      <c r="AI1200" s="49"/>
      <c r="AJ1200" s="226"/>
      <c r="AK1200" s="49"/>
      <c r="AL1200" s="113">
        <f t="shared" si="566"/>
        <v>0</v>
      </c>
      <c r="AM1200" s="113">
        <f t="shared" si="567"/>
        <v>0</v>
      </c>
      <c r="AN1200" s="218"/>
      <c r="AO1200" s="49"/>
      <c r="AP1200" s="49"/>
      <c r="AQ1200" s="84" t="str">
        <f>UPPER(RIGHT(Journal_Live[[#This Row],[DURATION ]]))</f>
        <v/>
      </c>
      <c r="AR1200" s="49"/>
      <c r="AS1200" s="55"/>
      <c r="AT1200" s="55">
        <f t="shared" si="568"/>
        <v>0</v>
      </c>
      <c r="AU1200" s="54">
        <f t="shared" si="569"/>
        <v>0</v>
      </c>
      <c r="AV1200" s="56">
        <f t="shared" si="570"/>
        <v>0</v>
      </c>
      <c r="AW1200" s="57"/>
      <c r="AX1200" s="153"/>
      <c r="AY1200" s="153"/>
      <c r="AZ1200" s="153"/>
      <c r="BA1200" s="153"/>
      <c r="BB1200" s="153"/>
      <c r="BC1200" s="153"/>
      <c r="BD1200" s="151"/>
      <c r="BE1200" s="152"/>
      <c r="BF1200" s="151"/>
      <c r="BG1200" s="94">
        <f>SUM($AV$1035:AV1200)</f>
        <v>-390.06520146514509</v>
      </c>
      <c r="BH1200" s="95">
        <f>SUM($AU$1035:AU1200)</f>
        <v>-983.79999999994902</v>
      </c>
      <c r="BI1200" s="80">
        <f>SUMIFS($AU$1035:AU1288,$Q$1035:Q1288,"F")</f>
        <v>112.00000000000057</v>
      </c>
      <c r="BJ1200" s="80">
        <f>SUMIFS($AU$1035:AU1288,$Q$1035:Q1288,"S")</f>
        <v>-15.999999999994088</v>
      </c>
      <c r="BK1200" s="87">
        <f>SUMIFS($AU$1035:AU1288,$P$1035:P1288,"W")</f>
        <v>-960.00000000003297</v>
      </c>
      <c r="BL1200" s="87">
        <f>SUMIFS($AU$1035:AU1288,$P$1035:P1288,"R")</f>
        <v>1024.0000000000007</v>
      </c>
      <c r="BM1200" s="87">
        <f>SUMIFS($AU$1035:AU1288,$AQ$1035:AQ1288,"M")</f>
        <v>-899.79999999984489</v>
      </c>
      <c r="BN1200" s="87">
        <f>SUMIFS($AU$1035:AU1288,$AQ$1035:AQ1288,"H")</f>
        <v>1583.9999999998265</v>
      </c>
      <c r="BO1200" s="87">
        <f>SUMIFS($AU$1035:AU1288,$AQ$1035:AQ1288,"D")</f>
        <v>-479.9999999999896</v>
      </c>
      <c r="BP1200" s="87">
        <f>SUMIFS($AS$1035:AS1376,$AO$1035:AO1376,"W")</f>
        <v>0</v>
      </c>
      <c r="BQ1200" s="87">
        <f>SUMIFS($AU$1035:AU1288,$Q$1035:Q1288,"O")</f>
        <v>-1079.7999999999552</v>
      </c>
      <c r="BR1200" s="87">
        <f>SUMIFS($AU$1035:AU1288,$AA$1035:AA1288,"*")</f>
        <v>-499.79999999992333</v>
      </c>
      <c r="BS1200" s="87">
        <f>SUMIFS($AU$1035:AU1288,$AB$1035:AB1288,"*")</f>
        <v>-724.00000000009095</v>
      </c>
      <c r="BT1200" s="87">
        <f>SUMIFS($AU$1035:AU1288,$AC$1035:AC1288,"*")</f>
        <v>112.00000000000097</v>
      </c>
      <c r="BU1200" s="87">
        <f>SUMIFS($AU$1035:AU1288,$AA$1035:AA1288,"*",$AB$1035:AB1288,"*")</f>
        <v>47.999999999934744</v>
      </c>
      <c r="BV1200" s="87">
        <f>SUMIFS($AU$1035:AU1288,$AA$1035:AA1288,"*",$AC$1035:AC1288,"*")</f>
        <v>-335.99999999999977</v>
      </c>
      <c r="BW1200" s="87">
        <f>SUMIFS($AU$1035:AU1288,$AB$1035:AB1288,"*",$AC$1035:AC1288,"*")</f>
        <v>-143.99999999999966</v>
      </c>
      <c r="BX1200" s="87">
        <f>SUMIFS($AV$1035:AV1288,$Q$1035:Q1288,"F")</f>
        <v>34.153846153846246</v>
      </c>
      <c r="BY1200" s="87">
        <f>SUMIFS($AV$1035:AV1288,$Q$1035:Q1288,"S")</f>
        <v>20.914285714286223</v>
      </c>
      <c r="BZ1200" s="87">
        <f>SUMIFS($AV$1035:AV1288,$Q$1035:Q1288,"O")</f>
        <v>-445.13333333327751</v>
      </c>
    </row>
    <row r="1201" spans="1:78" ht="15.75" customHeight="1">
      <c r="A1201" s="45" t="s">
        <v>3357</v>
      </c>
      <c r="B1201" s="59"/>
      <c r="C1201" s="46"/>
      <c r="D1201" s="46"/>
      <c r="E1201" s="66"/>
      <c r="F1201" s="47"/>
      <c r="G1201" s="48"/>
      <c r="H1201" s="49"/>
      <c r="I1201" s="49"/>
      <c r="J1201" s="49"/>
      <c r="K1201" s="50"/>
      <c r="L1201" s="49"/>
      <c r="M1201" s="49"/>
      <c r="N1201" s="49"/>
      <c r="O1201" s="50"/>
      <c r="P1201" s="50"/>
      <c r="Q1201" s="50"/>
      <c r="R1201" s="50"/>
      <c r="S1201" s="50"/>
      <c r="T1201" s="50"/>
      <c r="U1201" s="50"/>
      <c r="V1201" s="50"/>
      <c r="W1201" s="50"/>
      <c r="X1201" s="50"/>
      <c r="Y1201" s="50"/>
      <c r="Z1201" s="50"/>
      <c r="AA1201" s="52"/>
      <c r="AB1201" s="52"/>
      <c r="AC1201" s="52"/>
      <c r="AD1201" s="231"/>
      <c r="AE1201" s="49"/>
      <c r="AF1201" s="84"/>
      <c r="AG1201" s="49"/>
      <c r="AH1201" s="49"/>
      <c r="AI1201" s="49"/>
      <c r="AJ1201" s="226"/>
      <c r="AK1201" s="49"/>
      <c r="AL1201" s="113">
        <f t="shared" si="566"/>
        <v>0</v>
      </c>
      <c r="AM1201" s="113">
        <f t="shared" si="567"/>
        <v>0</v>
      </c>
      <c r="AN1201" s="218"/>
      <c r="AO1201" s="49"/>
      <c r="AP1201" s="49"/>
      <c r="AQ1201" s="84" t="str">
        <f>UPPER(RIGHT(Journal_Live[[#This Row],[DURATION ]]))</f>
        <v/>
      </c>
      <c r="AR1201" s="49"/>
      <c r="AS1201" s="55"/>
      <c r="AT1201" s="55">
        <f t="shared" si="568"/>
        <v>0</v>
      </c>
      <c r="AU1201" s="54">
        <f t="shared" si="569"/>
        <v>0</v>
      </c>
      <c r="AV1201" s="56">
        <f t="shared" si="570"/>
        <v>0</v>
      </c>
      <c r="AW1201" s="57"/>
      <c r="AX1201" s="153"/>
      <c r="AY1201" s="153"/>
      <c r="AZ1201" s="153"/>
      <c r="BA1201" s="153"/>
      <c r="BB1201" s="153"/>
      <c r="BC1201" s="153"/>
      <c r="BD1201" s="151"/>
      <c r="BE1201" s="152"/>
      <c r="BF1201" s="151"/>
      <c r="BG1201" s="94">
        <f>SUM($AV$1035:AV1201)</f>
        <v>-390.06520146514509</v>
      </c>
      <c r="BH1201" s="95">
        <f>SUM($AU$1035:AU1201)</f>
        <v>-983.79999999994902</v>
      </c>
      <c r="BI1201" s="80">
        <f>SUMIFS($AU$1035:AU1289,$Q$1035:Q1289,"F")</f>
        <v>112.00000000000057</v>
      </c>
      <c r="BJ1201" s="80">
        <f>SUMIFS($AU$1035:AU1289,$Q$1035:Q1289,"S")</f>
        <v>-15.999999999994088</v>
      </c>
      <c r="BK1201" s="87">
        <f>SUMIFS($AU$1035:AU1289,$P$1035:P1289,"W")</f>
        <v>-960.00000000003297</v>
      </c>
      <c r="BL1201" s="87">
        <f>SUMIFS($AU$1035:AU1289,$P$1035:P1289,"R")</f>
        <v>1024.0000000000007</v>
      </c>
      <c r="BM1201" s="87">
        <f>SUMIFS($AU$1035:AU1289,$AQ$1035:AQ1289,"M")</f>
        <v>-899.79999999984489</v>
      </c>
      <c r="BN1201" s="87">
        <f>SUMIFS($AU$1035:AU1289,$AQ$1035:AQ1289,"H")</f>
        <v>1583.9999999998265</v>
      </c>
      <c r="BO1201" s="87">
        <f>SUMIFS($AU$1035:AU1289,$AQ$1035:AQ1289,"D")</f>
        <v>-479.9999999999896</v>
      </c>
      <c r="BP1201" s="87">
        <f>SUMIFS($AS$1035:AS1377,$AO$1035:AO1377,"W")</f>
        <v>0</v>
      </c>
      <c r="BQ1201" s="87">
        <f>SUMIFS($AU$1035:AU1289,$Q$1035:Q1289,"O")</f>
        <v>-1079.7999999999552</v>
      </c>
      <c r="BR1201" s="87">
        <f>SUMIFS($AU$1035:AU1289,$AA$1035:AA1289,"*")</f>
        <v>-499.79999999992333</v>
      </c>
      <c r="BS1201" s="87">
        <f>SUMIFS($AU$1035:AU1289,$AB$1035:AB1289,"*")</f>
        <v>-724.00000000009095</v>
      </c>
      <c r="BT1201" s="87">
        <f>SUMIFS($AU$1035:AU1289,$AC$1035:AC1289,"*")</f>
        <v>112.00000000000097</v>
      </c>
      <c r="BU1201" s="87">
        <f>SUMIFS($AU$1035:AU1289,$AA$1035:AA1289,"*",$AB$1035:AB1289,"*")</f>
        <v>47.999999999934744</v>
      </c>
      <c r="BV1201" s="87">
        <f>SUMIFS($AU$1035:AU1289,$AA$1035:AA1289,"*",$AC$1035:AC1289,"*")</f>
        <v>-335.99999999999977</v>
      </c>
      <c r="BW1201" s="87">
        <f>SUMIFS($AU$1035:AU1289,$AB$1035:AB1289,"*",$AC$1035:AC1289,"*")</f>
        <v>-143.99999999999966</v>
      </c>
      <c r="BX1201" s="87">
        <f>SUMIFS($AV$1035:AV1289,$Q$1035:Q1289,"F")</f>
        <v>34.153846153846246</v>
      </c>
      <c r="BY1201" s="87">
        <f>SUMIFS($AV$1035:AV1289,$Q$1035:Q1289,"S")</f>
        <v>20.914285714286223</v>
      </c>
      <c r="BZ1201" s="87">
        <f>SUMIFS($AV$1035:AV1289,$Q$1035:Q1289,"O")</f>
        <v>-445.13333333327751</v>
      </c>
    </row>
    <row r="1202" spans="1:78" ht="15.75" customHeight="1">
      <c r="A1202" s="45" t="s">
        <v>3357</v>
      </c>
      <c r="B1202" s="59"/>
      <c r="C1202" s="46"/>
      <c r="D1202" s="46"/>
      <c r="E1202" s="66"/>
      <c r="F1202" s="47"/>
      <c r="G1202" s="48"/>
      <c r="H1202" s="49"/>
      <c r="I1202" s="49"/>
      <c r="J1202" s="49"/>
      <c r="K1202" s="50"/>
      <c r="L1202" s="49"/>
      <c r="M1202" s="49"/>
      <c r="N1202" s="49"/>
      <c r="O1202" s="50"/>
      <c r="P1202" s="50"/>
      <c r="Q1202" s="50"/>
      <c r="R1202" s="50"/>
      <c r="S1202" s="50"/>
      <c r="T1202" s="50"/>
      <c r="U1202" s="50"/>
      <c r="V1202" s="50"/>
      <c r="W1202" s="50"/>
      <c r="X1202" s="50"/>
      <c r="Y1202" s="50"/>
      <c r="Z1202" s="50"/>
      <c r="AA1202" s="52"/>
      <c r="AB1202" s="52"/>
      <c r="AC1202" s="52"/>
      <c r="AD1202" s="231"/>
      <c r="AE1202" s="49"/>
      <c r="AF1202" s="84"/>
      <c r="AG1202" s="49"/>
      <c r="AH1202" s="49"/>
      <c r="AI1202" s="49"/>
      <c r="AJ1202" s="226"/>
      <c r="AK1202" s="49"/>
      <c r="AL1202" s="113">
        <f t="shared" si="566"/>
        <v>0</v>
      </c>
      <c r="AM1202" s="113">
        <f t="shared" si="567"/>
        <v>0</v>
      </c>
      <c r="AN1202" s="218"/>
      <c r="AO1202" s="49"/>
      <c r="AP1202" s="49"/>
      <c r="AQ1202" s="84" t="str">
        <f>UPPER(RIGHT(Journal_Live[[#This Row],[DURATION ]]))</f>
        <v/>
      </c>
      <c r="AR1202" s="49"/>
      <c r="AS1202" s="55"/>
      <c r="AT1202" s="55">
        <f t="shared" si="568"/>
        <v>0</v>
      </c>
      <c r="AU1202" s="54">
        <f t="shared" si="569"/>
        <v>0</v>
      </c>
      <c r="AV1202" s="56">
        <f t="shared" si="570"/>
        <v>0</v>
      </c>
      <c r="AW1202" s="57"/>
      <c r="AX1202" s="153"/>
      <c r="AY1202" s="153"/>
      <c r="AZ1202" s="153"/>
      <c r="BA1202" s="153"/>
      <c r="BB1202" s="153"/>
      <c r="BC1202" s="153"/>
      <c r="BD1202" s="151"/>
      <c r="BE1202" s="152"/>
      <c r="BF1202" s="151"/>
      <c r="BG1202" s="94">
        <f>SUM($AV$1035:AV1202)</f>
        <v>-390.06520146514509</v>
      </c>
      <c r="BH1202" s="95">
        <f>SUM($AU$1035:AU1202)</f>
        <v>-983.79999999994902</v>
      </c>
      <c r="BI1202" s="80">
        <f>SUMIFS($AU$1035:AU1290,$Q$1035:Q1290,"F")</f>
        <v>112.00000000000057</v>
      </c>
      <c r="BJ1202" s="80">
        <f>SUMIFS($AU$1035:AU1290,$Q$1035:Q1290,"S")</f>
        <v>-15.999999999994088</v>
      </c>
      <c r="BK1202" s="87">
        <f>SUMIFS($AU$1035:AU1290,$P$1035:P1290,"W")</f>
        <v>-960.00000000003297</v>
      </c>
      <c r="BL1202" s="87">
        <f>SUMIFS($AU$1035:AU1290,$P$1035:P1290,"R")</f>
        <v>1024.0000000000007</v>
      </c>
      <c r="BM1202" s="87">
        <f>SUMIFS($AU$1035:AU1290,$AQ$1035:AQ1290,"M")</f>
        <v>-899.79999999984489</v>
      </c>
      <c r="BN1202" s="87">
        <f>SUMIFS($AU$1035:AU1290,$AQ$1035:AQ1290,"H")</f>
        <v>1583.9999999998265</v>
      </c>
      <c r="BO1202" s="87">
        <f>SUMIFS($AU$1035:AU1290,$AQ$1035:AQ1290,"D")</f>
        <v>-479.9999999999896</v>
      </c>
      <c r="BP1202" s="87">
        <f>SUMIFS($AS$1035:AS1378,$AO$1035:AO1378,"W")</f>
        <v>0</v>
      </c>
      <c r="BQ1202" s="87">
        <f>SUMIFS($AU$1035:AU1290,$Q$1035:Q1290,"O")</f>
        <v>-1079.7999999999552</v>
      </c>
      <c r="BR1202" s="87">
        <f>SUMIFS($AU$1035:AU1290,$AA$1035:AA1290,"*")</f>
        <v>-499.79999999992333</v>
      </c>
      <c r="BS1202" s="87">
        <f>SUMIFS($AU$1035:AU1290,$AB$1035:AB1290,"*")</f>
        <v>-724.00000000009095</v>
      </c>
      <c r="BT1202" s="87">
        <f>SUMIFS($AU$1035:AU1290,$AC$1035:AC1290,"*")</f>
        <v>112.00000000000097</v>
      </c>
      <c r="BU1202" s="87">
        <f>SUMIFS($AU$1035:AU1290,$AA$1035:AA1290,"*",$AB$1035:AB1290,"*")</f>
        <v>47.999999999934744</v>
      </c>
      <c r="BV1202" s="87">
        <f>SUMIFS($AU$1035:AU1290,$AA$1035:AA1290,"*",$AC$1035:AC1290,"*")</f>
        <v>-335.99999999999977</v>
      </c>
      <c r="BW1202" s="87">
        <f>SUMIFS($AU$1035:AU1290,$AB$1035:AB1290,"*",$AC$1035:AC1290,"*")</f>
        <v>-143.99999999999966</v>
      </c>
      <c r="BX1202" s="87">
        <f>SUMIFS($AV$1035:AV1290,$Q$1035:Q1290,"F")</f>
        <v>34.153846153846246</v>
      </c>
      <c r="BY1202" s="87">
        <f>SUMIFS($AV$1035:AV1290,$Q$1035:Q1290,"S")</f>
        <v>20.914285714286223</v>
      </c>
      <c r="BZ1202" s="87">
        <f>SUMIFS($AV$1035:AV1290,$Q$1035:Q1290,"O")</f>
        <v>-445.13333333327751</v>
      </c>
    </row>
    <row r="1203" spans="1:78" ht="15.75" customHeight="1">
      <c r="A1203" s="45" t="s">
        <v>3357</v>
      </c>
      <c r="B1203" s="59"/>
      <c r="C1203" s="46"/>
      <c r="D1203" s="46"/>
      <c r="E1203" s="66"/>
      <c r="F1203" s="47"/>
      <c r="G1203" s="48"/>
      <c r="H1203" s="49"/>
      <c r="I1203" s="49"/>
      <c r="J1203" s="49"/>
      <c r="K1203" s="50"/>
      <c r="L1203" s="49"/>
      <c r="M1203" s="49"/>
      <c r="N1203" s="49"/>
      <c r="O1203" s="50"/>
      <c r="P1203" s="50"/>
      <c r="Q1203" s="50"/>
      <c r="R1203" s="50"/>
      <c r="S1203" s="50"/>
      <c r="T1203" s="50"/>
      <c r="U1203" s="50"/>
      <c r="V1203" s="50"/>
      <c r="W1203" s="50"/>
      <c r="X1203" s="50"/>
      <c r="Y1203" s="50"/>
      <c r="Z1203" s="50"/>
      <c r="AA1203" s="52"/>
      <c r="AB1203" s="52"/>
      <c r="AC1203" s="52"/>
      <c r="AD1203" s="231"/>
      <c r="AE1203" s="49"/>
      <c r="AF1203" s="84"/>
      <c r="AG1203" s="49"/>
      <c r="AH1203" s="49"/>
      <c r="AI1203" s="49"/>
      <c r="AJ1203" s="226"/>
      <c r="AK1203" s="49"/>
      <c r="AL1203" s="113">
        <f t="shared" si="566"/>
        <v>0</v>
      </c>
      <c r="AM1203" s="113">
        <f t="shared" si="567"/>
        <v>0</v>
      </c>
      <c r="AN1203" s="218"/>
      <c r="AO1203" s="49"/>
      <c r="AP1203" s="49"/>
      <c r="AQ1203" s="84" t="str">
        <f>UPPER(RIGHT(Journal_Live[[#This Row],[DURATION ]]))</f>
        <v/>
      </c>
      <c r="AR1203" s="49"/>
      <c r="AS1203" s="55"/>
      <c r="AT1203" s="55">
        <f t="shared" si="568"/>
        <v>0</v>
      </c>
      <c r="AU1203" s="54">
        <f t="shared" si="569"/>
        <v>0</v>
      </c>
      <c r="AV1203" s="56">
        <f t="shared" si="570"/>
        <v>0</v>
      </c>
      <c r="AW1203" s="57"/>
      <c r="AX1203" s="153"/>
      <c r="AY1203" s="153"/>
      <c r="AZ1203" s="153"/>
      <c r="BA1203" s="153"/>
      <c r="BB1203" s="153"/>
      <c r="BC1203" s="153"/>
      <c r="BD1203" s="151"/>
      <c r="BE1203" s="152"/>
      <c r="BF1203" s="151"/>
      <c r="BG1203" s="94">
        <f>SUM($AV$1035:AV1203)</f>
        <v>-390.06520146514509</v>
      </c>
      <c r="BH1203" s="95">
        <f>SUM($AU$1035:AU1203)</f>
        <v>-983.79999999994902</v>
      </c>
      <c r="BI1203" s="80">
        <f>SUMIFS($AU$1035:AU1291,$Q$1035:Q1291,"F")</f>
        <v>112.00000000000057</v>
      </c>
      <c r="BJ1203" s="80">
        <f>SUMIFS($AU$1035:AU1291,$Q$1035:Q1291,"S")</f>
        <v>-15.999999999994088</v>
      </c>
      <c r="BK1203" s="87">
        <f>SUMIFS($AU$1035:AU1291,$P$1035:P1291,"W")</f>
        <v>-960.00000000003297</v>
      </c>
      <c r="BL1203" s="87">
        <f>SUMIFS($AU$1035:AU1291,$P$1035:P1291,"R")</f>
        <v>1024.0000000000007</v>
      </c>
      <c r="BM1203" s="87">
        <f>SUMIFS($AU$1035:AU1291,$AQ$1035:AQ1291,"M")</f>
        <v>-899.79999999984489</v>
      </c>
      <c r="BN1203" s="87">
        <f>SUMIFS($AU$1035:AU1291,$AQ$1035:AQ1291,"H")</f>
        <v>1583.9999999998265</v>
      </c>
      <c r="BO1203" s="87">
        <f>SUMIFS($AU$1035:AU1291,$AQ$1035:AQ1291,"D")</f>
        <v>-479.9999999999896</v>
      </c>
      <c r="BP1203" s="87">
        <f>SUMIFS($AS$1035:AS1379,$AO$1035:AO1379,"W")</f>
        <v>0</v>
      </c>
      <c r="BQ1203" s="87">
        <f>SUMIFS($AU$1035:AU1291,$Q$1035:Q1291,"O")</f>
        <v>-1079.7999999999552</v>
      </c>
      <c r="BR1203" s="87">
        <f>SUMIFS($AU$1035:AU1291,$AA$1035:AA1291,"*")</f>
        <v>-499.79999999992333</v>
      </c>
      <c r="BS1203" s="87">
        <f>SUMIFS($AU$1035:AU1291,$AB$1035:AB1291,"*")</f>
        <v>-724.00000000009095</v>
      </c>
      <c r="BT1203" s="87">
        <f>SUMIFS($AU$1035:AU1291,$AC$1035:AC1291,"*")</f>
        <v>112.00000000000097</v>
      </c>
      <c r="BU1203" s="87">
        <f>SUMIFS($AU$1035:AU1291,$AA$1035:AA1291,"*",$AB$1035:AB1291,"*")</f>
        <v>47.999999999934744</v>
      </c>
      <c r="BV1203" s="87">
        <f>SUMIFS($AU$1035:AU1291,$AA$1035:AA1291,"*",$AC$1035:AC1291,"*")</f>
        <v>-335.99999999999977</v>
      </c>
      <c r="BW1203" s="87">
        <f>SUMIFS($AU$1035:AU1291,$AB$1035:AB1291,"*",$AC$1035:AC1291,"*")</f>
        <v>-143.99999999999966</v>
      </c>
      <c r="BX1203" s="87">
        <f>SUMIFS($AV$1035:AV1291,$Q$1035:Q1291,"F")</f>
        <v>34.153846153846246</v>
      </c>
      <c r="BY1203" s="87">
        <f>SUMIFS($AV$1035:AV1291,$Q$1035:Q1291,"S")</f>
        <v>20.914285714286223</v>
      </c>
      <c r="BZ1203" s="87">
        <f>SUMIFS($AV$1035:AV1291,$Q$1035:Q1291,"O")</f>
        <v>-445.13333333327751</v>
      </c>
    </row>
    <row r="1204" spans="1:78" ht="15.75" customHeight="1">
      <c r="A1204" s="45" t="s">
        <v>3357</v>
      </c>
      <c r="B1204" s="59"/>
      <c r="C1204" s="46"/>
      <c r="D1204" s="46"/>
      <c r="E1204" s="66"/>
      <c r="F1204" s="47"/>
      <c r="G1204" s="48"/>
      <c r="H1204" s="49"/>
      <c r="I1204" s="49"/>
      <c r="J1204" s="49"/>
      <c r="K1204" s="50"/>
      <c r="L1204" s="49"/>
      <c r="M1204" s="49"/>
      <c r="N1204" s="49"/>
      <c r="O1204" s="50"/>
      <c r="P1204" s="50"/>
      <c r="Q1204" s="50"/>
      <c r="R1204" s="50"/>
      <c r="S1204" s="50"/>
      <c r="T1204" s="50"/>
      <c r="U1204" s="50"/>
      <c r="V1204" s="50"/>
      <c r="W1204" s="50"/>
      <c r="X1204" s="50"/>
      <c r="Y1204" s="50"/>
      <c r="Z1204" s="50"/>
      <c r="AA1204" s="52"/>
      <c r="AB1204" s="52"/>
      <c r="AC1204" s="52"/>
      <c r="AD1204" s="231"/>
      <c r="AE1204" s="49"/>
      <c r="AF1204" s="84"/>
      <c r="AG1204" s="49"/>
      <c r="AH1204" s="49"/>
      <c r="AI1204" s="49"/>
      <c r="AJ1204" s="226"/>
      <c r="AK1204" s="49"/>
      <c r="AL1204" s="113">
        <f t="shared" si="566"/>
        <v>0</v>
      </c>
      <c r="AM1204" s="113">
        <f t="shared" si="567"/>
        <v>0</v>
      </c>
      <c r="AN1204" s="218"/>
      <c r="AO1204" s="49"/>
      <c r="AP1204" s="49"/>
      <c r="AQ1204" s="84" t="str">
        <f>UPPER(RIGHT(Journal_Live[[#This Row],[DURATION ]]))</f>
        <v/>
      </c>
      <c r="AR1204" s="49"/>
      <c r="AS1204" s="55"/>
      <c r="AT1204" s="55">
        <f t="shared" si="568"/>
        <v>0</v>
      </c>
      <c r="AU1204" s="54">
        <f t="shared" si="569"/>
        <v>0</v>
      </c>
      <c r="AV1204" s="56">
        <f t="shared" si="570"/>
        <v>0</v>
      </c>
      <c r="AW1204" s="57"/>
      <c r="AX1204" s="153"/>
      <c r="AY1204" s="153"/>
      <c r="AZ1204" s="153"/>
      <c r="BA1204" s="153"/>
      <c r="BB1204" s="153"/>
      <c r="BC1204" s="153"/>
      <c r="BD1204" s="151"/>
      <c r="BE1204" s="152"/>
      <c r="BF1204" s="151"/>
      <c r="BG1204" s="94">
        <f>SUM($AV$1035:AV1204)</f>
        <v>-390.06520146514509</v>
      </c>
      <c r="BH1204" s="95">
        <f>SUM($AU$1035:AU1204)</f>
        <v>-983.79999999994902</v>
      </c>
      <c r="BI1204" s="80">
        <f>SUMIFS($AU$1035:AU1292,$Q$1035:Q1292,"F")</f>
        <v>112.00000000000057</v>
      </c>
      <c r="BJ1204" s="80">
        <f>SUMIFS($AU$1035:AU1292,$Q$1035:Q1292,"S")</f>
        <v>-15.999999999994088</v>
      </c>
      <c r="BK1204" s="87">
        <f>SUMIFS($AU$1035:AU1292,$P$1035:P1292,"W")</f>
        <v>-960.00000000003297</v>
      </c>
      <c r="BL1204" s="87">
        <f>SUMIFS($AU$1035:AU1292,$P$1035:P1292,"R")</f>
        <v>1024.0000000000007</v>
      </c>
      <c r="BM1204" s="87">
        <f>SUMIFS($AU$1035:AU1292,$AQ$1035:AQ1292,"M")</f>
        <v>-899.79999999984489</v>
      </c>
      <c r="BN1204" s="87">
        <f>SUMIFS($AU$1035:AU1292,$AQ$1035:AQ1292,"H")</f>
        <v>1583.9999999998265</v>
      </c>
      <c r="BO1204" s="87">
        <f>SUMIFS($AU$1035:AU1292,$AQ$1035:AQ1292,"D")</f>
        <v>-479.9999999999896</v>
      </c>
      <c r="BP1204" s="87">
        <f>SUMIFS($AS$1035:AS1380,$AO$1035:AO1380,"W")</f>
        <v>0</v>
      </c>
      <c r="BQ1204" s="87">
        <f>SUMIFS($AU$1035:AU1292,$Q$1035:Q1292,"O")</f>
        <v>-1079.7999999999552</v>
      </c>
      <c r="BR1204" s="87">
        <f>SUMIFS($AU$1035:AU1292,$AA$1035:AA1292,"*")</f>
        <v>-499.79999999992333</v>
      </c>
      <c r="BS1204" s="87">
        <f>SUMIFS($AU$1035:AU1292,$AB$1035:AB1292,"*")</f>
        <v>-724.00000000009095</v>
      </c>
      <c r="BT1204" s="87">
        <f>SUMIFS($AU$1035:AU1292,$AC$1035:AC1292,"*")</f>
        <v>112.00000000000097</v>
      </c>
      <c r="BU1204" s="87">
        <f>SUMIFS($AU$1035:AU1292,$AA$1035:AA1292,"*",$AB$1035:AB1292,"*")</f>
        <v>47.999999999934744</v>
      </c>
      <c r="BV1204" s="87">
        <f>SUMIFS($AU$1035:AU1292,$AA$1035:AA1292,"*",$AC$1035:AC1292,"*")</f>
        <v>-335.99999999999977</v>
      </c>
      <c r="BW1204" s="87">
        <f>SUMIFS($AU$1035:AU1292,$AB$1035:AB1292,"*",$AC$1035:AC1292,"*")</f>
        <v>-143.99999999999966</v>
      </c>
      <c r="BX1204" s="87">
        <f>SUMIFS($AV$1035:AV1292,$Q$1035:Q1292,"F")</f>
        <v>34.153846153846246</v>
      </c>
      <c r="BY1204" s="87">
        <f>SUMIFS($AV$1035:AV1292,$Q$1035:Q1292,"S")</f>
        <v>20.914285714286223</v>
      </c>
      <c r="BZ1204" s="87">
        <f>SUMIFS($AV$1035:AV1292,$Q$1035:Q1292,"O")</f>
        <v>-445.13333333327751</v>
      </c>
    </row>
    <row r="1205" spans="1:78" ht="15.75" customHeight="1">
      <c r="A1205" s="45" t="s">
        <v>3357</v>
      </c>
      <c r="B1205" s="59"/>
      <c r="C1205" s="46"/>
      <c r="D1205" s="46"/>
      <c r="E1205" s="66"/>
      <c r="F1205" s="47"/>
      <c r="G1205" s="48"/>
      <c r="H1205" s="49"/>
      <c r="I1205" s="49"/>
      <c r="J1205" s="49"/>
      <c r="K1205" s="50"/>
      <c r="L1205" s="49"/>
      <c r="M1205" s="49"/>
      <c r="N1205" s="49"/>
      <c r="O1205" s="50"/>
      <c r="P1205" s="50"/>
      <c r="Q1205" s="50"/>
      <c r="R1205" s="50"/>
      <c r="S1205" s="50"/>
      <c r="T1205" s="50"/>
      <c r="U1205" s="50"/>
      <c r="V1205" s="50"/>
      <c r="W1205" s="50"/>
      <c r="X1205" s="50"/>
      <c r="Y1205" s="50"/>
      <c r="Z1205" s="50"/>
      <c r="AA1205" s="52"/>
      <c r="AB1205" s="52"/>
      <c r="AC1205" s="52"/>
      <c r="AD1205" s="231"/>
      <c r="AE1205" s="49"/>
      <c r="AF1205" s="84"/>
      <c r="AG1205" s="49"/>
      <c r="AH1205" s="49"/>
      <c r="AI1205" s="49"/>
      <c r="AJ1205" s="226"/>
      <c r="AK1205" s="49"/>
      <c r="AL1205" s="113">
        <f t="shared" si="566"/>
        <v>0</v>
      </c>
      <c r="AM1205" s="113">
        <f t="shared" si="567"/>
        <v>0</v>
      </c>
      <c r="AN1205" s="218"/>
      <c r="AO1205" s="49"/>
      <c r="AP1205" s="49"/>
      <c r="AQ1205" s="84" t="str">
        <f>UPPER(RIGHT(Journal_Live[[#This Row],[DURATION ]]))</f>
        <v/>
      </c>
      <c r="AR1205" s="49"/>
      <c r="AS1205" s="55"/>
      <c r="AT1205" s="55">
        <f t="shared" si="568"/>
        <v>0</v>
      </c>
      <c r="AU1205" s="54">
        <f t="shared" si="569"/>
        <v>0</v>
      </c>
      <c r="AV1205" s="56">
        <f t="shared" si="570"/>
        <v>0</v>
      </c>
      <c r="AW1205" s="57"/>
      <c r="AX1205" s="153"/>
      <c r="AY1205" s="153"/>
      <c r="AZ1205" s="153"/>
      <c r="BA1205" s="153"/>
      <c r="BB1205" s="153"/>
      <c r="BC1205" s="153"/>
      <c r="BD1205" s="151"/>
      <c r="BE1205" s="152"/>
      <c r="BF1205" s="151"/>
      <c r="BG1205" s="94">
        <f>SUM($AV$1035:AV1205)</f>
        <v>-390.06520146514509</v>
      </c>
      <c r="BH1205" s="95">
        <f>SUM($AU$1035:AU1205)</f>
        <v>-983.79999999994902</v>
      </c>
      <c r="BI1205" s="80">
        <f>SUMIFS($AU$1035:AU1293,$Q$1035:Q1293,"F")</f>
        <v>112.00000000000057</v>
      </c>
      <c r="BJ1205" s="80">
        <f>SUMIFS($AU$1035:AU1293,$Q$1035:Q1293,"S")</f>
        <v>-15.999999999994088</v>
      </c>
      <c r="BK1205" s="87">
        <f>SUMIFS($AU$1035:AU1293,$P$1035:P1293,"W")</f>
        <v>-960.00000000003297</v>
      </c>
      <c r="BL1205" s="87">
        <f>SUMIFS($AU$1035:AU1293,$P$1035:P1293,"R")</f>
        <v>1024.0000000000007</v>
      </c>
      <c r="BM1205" s="87">
        <f>SUMIFS($AU$1035:AU1293,$AQ$1035:AQ1293,"M")</f>
        <v>-899.79999999984489</v>
      </c>
      <c r="BN1205" s="87">
        <f>SUMIFS($AU$1035:AU1293,$AQ$1035:AQ1293,"H")</f>
        <v>1583.9999999998265</v>
      </c>
      <c r="BO1205" s="87">
        <f>SUMIFS($AU$1035:AU1293,$AQ$1035:AQ1293,"D")</f>
        <v>-479.9999999999896</v>
      </c>
      <c r="BP1205" s="87">
        <f>SUMIFS($AS$1035:AS1381,$AO$1035:AO1381,"W")</f>
        <v>0</v>
      </c>
      <c r="BQ1205" s="87">
        <f>SUMIFS($AU$1035:AU1293,$Q$1035:Q1293,"O")</f>
        <v>-1079.7999999999552</v>
      </c>
      <c r="BR1205" s="87">
        <f>SUMIFS($AU$1035:AU1293,$AA$1035:AA1293,"*")</f>
        <v>-499.79999999992333</v>
      </c>
      <c r="BS1205" s="87">
        <f>SUMIFS($AU$1035:AU1293,$AB$1035:AB1293,"*")</f>
        <v>-724.00000000009095</v>
      </c>
      <c r="BT1205" s="87">
        <f>SUMIFS($AU$1035:AU1293,$AC$1035:AC1293,"*")</f>
        <v>112.00000000000097</v>
      </c>
      <c r="BU1205" s="87">
        <f>SUMIFS($AU$1035:AU1293,$AA$1035:AA1293,"*",$AB$1035:AB1293,"*")</f>
        <v>47.999999999934744</v>
      </c>
      <c r="BV1205" s="87">
        <f>SUMIFS($AU$1035:AU1293,$AA$1035:AA1293,"*",$AC$1035:AC1293,"*")</f>
        <v>-335.99999999999977</v>
      </c>
      <c r="BW1205" s="87">
        <f>SUMIFS($AU$1035:AU1293,$AB$1035:AB1293,"*",$AC$1035:AC1293,"*")</f>
        <v>-143.99999999999966</v>
      </c>
      <c r="BX1205" s="87">
        <f>SUMIFS($AV$1035:AV1293,$Q$1035:Q1293,"F")</f>
        <v>34.153846153846246</v>
      </c>
      <c r="BY1205" s="87">
        <f>SUMIFS($AV$1035:AV1293,$Q$1035:Q1293,"S")</f>
        <v>20.914285714286223</v>
      </c>
      <c r="BZ1205" s="87">
        <f>SUMIFS($AV$1035:AV1293,$Q$1035:Q1293,"O")</f>
        <v>-445.13333333327751</v>
      </c>
    </row>
    <row r="1206" spans="1:78" ht="15.75" customHeight="1">
      <c r="A1206" s="45" t="s">
        <v>3357</v>
      </c>
      <c r="B1206" s="59"/>
      <c r="C1206" s="46"/>
      <c r="D1206" s="46"/>
      <c r="E1206" s="66"/>
      <c r="F1206" s="47"/>
      <c r="G1206" s="48"/>
      <c r="H1206" s="49"/>
      <c r="I1206" s="49"/>
      <c r="J1206" s="49"/>
      <c r="K1206" s="50"/>
      <c r="L1206" s="49"/>
      <c r="M1206" s="49"/>
      <c r="N1206" s="49"/>
      <c r="O1206" s="50"/>
      <c r="P1206" s="50"/>
      <c r="Q1206" s="50"/>
      <c r="R1206" s="50"/>
      <c r="S1206" s="50"/>
      <c r="T1206" s="50"/>
      <c r="U1206" s="50"/>
      <c r="V1206" s="50"/>
      <c r="W1206" s="50"/>
      <c r="X1206" s="50"/>
      <c r="Y1206" s="50"/>
      <c r="Z1206" s="50"/>
      <c r="AA1206" s="52"/>
      <c r="AB1206" s="52"/>
      <c r="AC1206" s="52"/>
      <c r="AD1206" s="231"/>
      <c r="AE1206" s="49"/>
      <c r="AF1206" s="84"/>
      <c r="AG1206" s="49"/>
      <c r="AH1206" s="49"/>
      <c r="AI1206" s="49"/>
      <c r="AJ1206" s="226"/>
      <c r="AK1206" s="49"/>
      <c r="AL1206" s="113">
        <f t="shared" si="566"/>
        <v>0</v>
      </c>
      <c r="AM1206" s="113">
        <f t="shared" si="567"/>
        <v>0</v>
      </c>
      <c r="AN1206" s="218"/>
      <c r="AO1206" s="49"/>
      <c r="AP1206" s="49"/>
      <c r="AQ1206" s="84" t="str">
        <f>UPPER(RIGHT(Journal_Live[[#This Row],[DURATION ]]))</f>
        <v/>
      </c>
      <c r="AR1206" s="49"/>
      <c r="AS1206" s="55"/>
      <c r="AT1206" s="55">
        <f t="shared" si="568"/>
        <v>0</v>
      </c>
      <c r="AU1206" s="54">
        <f t="shared" si="569"/>
        <v>0</v>
      </c>
      <c r="AV1206" s="56">
        <f t="shared" si="570"/>
        <v>0</v>
      </c>
      <c r="AW1206" s="57"/>
      <c r="AX1206" s="153"/>
      <c r="AY1206" s="153"/>
      <c r="AZ1206" s="153"/>
      <c r="BA1206" s="153"/>
      <c r="BB1206" s="153"/>
      <c r="BC1206" s="153"/>
      <c r="BD1206" s="151"/>
      <c r="BE1206" s="152"/>
      <c r="BF1206" s="151"/>
      <c r="BG1206" s="94">
        <f>SUM($AV$1035:AV1206)</f>
        <v>-390.06520146514509</v>
      </c>
      <c r="BH1206" s="95">
        <f>SUM($AU$1035:AU1206)</f>
        <v>-983.79999999994902</v>
      </c>
      <c r="BI1206" s="80">
        <f>SUMIFS($AU$1035:AU1294,$Q$1035:Q1294,"F")</f>
        <v>112.00000000000057</v>
      </c>
      <c r="BJ1206" s="80">
        <f>SUMIFS($AU$1035:AU1294,$Q$1035:Q1294,"S")</f>
        <v>-15.999999999994088</v>
      </c>
      <c r="BK1206" s="87">
        <f>SUMIFS($AU$1035:AU1294,$P$1035:P1294,"W")</f>
        <v>-960.00000000003297</v>
      </c>
      <c r="BL1206" s="87">
        <f>SUMIFS($AU$1035:AU1294,$P$1035:P1294,"R")</f>
        <v>1024.0000000000007</v>
      </c>
      <c r="BM1206" s="87">
        <f>SUMIFS($AU$1035:AU1294,$AQ$1035:AQ1294,"M")</f>
        <v>-899.79999999984489</v>
      </c>
      <c r="BN1206" s="87">
        <f>SUMIFS($AU$1035:AU1294,$AQ$1035:AQ1294,"H")</f>
        <v>1583.9999999998265</v>
      </c>
      <c r="BO1206" s="87">
        <f>SUMIFS($AU$1035:AU1294,$AQ$1035:AQ1294,"D")</f>
        <v>-479.9999999999896</v>
      </c>
      <c r="BP1206" s="87">
        <f>SUMIFS($AS$1035:AS1382,$AO$1035:AO1382,"W")</f>
        <v>0</v>
      </c>
      <c r="BQ1206" s="87">
        <f>SUMIFS($AU$1035:AU1294,$Q$1035:Q1294,"O")</f>
        <v>-1079.7999999999552</v>
      </c>
      <c r="BR1206" s="87">
        <f>SUMIFS($AU$1035:AU1294,$AA$1035:AA1294,"*")</f>
        <v>-499.79999999992333</v>
      </c>
      <c r="BS1206" s="87">
        <f>SUMIFS($AU$1035:AU1294,$AB$1035:AB1294,"*")</f>
        <v>-724.00000000009095</v>
      </c>
      <c r="BT1206" s="87">
        <f>SUMIFS($AU$1035:AU1294,$AC$1035:AC1294,"*")</f>
        <v>112.00000000000097</v>
      </c>
      <c r="BU1206" s="87">
        <f>SUMIFS($AU$1035:AU1294,$AA$1035:AA1294,"*",$AB$1035:AB1294,"*")</f>
        <v>47.999999999934744</v>
      </c>
      <c r="BV1206" s="87">
        <f>SUMIFS($AU$1035:AU1294,$AA$1035:AA1294,"*",$AC$1035:AC1294,"*")</f>
        <v>-335.99999999999977</v>
      </c>
      <c r="BW1206" s="87">
        <f>SUMIFS($AU$1035:AU1294,$AB$1035:AB1294,"*",$AC$1035:AC1294,"*")</f>
        <v>-143.99999999999966</v>
      </c>
      <c r="BX1206" s="87">
        <f>SUMIFS($AV$1035:AV1294,$Q$1035:Q1294,"F")</f>
        <v>34.153846153846246</v>
      </c>
      <c r="BY1206" s="87">
        <f>SUMIFS($AV$1035:AV1294,$Q$1035:Q1294,"S")</f>
        <v>20.914285714286223</v>
      </c>
      <c r="BZ1206" s="87">
        <f>SUMIFS($AV$1035:AV1294,$Q$1035:Q1294,"O")</f>
        <v>-445.13333333327751</v>
      </c>
    </row>
    <row r="1207" spans="1:78" ht="15.75" customHeight="1">
      <c r="A1207" s="45" t="s">
        <v>3357</v>
      </c>
      <c r="B1207" s="59"/>
      <c r="C1207" s="46"/>
      <c r="D1207" s="46"/>
      <c r="E1207" s="66"/>
      <c r="F1207" s="47"/>
      <c r="G1207" s="48"/>
      <c r="H1207" s="49"/>
      <c r="I1207" s="49"/>
      <c r="J1207" s="49"/>
      <c r="K1207" s="50"/>
      <c r="L1207" s="49"/>
      <c r="M1207" s="49"/>
      <c r="N1207" s="49"/>
      <c r="O1207" s="50"/>
      <c r="P1207" s="50"/>
      <c r="Q1207" s="50"/>
      <c r="R1207" s="50"/>
      <c r="S1207" s="50"/>
      <c r="T1207" s="50"/>
      <c r="U1207" s="50"/>
      <c r="V1207" s="50"/>
      <c r="W1207" s="50"/>
      <c r="X1207" s="50"/>
      <c r="Y1207" s="50"/>
      <c r="Z1207" s="50"/>
      <c r="AA1207" s="52"/>
      <c r="AB1207" s="52"/>
      <c r="AC1207" s="52"/>
      <c r="AD1207" s="231"/>
      <c r="AE1207" s="49"/>
      <c r="AF1207" s="84"/>
      <c r="AG1207" s="49"/>
      <c r="AH1207" s="49"/>
      <c r="AI1207" s="49"/>
      <c r="AJ1207" s="226"/>
      <c r="AK1207" s="49"/>
      <c r="AL1207" s="113">
        <f t="shared" si="516"/>
        <v>0</v>
      </c>
      <c r="AM1207" s="113">
        <f t="shared" si="510"/>
        <v>0</v>
      </c>
      <c r="AN1207" s="218"/>
      <c r="AO1207" s="49"/>
      <c r="AP1207" s="49"/>
      <c r="AQ1207" s="84" t="str">
        <f>UPPER(RIGHT(Journal_Live[[#This Row],[DURATION ]]))</f>
        <v/>
      </c>
      <c r="AR1207" s="49"/>
      <c r="AS1207" s="55"/>
      <c r="AT1207" s="55">
        <f t="shared" si="511"/>
        <v>0</v>
      </c>
      <c r="AU1207" s="54">
        <f t="shared" si="512"/>
        <v>0</v>
      </c>
      <c r="AV1207" s="56">
        <f t="shared" si="517"/>
        <v>0</v>
      </c>
      <c r="AW1207" s="57"/>
      <c r="AX1207" s="153"/>
      <c r="AY1207" s="153"/>
      <c r="AZ1207" s="153"/>
      <c r="BA1207" s="153"/>
      <c r="BB1207" s="153"/>
      <c r="BC1207" s="153"/>
      <c r="BD1207" s="151"/>
      <c r="BE1207" s="152"/>
      <c r="BF1207" s="151"/>
      <c r="BG1207" s="94">
        <f>SUM($AV$1035:AV1207)</f>
        <v>-390.06520146514509</v>
      </c>
      <c r="BH1207" s="95">
        <f>SUM($AU$1035:AU1207)</f>
        <v>-983.79999999994902</v>
      </c>
      <c r="BI1207" s="80">
        <f>SUMIFS($AU$1035:AU1295,$Q$1035:Q1295,"F")</f>
        <v>112.00000000000057</v>
      </c>
      <c r="BJ1207" s="80">
        <f>SUMIFS($AU$1035:AU1295,$Q$1035:Q1295,"S")</f>
        <v>-15.999999999994088</v>
      </c>
      <c r="BK1207" s="87">
        <f>SUMIFS($AU$1035:AU1295,$P$1035:P1295,"W")</f>
        <v>-960.00000000003297</v>
      </c>
      <c r="BL1207" s="87">
        <f>SUMIFS($AU$1035:AU1295,$P$1035:P1295,"R")</f>
        <v>1024.0000000000007</v>
      </c>
      <c r="BM1207" s="87">
        <f>SUMIFS($AU$1035:AU1295,$AQ$1035:AQ1295,"M")</f>
        <v>-899.79999999984489</v>
      </c>
      <c r="BN1207" s="87">
        <f>SUMIFS($AU$1035:AU1295,$AQ$1035:AQ1295,"H")</f>
        <v>1583.9999999998265</v>
      </c>
      <c r="BO1207" s="87">
        <f>SUMIFS($AU$1035:AU1295,$AQ$1035:AQ1295,"D")</f>
        <v>-479.9999999999896</v>
      </c>
      <c r="BP1207" s="87">
        <f>SUMIFS($AS$1035:AS1383,$AO$1035:AO1383,"W")</f>
        <v>0</v>
      </c>
      <c r="BQ1207" s="87">
        <f>SUMIFS($AU$1035:AU1295,$Q$1035:Q1295,"O")</f>
        <v>-1079.7999999999552</v>
      </c>
      <c r="BR1207" s="87">
        <f>SUMIFS($AU$1035:AU1295,$AA$1035:AA1295,"*")</f>
        <v>-499.79999999992333</v>
      </c>
      <c r="BS1207" s="87">
        <f>SUMIFS($AU$1035:AU1295,$AB$1035:AB1295,"*")</f>
        <v>-724.00000000009095</v>
      </c>
      <c r="BT1207" s="87">
        <f>SUMIFS($AU$1035:AU1295,$AC$1035:AC1295,"*")</f>
        <v>112.00000000000097</v>
      </c>
      <c r="BU1207" s="87">
        <f>SUMIFS($AU$1035:AU1295,$AA$1035:AA1295,"*",$AB$1035:AB1295,"*")</f>
        <v>47.999999999934744</v>
      </c>
      <c r="BV1207" s="87">
        <f>SUMIFS($AU$1035:AU1295,$AA$1035:AA1295,"*",$AC$1035:AC1295,"*")</f>
        <v>-335.99999999999977</v>
      </c>
      <c r="BW1207" s="87">
        <f>SUMIFS($AU$1035:AU1295,$AB$1035:AB1295,"*",$AC$1035:AC1295,"*")</f>
        <v>-143.99999999999966</v>
      </c>
      <c r="BX1207" s="87">
        <f>SUMIFS($AV$1035:AV1295,$Q$1035:Q1295,"F")</f>
        <v>34.153846153846246</v>
      </c>
      <c r="BY1207" s="87">
        <f>SUMIFS($AV$1035:AV1295,$Q$1035:Q1295,"S")</f>
        <v>20.914285714286223</v>
      </c>
      <c r="BZ1207" s="87">
        <f>SUMIFS($AV$1035:AV1295,$Q$1035:Q1295,"O")</f>
        <v>-445.13333333327751</v>
      </c>
    </row>
    <row r="1208" spans="1:78" ht="15.75" customHeight="1">
      <c r="A1208" s="45" t="s">
        <v>3357</v>
      </c>
      <c r="B1208" s="59"/>
      <c r="C1208" s="46"/>
      <c r="D1208" s="46"/>
      <c r="E1208" s="66"/>
      <c r="F1208" s="47"/>
      <c r="G1208" s="48"/>
      <c r="H1208" s="49"/>
      <c r="I1208" s="49"/>
      <c r="J1208" s="49"/>
      <c r="K1208" s="50"/>
      <c r="L1208" s="49"/>
      <c r="M1208" s="49"/>
      <c r="N1208" s="49"/>
      <c r="O1208" s="50"/>
      <c r="P1208" s="50"/>
      <c r="Q1208" s="50"/>
      <c r="R1208" s="50"/>
      <c r="S1208" s="50"/>
      <c r="T1208" s="50"/>
      <c r="U1208" s="50"/>
      <c r="V1208" s="50"/>
      <c r="W1208" s="50"/>
      <c r="X1208" s="50"/>
      <c r="Y1208" s="50"/>
      <c r="Z1208" s="50"/>
      <c r="AA1208" s="52"/>
      <c r="AB1208" s="52"/>
      <c r="AC1208" s="52"/>
      <c r="AD1208" s="231"/>
      <c r="AE1208" s="49"/>
      <c r="AF1208" s="84"/>
      <c r="AG1208" s="49"/>
      <c r="AH1208" s="49"/>
      <c r="AI1208" s="49"/>
      <c r="AJ1208" s="226"/>
      <c r="AK1208" s="49"/>
      <c r="AL1208" s="113">
        <f t="shared" si="516"/>
        <v>0</v>
      </c>
      <c r="AM1208" s="113">
        <f t="shared" si="510"/>
        <v>0</v>
      </c>
      <c r="AN1208" s="218"/>
      <c r="AO1208" s="49"/>
      <c r="AP1208" s="49"/>
      <c r="AQ1208" s="84" t="str">
        <f>UPPER(RIGHT(Journal_Live[[#This Row],[DURATION ]]))</f>
        <v/>
      </c>
      <c r="AR1208" s="49"/>
      <c r="AS1208" s="55"/>
      <c r="AT1208" s="55">
        <f t="shared" si="511"/>
        <v>0</v>
      </c>
      <c r="AU1208" s="54">
        <f t="shared" si="512"/>
        <v>0</v>
      </c>
      <c r="AV1208" s="56">
        <f t="shared" si="517"/>
        <v>0</v>
      </c>
      <c r="AW1208" s="57"/>
      <c r="AX1208" s="153"/>
      <c r="AY1208" s="153"/>
      <c r="AZ1208" s="153"/>
      <c r="BA1208" s="153"/>
      <c r="BB1208" s="153"/>
      <c r="BC1208" s="153"/>
      <c r="BD1208" s="151"/>
      <c r="BE1208" s="152"/>
      <c r="BF1208" s="151"/>
      <c r="BG1208" s="94">
        <f>SUM($AV$1035:AV1208)</f>
        <v>-390.06520146514509</v>
      </c>
      <c r="BH1208" s="95">
        <f>SUM($AU$1035:AU1208)</f>
        <v>-983.79999999994902</v>
      </c>
      <c r="BI1208" s="80">
        <f>SUMIFS($AU$1035:AU1296,$Q$1035:Q1296,"F")</f>
        <v>112.00000000000057</v>
      </c>
      <c r="BJ1208" s="80">
        <f>SUMIFS($AU$1035:AU1296,$Q$1035:Q1296,"S")</f>
        <v>-15.999999999994088</v>
      </c>
      <c r="BK1208" s="87">
        <f>SUMIFS($AU$1035:AU1296,$P$1035:P1296,"W")</f>
        <v>-960.00000000003297</v>
      </c>
      <c r="BL1208" s="87">
        <f>SUMIFS($AU$1035:AU1296,$P$1035:P1296,"R")</f>
        <v>1024.0000000000007</v>
      </c>
      <c r="BM1208" s="87">
        <f>SUMIFS($AU$1035:AU1296,$AQ$1035:AQ1296,"M")</f>
        <v>-899.79999999984489</v>
      </c>
      <c r="BN1208" s="87">
        <f>SUMIFS($AU$1035:AU1296,$AQ$1035:AQ1296,"H")</f>
        <v>1583.9999999998265</v>
      </c>
      <c r="BO1208" s="87">
        <f>SUMIFS($AU$1035:AU1296,$AQ$1035:AQ1296,"D")</f>
        <v>-479.9999999999896</v>
      </c>
      <c r="BP1208" s="87">
        <f>SUMIFS($AS$1035:AS1384,$AO$1035:AO1384,"W")</f>
        <v>0</v>
      </c>
      <c r="BQ1208" s="87">
        <f>SUMIFS($AU$1035:AU1296,$Q$1035:Q1296,"O")</f>
        <v>-1079.7999999999552</v>
      </c>
      <c r="BR1208" s="87">
        <f>SUMIFS($AU$1035:AU1296,$AA$1035:AA1296,"*")</f>
        <v>-499.79999999992333</v>
      </c>
      <c r="BS1208" s="87">
        <f>SUMIFS($AU$1035:AU1296,$AB$1035:AB1296,"*")</f>
        <v>-724.00000000009095</v>
      </c>
      <c r="BT1208" s="87">
        <f>SUMIFS($AU$1035:AU1296,$AC$1035:AC1296,"*")</f>
        <v>112.00000000000097</v>
      </c>
      <c r="BU1208" s="87">
        <f>SUMIFS($AU$1035:AU1296,$AA$1035:AA1296,"*",$AB$1035:AB1296,"*")</f>
        <v>47.999999999934744</v>
      </c>
      <c r="BV1208" s="87">
        <f>SUMIFS($AU$1035:AU1296,$AA$1035:AA1296,"*",$AC$1035:AC1296,"*")</f>
        <v>-335.99999999999977</v>
      </c>
      <c r="BW1208" s="87">
        <f>SUMIFS($AU$1035:AU1296,$AB$1035:AB1296,"*",$AC$1035:AC1296,"*")</f>
        <v>-143.99999999999966</v>
      </c>
      <c r="BX1208" s="87">
        <f>SUMIFS($AV$1035:AV1296,$Q$1035:Q1296,"F")</f>
        <v>34.153846153846246</v>
      </c>
      <c r="BY1208" s="87">
        <f>SUMIFS($AV$1035:AV1296,$Q$1035:Q1296,"S")</f>
        <v>20.914285714286223</v>
      </c>
      <c r="BZ1208" s="87">
        <f>SUMIFS($AV$1035:AV1296,$Q$1035:Q1296,"O")</f>
        <v>-445.13333333327751</v>
      </c>
    </row>
    <row r="1209" spans="1:78" ht="15.75" customHeight="1">
      <c r="A1209" s="45" t="s">
        <v>3357</v>
      </c>
      <c r="B1209" s="59"/>
      <c r="C1209" s="46"/>
      <c r="D1209" s="46"/>
      <c r="E1209" s="66"/>
      <c r="F1209" s="47"/>
      <c r="G1209" s="48"/>
      <c r="H1209" s="49"/>
      <c r="I1209" s="49"/>
      <c r="J1209" s="49"/>
      <c r="K1209" s="50"/>
      <c r="L1209" s="49"/>
      <c r="M1209" s="49"/>
      <c r="N1209" s="49"/>
      <c r="O1209" s="50"/>
      <c r="P1209" s="50"/>
      <c r="Q1209" s="50"/>
      <c r="R1209" s="50"/>
      <c r="S1209" s="50"/>
      <c r="T1209" s="50"/>
      <c r="U1209" s="50"/>
      <c r="V1209" s="50"/>
      <c r="W1209" s="50"/>
      <c r="X1209" s="50"/>
      <c r="Y1209" s="50"/>
      <c r="Z1209" s="50"/>
      <c r="AA1209" s="52"/>
      <c r="AB1209" s="52"/>
      <c r="AC1209" s="52"/>
      <c r="AD1209" s="231"/>
      <c r="AE1209" s="49"/>
      <c r="AF1209" s="84"/>
      <c r="AG1209" s="49"/>
      <c r="AH1209" s="49"/>
      <c r="AI1209" s="49"/>
      <c r="AJ1209" s="226"/>
      <c r="AK1209" s="49"/>
      <c r="AL1209" s="113">
        <f t="shared" ref="AL1209:AL1210" si="580">-0.02*Z1209</f>
        <v>0</v>
      </c>
      <c r="AM1209" s="113">
        <f t="shared" si="510"/>
        <v>0</v>
      </c>
      <c r="AN1209" s="218"/>
      <c r="AO1209" s="49"/>
      <c r="AP1209" s="49"/>
      <c r="AQ1209" s="84" t="str">
        <f>UPPER(RIGHT(Journal_Live[[#This Row],[DURATION ]]))</f>
        <v/>
      </c>
      <c r="AR1209" s="49"/>
      <c r="AS1209" s="55"/>
      <c r="AT1209" s="55">
        <f t="shared" si="511"/>
        <v>0</v>
      </c>
      <c r="AU1209" s="54">
        <f t="shared" si="512"/>
        <v>0</v>
      </c>
      <c r="AV1209" s="56">
        <f t="shared" ref="AV1209:AV1210" si="581">IF(ISBLANK(AS1209),,(AT1209*Z1209))</f>
        <v>0</v>
      </c>
      <c r="AW1209" s="57"/>
      <c r="AX1209" s="153"/>
      <c r="AY1209" s="153"/>
      <c r="AZ1209" s="153"/>
      <c r="BA1209" s="153"/>
      <c r="BB1209" s="153"/>
      <c r="BC1209" s="153"/>
      <c r="BD1209" s="151"/>
      <c r="BE1209" s="152"/>
      <c r="BF1209" s="151"/>
      <c r="BG1209" s="94">
        <f>SUM($AV$1035:AV1209)</f>
        <v>-390.06520146514509</v>
      </c>
      <c r="BH1209" s="95">
        <f>SUM($AU$1035:AU1209)</f>
        <v>-983.79999999994902</v>
      </c>
      <c r="BI1209" s="80">
        <f>SUMIFS($AU$1035:AU1297,$Q$1035:Q1297,"F")</f>
        <v>112.00000000000057</v>
      </c>
      <c r="BJ1209" s="80">
        <f>SUMIFS($AU$1035:AU1297,$Q$1035:Q1297,"S")</f>
        <v>-15.999999999994088</v>
      </c>
      <c r="BK1209" s="87">
        <f>SUMIFS($AU$1035:AU1297,$P$1035:P1297,"W")</f>
        <v>-960.00000000003297</v>
      </c>
      <c r="BL1209" s="87">
        <f>SUMIFS($AU$1035:AU1297,$P$1035:P1297,"R")</f>
        <v>1024.0000000000007</v>
      </c>
      <c r="BM1209" s="87">
        <f>SUMIFS($AU$1035:AU1297,$AQ$1035:AQ1297,"M")</f>
        <v>-899.79999999984489</v>
      </c>
      <c r="BN1209" s="87">
        <f>SUMIFS($AU$1035:AU1297,$AQ$1035:AQ1297,"H")</f>
        <v>1583.9999999998265</v>
      </c>
      <c r="BO1209" s="87">
        <f>SUMIFS($AU$1035:AU1297,$AQ$1035:AQ1297,"D")</f>
        <v>-479.9999999999896</v>
      </c>
      <c r="BP1209" s="87">
        <f>SUMIFS($AS$1035:AS1385,$AO$1035:AO1385,"W")</f>
        <v>0</v>
      </c>
      <c r="BQ1209" s="87">
        <f>SUMIFS($AU$1035:AU1297,$Q$1035:Q1297,"O")</f>
        <v>-1079.7999999999552</v>
      </c>
      <c r="BR1209" s="87">
        <f>SUMIFS($AU$1035:AU1297,$AA$1035:AA1297,"*")</f>
        <v>-499.79999999992333</v>
      </c>
      <c r="BS1209" s="87">
        <f>SUMIFS($AU$1035:AU1297,$AB$1035:AB1297,"*")</f>
        <v>-724.00000000009095</v>
      </c>
      <c r="BT1209" s="87">
        <f>SUMIFS($AU$1035:AU1297,$AC$1035:AC1297,"*")</f>
        <v>112.00000000000097</v>
      </c>
      <c r="BU1209" s="87">
        <f>SUMIFS($AU$1035:AU1297,$AA$1035:AA1297,"*",$AB$1035:AB1297,"*")</f>
        <v>47.999999999934744</v>
      </c>
      <c r="BV1209" s="87">
        <f>SUMIFS($AU$1035:AU1297,$AA$1035:AA1297,"*",$AC$1035:AC1297,"*")</f>
        <v>-335.99999999999977</v>
      </c>
      <c r="BW1209" s="87">
        <f>SUMIFS($AU$1035:AU1297,$AB$1035:AB1297,"*",$AC$1035:AC1297,"*")</f>
        <v>-143.99999999999966</v>
      </c>
      <c r="BX1209" s="87">
        <f>SUMIFS($AV$1035:AV1297,$Q$1035:Q1297,"F")</f>
        <v>34.153846153846246</v>
      </c>
      <c r="BY1209" s="87">
        <f>SUMIFS($AV$1035:AV1297,$Q$1035:Q1297,"S")</f>
        <v>20.914285714286223</v>
      </c>
      <c r="BZ1209" s="87">
        <f>SUMIFS($AV$1035:AV1297,$Q$1035:Q1297,"O")</f>
        <v>-445.13333333327751</v>
      </c>
    </row>
    <row r="1210" spans="1:78" ht="15.75" customHeight="1">
      <c r="A1210" s="45" t="s">
        <v>3357</v>
      </c>
      <c r="B1210" s="59"/>
      <c r="C1210" s="46"/>
      <c r="D1210" s="46"/>
      <c r="E1210" s="66"/>
      <c r="F1210" s="47"/>
      <c r="G1210" s="48"/>
      <c r="H1210" s="49"/>
      <c r="I1210" s="49"/>
      <c r="J1210" s="49"/>
      <c r="K1210" s="50"/>
      <c r="L1210" s="49"/>
      <c r="M1210" s="49"/>
      <c r="N1210" s="49"/>
      <c r="O1210" s="50"/>
      <c r="P1210" s="50"/>
      <c r="Q1210" s="50"/>
      <c r="R1210" s="50"/>
      <c r="S1210" s="50"/>
      <c r="T1210" s="50"/>
      <c r="U1210" s="50"/>
      <c r="V1210" s="50"/>
      <c r="W1210" s="50"/>
      <c r="X1210" s="50"/>
      <c r="Y1210" s="50"/>
      <c r="Z1210" s="50"/>
      <c r="AA1210" s="52"/>
      <c r="AB1210" s="52"/>
      <c r="AC1210" s="52"/>
      <c r="AD1210" s="231"/>
      <c r="AE1210" s="49"/>
      <c r="AF1210" s="84"/>
      <c r="AG1210" s="49"/>
      <c r="AH1210" s="49"/>
      <c r="AI1210" s="49"/>
      <c r="AJ1210" s="226"/>
      <c r="AK1210" s="49"/>
      <c r="AL1210" s="113">
        <f t="shared" si="580"/>
        <v>0</v>
      </c>
      <c r="AM1210" s="113">
        <f t="shared" si="510"/>
        <v>0</v>
      </c>
      <c r="AN1210" s="218"/>
      <c r="AO1210" s="49"/>
      <c r="AP1210" s="49"/>
      <c r="AQ1210" s="84" t="str">
        <f>UPPER(RIGHT(Journal_Live[[#This Row],[DURATION ]]))</f>
        <v/>
      </c>
      <c r="AR1210" s="49"/>
      <c r="AS1210" s="55"/>
      <c r="AT1210" s="55">
        <f t="shared" si="511"/>
        <v>0</v>
      </c>
      <c r="AU1210" s="54">
        <f t="shared" si="512"/>
        <v>0</v>
      </c>
      <c r="AV1210" s="56">
        <f t="shared" si="581"/>
        <v>0</v>
      </c>
      <c r="AW1210" s="57"/>
      <c r="AX1210" s="153"/>
      <c r="AY1210" s="153"/>
      <c r="AZ1210" s="153"/>
      <c r="BA1210" s="153"/>
      <c r="BB1210" s="153"/>
      <c r="BC1210" s="153"/>
      <c r="BD1210" s="151"/>
      <c r="BE1210" s="152"/>
      <c r="BF1210" s="151"/>
      <c r="BG1210" s="94">
        <f>SUM($AV$1035:AV1210)</f>
        <v>-390.06520146514509</v>
      </c>
      <c r="BH1210" s="95">
        <f>SUM($AU$1035:AU1210)</f>
        <v>-983.79999999994902</v>
      </c>
      <c r="BI1210" s="80">
        <f>SUMIFS($AU$1035:AU1298,$Q$1035:Q1298,"F")</f>
        <v>112.00000000000057</v>
      </c>
      <c r="BJ1210" s="80">
        <f>SUMIFS($AU$1035:AU1298,$Q$1035:Q1298,"S")</f>
        <v>-15.999999999994088</v>
      </c>
      <c r="BK1210" s="87">
        <f>SUMIFS($AU$1035:AU1298,$P$1035:P1298,"W")</f>
        <v>-960.00000000003297</v>
      </c>
      <c r="BL1210" s="87">
        <f>SUMIFS($AU$1035:AU1298,$P$1035:P1298,"R")</f>
        <v>1024.0000000000007</v>
      </c>
      <c r="BM1210" s="87">
        <f>SUMIFS($AU$1035:AU1298,$AQ$1035:AQ1298,"M")</f>
        <v>-899.79999999984489</v>
      </c>
      <c r="BN1210" s="87">
        <f>SUMIFS($AU$1035:AU1298,$AQ$1035:AQ1298,"H")</f>
        <v>1583.9999999998265</v>
      </c>
      <c r="BO1210" s="87">
        <f>SUMIFS($AU$1035:AU1298,$AQ$1035:AQ1298,"D")</f>
        <v>-479.9999999999896</v>
      </c>
      <c r="BP1210" s="87">
        <f>SUMIFS($AS$1035:AS1386,$AO$1035:AO1386,"W")</f>
        <v>0</v>
      </c>
      <c r="BQ1210" s="87">
        <f>SUMIFS($AU$1035:AU1298,$Q$1035:Q1298,"O")</f>
        <v>-1079.7999999999552</v>
      </c>
      <c r="BR1210" s="87">
        <f>SUMIFS($AU$1035:AU1298,$AA$1035:AA1298,"*")</f>
        <v>-499.79999999992333</v>
      </c>
      <c r="BS1210" s="87">
        <f>SUMIFS($AU$1035:AU1298,$AB$1035:AB1298,"*")</f>
        <v>-724.00000000009095</v>
      </c>
      <c r="BT1210" s="87">
        <f>SUMIFS($AU$1035:AU1298,$AC$1035:AC1298,"*")</f>
        <v>112.00000000000097</v>
      </c>
      <c r="BU1210" s="87">
        <f>SUMIFS($AU$1035:AU1298,$AA$1035:AA1298,"*",$AB$1035:AB1298,"*")</f>
        <v>47.999999999934744</v>
      </c>
      <c r="BV1210" s="87">
        <f>SUMIFS($AU$1035:AU1298,$AA$1035:AA1298,"*",$AC$1035:AC1298,"*")</f>
        <v>-335.99999999999977</v>
      </c>
      <c r="BW1210" s="87">
        <f>SUMIFS($AU$1035:AU1298,$AB$1035:AB1298,"*",$AC$1035:AC1298,"*")</f>
        <v>-143.99999999999966</v>
      </c>
      <c r="BX1210" s="87">
        <f>SUMIFS($AV$1035:AV1298,$Q$1035:Q1298,"F")</f>
        <v>34.153846153846246</v>
      </c>
      <c r="BY1210" s="87">
        <f>SUMIFS($AV$1035:AV1298,$Q$1035:Q1298,"S")</f>
        <v>20.914285714286223</v>
      </c>
      <c r="BZ1210" s="87">
        <f>SUMIFS($AV$1035:AV1298,$Q$1035:Q1298,"O")</f>
        <v>-445.13333333327751</v>
      </c>
    </row>
    <row r="1211" spans="1:78" ht="15.75" customHeight="1">
      <c r="A1211" s="111" t="s">
        <v>3469</v>
      </c>
      <c r="B1211" s="68"/>
      <c r="C1211" s="60"/>
      <c r="D1211" s="60"/>
      <c r="E1211" s="61"/>
      <c r="F1211" s="62"/>
      <c r="G1211" s="60"/>
      <c r="H1211" s="60"/>
      <c r="I1211" s="60"/>
      <c r="J1211" s="60"/>
      <c r="K1211" s="63"/>
      <c r="L1211" s="60"/>
      <c r="M1211" s="60"/>
      <c r="N1211" s="60"/>
      <c r="O1211" s="60"/>
      <c r="P1211" s="63"/>
      <c r="Q1211" s="63"/>
      <c r="R1211" s="63"/>
      <c r="S1211" s="63"/>
      <c r="T1211" s="63"/>
      <c r="U1211" s="63"/>
      <c r="V1211" s="63"/>
      <c r="W1211" s="63"/>
      <c r="X1211" s="63"/>
      <c r="Y1211" s="63"/>
      <c r="Z1211" s="64" t="str">
        <f>IF(ISBLANK(O1211),"",IF(O1211="IB",8.63*200,IF(O1211="IR",16*100,IF(O1211="YT",20*100,IF(O1211="YT-XT",24*200,IF(O1211="TED",80*100))))))</f>
        <v/>
      </c>
      <c r="AA1211" s="64"/>
      <c r="AB1211" s="64"/>
      <c r="AC1211" s="64"/>
      <c r="AD1211" s="232"/>
      <c r="AE1211" s="60"/>
      <c r="AF1211" s="60"/>
      <c r="AG1211" s="60"/>
      <c r="AH1211" s="60"/>
      <c r="AI1211" s="60"/>
      <c r="AJ1211" s="229"/>
      <c r="AK1211" s="60"/>
      <c r="AL1211" s="60"/>
      <c r="AM1211" s="60"/>
      <c r="AN1211" s="219"/>
      <c r="AO1211" s="60"/>
      <c r="AP1211" s="60"/>
      <c r="AQ1211" s="85" t="str">
        <f>UPPER(RIGHT(Journal_Live[[#This Row],[DURATION ]]))</f>
        <v/>
      </c>
      <c r="AR1211" s="60"/>
      <c r="AS1211" s="60"/>
      <c r="AT1211" s="60"/>
      <c r="AU1211" s="60"/>
      <c r="AV1211" s="60"/>
      <c r="AW1211" s="60"/>
      <c r="AX1211" s="99"/>
      <c r="AY1211" s="98"/>
      <c r="AZ1211" s="98"/>
      <c r="BA1211" s="98"/>
      <c r="BB1211" s="98"/>
      <c r="BC1211" s="98"/>
      <c r="BD1211" s="98"/>
      <c r="BE1211" s="98"/>
      <c r="BF1211" s="98"/>
      <c r="BG1211" s="94">
        <f>SUM($AV$1035:AV1211)</f>
        <v>-390.06520146514509</v>
      </c>
      <c r="BH1211" s="95">
        <f>SUM($AU$1035:AU1211)</f>
        <v>-983.79999999994902</v>
      </c>
      <c r="BI1211" s="80">
        <f>SUMIFS($AU$1035:AU1299,$Q$1035:Q1299,"F")</f>
        <v>112.00000000000057</v>
      </c>
      <c r="BJ1211" s="80">
        <f>SUMIFS($AU$1035:AU1299,$Q$1035:Q1299,"S")</f>
        <v>-15.999999999994088</v>
      </c>
      <c r="BK1211" s="87">
        <f>SUMIFS($AU$1035:AU1299,$P$1035:P1299,"W")</f>
        <v>-960.00000000003297</v>
      </c>
      <c r="BL1211" s="87">
        <f>SUMIFS($AU$1035:AU1299,$P$1035:P1299,"R")</f>
        <v>1024.0000000000007</v>
      </c>
      <c r="BM1211" s="87">
        <f>SUMIFS($AU$1035:AU1299,$AQ$1035:AQ1299,"M")</f>
        <v>-899.79999999984489</v>
      </c>
      <c r="BN1211" s="87">
        <f>SUMIFS($AU$1035:AU1299,$AQ$1035:AQ1299,"H")</f>
        <v>1583.9999999998265</v>
      </c>
      <c r="BO1211" s="87">
        <f>SUMIFS($AU$1035:AU1299,$AQ$1035:AQ1299,"D")</f>
        <v>-479.9999999999896</v>
      </c>
      <c r="BP1211" s="87">
        <f>SUMIFS($AS$1035:AS1387,$AO$1035:AO1387,"W")</f>
        <v>0</v>
      </c>
      <c r="BQ1211" s="87">
        <f>SUMIFS($AU$1035:AU1299,$Q$1035:Q1299,"O")</f>
        <v>-1079.7999999999552</v>
      </c>
      <c r="BR1211" s="87">
        <f>SUMIFS($AU$1035:AU1299,$AA$1035:AA1299,"*")</f>
        <v>-499.79999999992333</v>
      </c>
      <c r="BS1211" s="87">
        <f>SUMIFS($AU$1035:AU1299,$AB$1035:AB1299,"*")</f>
        <v>-724.00000000009095</v>
      </c>
      <c r="BT1211" s="87">
        <f>SUMIFS($AU$1035:AU1299,$AC$1035:AC1299,"*")</f>
        <v>112.00000000000097</v>
      </c>
      <c r="BU1211" s="87">
        <f>SUMIFS($AU$1035:AU1299,$AA$1035:AA1299,"*",$AB$1035:AB1299,"*")</f>
        <v>47.999999999934744</v>
      </c>
      <c r="BV1211" s="87">
        <f>SUMIFS($AU$1035:AU1299,$AA$1035:AA1299,"*",$AC$1035:AC1299,"*")</f>
        <v>-335.99999999999977</v>
      </c>
      <c r="BW1211" s="87">
        <f>SUMIFS($AU$1035:AU1299,$AB$1035:AB1299,"*",$AC$1035:AC1299,"*")</f>
        <v>-143.99999999999966</v>
      </c>
      <c r="BX1211" s="87">
        <f>SUMIFS($AV$1035:AV1299,$Q$1035:Q1299,"F")</f>
        <v>34.153846153846246</v>
      </c>
      <c r="BY1211" s="87">
        <f>SUMIFS($AV$1035:AV1299,$Q$1035:Q1299,"S")</f>
        <v>20.914285714286223</v>
      </c>
      <c r="BZ1211" s="87">
        <f>SUMIFS($AV$1035:AV1299,$Q$1035:Q1299,"O")</f>
        <v>-445.13333333327751</v>
      </c>
    </row>
    <row r="1212" spans="1:78" ht="15.75" customHeight="1">
      <c r="A1212" s="45" t="s">
        <v>3470</v>
      </c>
      <c r="B1212" s="59"/>
      <c r="C1212" s="46"/>
      <c r="D1212" s="46"/>
      <c r="E1212" s="66"/>
      <c r="F1212" s="47"/>
      <c r="G1212" s="48"/>
      <c r="H1212" s="49"/>
      <c r="I1212" s="49"/>
      <c r="J1212" s="49"/>
      <c r="K1212" s="50"/>
      <c r="L1212" s="49"/>
      <c r="M1212" s="49"/>
      <c r="N1212" s="49"/>
      <c r="O1212" s="50"/>
      <c r="P1212" s="50"/>
      <c r="Q1212" s="50"/>
      <c r="R1212" s="50"/>
      <c r="S1212" s="50"/>
      <c r="T1212" s="50"/>
      <c r="U1212" s="50"/>
      <c r="V1212" s="50"/>
      <c r="W1212" s="50"/>
      <c r="X1212" s="50"/>
      <c r="Y1212" s="50"/>
      <c r="Z1212" s="50"/>
      <c r="AA1212" s="52"/>
      <c r="AB1212" s="52"/>
      <c r="AC1212" s="52"/>
      <c r="AD1212" s="231"/>
      <c r="AE1212" s="49"/>
      <c r="AF1212" s="84"/>
      <c r="AG1212" s="49"/>
      <c r="AH1212" s="49"/>
      <c r="AI1212" s="49"/>
      <c r="AJ1212" s="226"/>
      <c r="AK1212" s="49"/>
      <c r="AL1212" s="113">
        <f t="shared" ref="AL1212:AL1222" si="582">-0.02*Z1212</f>
        <v>0</v>
      </c>
      <c r="AM1212" s="113">
        <f t="shared" ref="AM1212:AM1234" si="583">AL1212*(R1212-S1212)</f>
        <v>0</v>
      </c>
      <c r="AN1212" s="218"/>
      <c r="AO1212" s="49"/>
      <c r="AP1212" s="49"/>
      <c r="AQ1212" s="84" t="str">
        <f>UPPER(RIGHT(Journal_Live[[#This Row],[DURATION ]]))</f>
        <v/>
      </c>
      <c r="AR1212" s="49"/>
      <c r="AS1212" s="55"/>
      <c r="AT1212" s="55">
        <f t="shared" ref="AT1212:AT1233" si="584">IF(ISBLANK(AS1212),,IF(U1212="S",AD1212-AS1212,AS1212-AD1212))</f>
        <v>0</v>
      </c>
      <c r="AU1212" s="54">
        <f t="shared" ref="AU1212:AU1233" si="585">AV1212*R1212</f>
        <v>0</v>
      </c>
      <c r="AV1212" s="56">
        <f t="shared" ref="AV1212:AV1222" si="586">IF(ISBLANK(AS1212),,(AT1212*Z1212))</f>
        <v>0</v>
      </c>
      <c r="AW1212" s="57"/>
      <c r="AX1212" s="153"/>
      <c r="AY1212" s="153"/>
      <c r="AZ1212" s="153"/>
      <c r="BA1212" s="153"/>
      <c r="BB1212" s="153"/>
      <c r="BC1212" s="153"/>
      <c r="BD1212" s="151"/>
      <c r="BE1212" s="152"/>
      <c r="BF1212" s="151"/>
      <c r="BG1212" s="94">
        <f>SUM($AV$1035:AV1212)</f>
        <v>-390.06520146514509</v>
      </c>
      <c r="BH1212" s="95">
        <f>SUM($AU$1035:AU1212)</f>
        <v>-983.79999999994902</v>
      </c>
      <c r="BI1212" s="80">
        <f>SUMIFS($AU$1035:AU1300,$Q$1035:Q1300,"F")</f>
        <v>112.00000000000057</v>
      </c>
      <c r="BJ1212" s="80">
        <f>SUMIFS($AU$1035:AU1300,$Q$1035:Q1300,"S")</f>
        <v>-15.999999999994088</v>
      </c>
      <c r="BK1212" s="87">
        <f>SUMIFS($AU$1035:AU1300,$P$1035:P1300,"W")</f>
        <v>-960.00000000003297</v>
      </c>
      <c r="BL1212" s="87">
        <f>SUMIFS($AU$1035:AU1300,$P$1035:P1300,"R")</f>
        <v>1024.0000000000007</v>
      </c>
      <c r="BM1212" s="87">
        <f>SUMIFS($AU$1035:AU1300,$AQ$1035:AQ1300,"M")</f>
        <v>-899.79999999984489</v>
      </c>
      <c r="BN1212" s="87">
        <f>SUMIFS($AU$1035:AU1300,$AQ$1035:AQ1300,"H")</f>
        <v>1583.9999999998265</v>
      </c>
      <c r="BO1212" s="87">
        <f>SUMIFS($AU$1035:AU1300,$AQ$1035:AQ1300,"D")</f>
        <v>-479.9999999999896</v>
      </c>
      <c r="BP1212" s="87">
        <f>SUMIFS($AS$1035:AS1388,$AO$1035:AO1388,"W")</f>
        <v>0</v>
      </c>
      <c r="BQ1212" s="87">
        <f>SUMIFS($AU$1035:AU1300,$Q$1035:Q1300,"O")</f>
        <v>-1079.7999999999552</v>
      </c>
      <c r="BR1212" s="87">
        <f>SUMIFS($AU$1035:AU1300,$AA$1035:AA1300,"*")</f>
        <v>-499.79999999992333</v>
      </c>
      <c r="BS1212" s="87">
        <f>SUMIFS($AU$1035:AU1300,$AB$1035:AB1300,"*")</f>
        <v>-724.00000000009095</v>
      </c>
      <c r="BT1212" s="87">
        <f>SUMIFS($AU$1035:AU1300,$AC$1035:AC1300,"*")</f>
        <v>112.00000000000097</v>
      </c>
      <c r="BU1212" s="87">
        <f>SUMIFS($AU$1035:AU1300,$AA$1035:AA1300,"*",$AB$1035:AB1300,"*")</f>
        <v>47.999999999934744</v>
      </c>
      <c r="BV1212" s="87">
        <f>SUMIFS($AU$1035:AU1300,$AA$1035:AA1300,"*",$AC$1035:AC1300,"*")</f>
        <v>-335.99999999999977</v>
      </c>
      <c r="BW1212" s="87">
        <f>SUMIFS($AU$1035:AU1300,$AB$1035:AB1300,"*",$AC$1035:AC1300,"*")</f>
        <v>-143.99999999999966</v>
      </c>
      <c r="BX1212" s="87">
        <f>SUMIFS($AV$1035:AV1300,$Q$1035:Q1300,"F")</f>
        <v>34.153846153846246</v>
      </c>
      <c r="BY1212" s="87">
        <f>SUMIFS($AV$1035:AV1300,$Q$1035:Q1300,"S")</f>
        <v>20.914285714286223</v>
      </c>
      <c r="BZ1212" s="87">
        <f>SUMIFS($AV$1035:AV1300,$Q$1035:Q1300,"O")</f>
        <v>-445.13333333327751</v>
      </c>
    </row>
    <row r="1213" spans="1:78" ht="15.75" customHeight="1">
      <c r="A1213" s="45" t="s">
        <v>3470</v>
      </c>
      <c r="B1213" s="59"/>
      <c r="C1213" s="46"/>
      <c r="D1213" s="46"/>
      <c r="E1213" s="66"/>
      <c r="F1213" s="47"/>
      <c r="G1213" s="48"/>
      <c r="H1213" s="49"/>
      <c r="I1213" s="49"/>
      <c r="J1213" s="49"/>
      <c r="K1213" s="50"/>
      <c r="L1213" s="49"/>
      <c r="M1213" s="49"/>
      <c r="N1213" s="49"/>
      <c r="O1213" s="50"/>
      <c r="P1213" s="50"/>
      <c r="Q1213" s="50"/>
      <c r="R1213" s="50"/>
      <c r="S1213" s="50"/>
      <c r="T1213" s="50"/>
      <c r="U1213" s="50"/>
      <c r="V1213" s="50"/>
      <c r="W1213" s="50"/>
      <c r="X1213" s="50"/>
      <c r="Y1213" s="50"/>
      <c r="Z1213" s="50"/>
      <c r="AA1213" s="52"/>
      <c r="AB1213" s="52"/>
      <c r="AC1213" s="52"/>
      <c r="AD1213" s="231"/>
      <c r="AE1213" s="49"/>
      <c r="AF1213" s="84"/>
      <c r="AG1213" s="49"/>
      <c r="AH1213" s="49"/>
      <c r="AI1213" s="49"/>
      <c r="AJ1213" s="226"/>
      <c r="AK1213" s="49"/>
      <c r="AL1213" s="113">
        <f t="shared" si="582"/>
        <v>0</v>
      </c>
      <c r="AM1213" s="113">
        <f t="shared" si="583"/>
        <v>0</v>
      </c>
      <c r="AN1213" s="218"/>
      <c r="AO1213" s="49"/>
      <c r="AP1213" s="49"/>
      <c r="AQ1213" s="84" t="str">
        <f>UPPER(RIGHT(Journal_Live[[#This Row],[DURATION ]]))</f>
        <v/>
      </c>
      <c r="AR1213" s="49"/>
      <c r="AS1213" s="55"/>
      <c r="AT1213" s="55">
        <f t="shared" si="584"/>
        <v>0</v>
      </c>
      <c r="AU1213" s="54">
        <f t="shared" si="585"/>
        <v>0</v>
      </c>
      <c r="AV1213" s="56">
        <f t="shared" si="586"/>
        <v>0</v>
      </c>
      <c r="AW1213" s="57"/>
      <c r="AX1213" s="153"/>
      <c r="AY1213" s="153"/>
      <c r="AZ1213" s="153"/>
      <c r="BA1213" s="153"/>
      <c r="BB1213" s="153"/>
      <c r="BC1213" s="153"/>
      <c r="BD1213" s="151"/>
      <c r="BE1213" s="152"/>
      <c r="BF1213" s="151"/>
      <c r="BG1213" s="94">
        <f>SUM($AV$1035:AV1213)</f>
        <v>-390.06520146514509</v>
      </c>
      <c r="BH1213" s="95">
        <f>SUM($AU$1035:AU1213)</f>
        <v>-983.79999999994902</v>
      </c>
      <c r="BI1213" s="80">
        <f>SUMIFS($AU$1035:AU1301,$Q$1035:Q1301,"F")</f>
        <v>112.00000000000057</v>
      </c>
      <c r="BJ1213" s="80">
        <f>SUMIFS($AU$1035:AU1301,$Q$1035:Q1301,"S")</f>
        <v>-15.999999999994088</v>
      </c>
      <c r="BK1213" s="87">
        <f>SUMIFS($AU$1035:AU1301,$P$1035:P1301,"W")</f>
        <v>-960.00000000003297</v>
      </c>
      <c r="BL1213" s="87">
        <f>SUMIFS($AU$1035:AU1301,$P$1035:P1301,"R")</f>
        <v>1024.0000000000007</v>
      </c>
      <c r="BM1213" s="87">
        <f>SUMIFS($AU$1035:AU1301,$AQ$1035:AQ1301,"M")</f>
        <v>-899.79999999984489</v>
      </c>
      <c r="BN1213" s="87">
        <f>SUMIFS($AU$1035:AU1301,$AQ$1035:AQ1301,"H")</f>
        <v>1583.9999999998265</v>
      </c>
      <c r="BO1213" s="87">
        <f>SUMIFS($AU$1035:AU1301,$AQ$1035:AQ1301,"D")</f>
        <v>-479.9999999999896</v>
      </c>
      <c r="BP1213" s="87">
        <f>SUMIFS($AS$1035:AS1389,$AO$1035:AO1389,"W")</f>
        <v>0</v>
      </c>
      <c r="BQ1213" s="87">
        <f>SUMIFS($AU$1035:AU1301,$Q$1035:Q1301,"O")</f>
        <v>-1079.7999999999552</v>
      </c>
      <c r="BR1213" s="87">
        <f>SUMIFS($AU$1035:AU1301,$AA$1035:AA1301,"*")</f>
        <v>-499.79999999992333</v>
      </c>
      <c r="BS1213" s="87">
        <f>SUMIFS($AU$1035:AU1301,$AB$1035:AB1301,"*")</f>
        <v>-724.00000000009095</v>
      </c>
      <c r="BT1213" s="87">
        <f>SUMIFS($AU$1035:AU1301,$AC$1035:AC1301,"*")</f>
        <v>112.00000000000097</v>
      </c>
      <c r="BU1213" s="87">
        <f>SUMIFS($AU$1035:AU1301,$AA$1035:AA1301,"*",$AB$1035:AB1301,"*")</f>
        <v>47.999999999934744</v>
      </c>
      <c r="BV1213" s="87">
        <f>SUMIFS($AU$1035:AU1301,$AA$1035:AA1301,"*",$AC$1035:AC1301,"*")</f>
        <v>-335.99999999999977</v>
      </c>
      <c r="BW1213" s="87">
        <f>SUMIFS($AU$1035:AU1301,$AB$1035:AB1301,"*",$AC$1035:AC1301,"*")</f>
        <v>-143.99999999999966</v>
      </c>
      <c r="BX1213" s="87">
        <f>SUMIFS($AV$1035:AV1301,$Q$1035:Q1301,"F")</f>
        <v>34.153846153846246</v>
      </c>
      <c r="BY1213" s="87">
        <f>SUMIFS($AV$1035:AV1301,$Q$1035:Q1301,"S")</f>
        <v>20.914285714286223</v>
      </c>
      <c r="BZ1213" s="87">
        <f>SUMIFS($AV$1035:AV1301,$Q$1035:Q1301,"O")</f>
        <v>-445.13333333327751</v>
      </c>
    </row>
    <row r="1214" spans="1:78" ht="15.75" customHeight="1">
      <c r="A1214" s="45" t="s">
        <v>3470</v>
      </c>
      <c r="B1214" s="59"/>
      <c r="C1214" s="46"/>
      <c r="D1214" s="46"/>
      <c r="E1214" s="66"/>
      <c r="F1214" s="47"/>
      <c r="G1214" s="48"/>
      <c r="H1214" s="49"/>
      <c r="I1214" s="49"/>
      <c r="J1214" s="49"/>
      <c r="K1214" s="50"/>
      <c r="L1214" s="49"/>
      <c r="M1214" s="49"/>
      <c r="N1214" s="49"/>
      <c r="O1214" s="50"/>
      <c r="P1214" s="50"/>
      <c r="Q1214" s="50"/>
      <c r="R1214" s="50"/>
      <c r="S1214" s="50"/>
      <c r="T1214" s="50"/>
      <c r="U1214" s="50"/>
      <c r="V1214" s="50"/>
      <c r="W1214" s="50"/>
      <c r="X1214" s="50"/>
      <c r="Y1214" s="50"/>
      <c r="Z1214" s="50"/>
      <c r="AA1214" s="52"/>
      <c r="AB1214" s="52"/>
      <c r="AC1214" s="52"/>
      <c r="AD1214" s="231"/>
      <c r="AE1214" s="49"/>
      <c r="AF1214" s="84"/>
      <c r="AG1214" s="49"/>
      <c r="AH1214" s="49"/>
      <c r="AI1214" s="49"/>
      <c r="AJ1214" s="226"/>
      <c r="AK1214" s="49"/>
      <c r="AL1214" s="113">
        <f t="shared" si="582"/>
        <v>0</v>
      </c>
      <c r="AM1214" s="113">
        <f t="shared" si="583"/>
        <v>0</v>
      </c>
      <c r="AN1214" s="218"/>
      <c r="AO1214" s="49"/>
      <c r="AP1214" s="49"/>
      <c r="AQ1214" s="84" t="str">
        <f>UPPER(RIGHT(Journal_Live[[#This Row],[DURATION ]]))</f>
        <v/>
      </c>
      <c r="AR1214" s="49"/>
      <c r="AS1214" s="55"/>
      <c r="AT1214" s="55">
        <f t="shared" si="584"/>
        <v>0</v>
      </c>
      <c r="AU1214" s="54">
        <f t="shared" si="585"/>
        <v>0</v>
      </c>
      <c r="AV1214" s="56">
        <f t="shared" si="586"/>
        <v>0</v>
      </c>
      <c r="AW1214" s="57"/>
      <c r="AX1214" s="153"/>
      <c r="AY1214" s="153"/>
      <c r="AZ1214" s="153"/>
      <c r="BA1214" s="153"/>
      <c r="BB1214" s="153"/>
      <c r="BC1214" s="153"/>
      <c r="BD1214" s="151"/>
      <c r="BE1214" s="152"/>
      <c r="BF1214" s="151"/>
      <c r="BG1214" s="94">
        <f>SUM($AV$1035:AV1214)</f>
        <v>-390.06520146514509</v>
      </c>
      <c r="BH1214" s="95">
        <f>SUM($AU$1035:AU1214)</f>
        <v>-983.79999999994902</v>
      </c>
      <c r="BI1214" s="80">
        <f>SUMIFS($AU$1035:AU1302,$Q$1035:Q1302,"F")</f>
        <v>112.00000000000057</v>
      </c>
      <c r="BJ1214" s="80">
        <f>SUMIFS($AU$1035:AU1302,$Q$1035:Q1302,"S")</f>
        <v>-15.999999999994088</v>
      </c>
      <c r="BK1214" s="87">
        <f>SUMIFS($AU$1035:AU1302,$P$1035:P1302,"W")</f>
        <v>-960.00000000003297</v>
      </c>
      <c r="BL1214" s="87">
        <f>SUMIFS($AU$1035:AU1302,$P$1035:P1302,"R")</f>
        <v>1024.0000000000007</v>
      </c>
      <c r="BM1214" s="87">
        <f>SUMIFS($AU$1035:AU1302,$AQ$1035:AQ1302,"M")</f>
        <v>-899.79999999984489</v>
      </c>
      <c r="BN1214" s="87">
        <f>SUMIFS($AU$1035:AU1302,$AQ$1035:AQ1302,"H")</f>
        <v>1583.9999999998265</v>
      </c>
      <c r="BO1214" s="87">
        <f>SUMIFS($AU$1035:AU1302,$AQ$1035:AQ1302,"D")</f>
        <v>-479.9999999999896</v>
      </c>
      <c r="BP1214" s="87">
        <f>SUMIFS($AS$1035:AS1390,$AO$1035:AO1390,"W")</f>
        <v>0</v>
      </c>
      <c r="BQ1214" s="87">
        <f>SUMIFS($AU$1035:AU1302,$Q$1035:Q1302,"O")</f>
        <v>-1079.7999999999552</v>
      </c>
      <c r="BR1214" s="87">
        <f>SUMIFS($AU$1035:AU1302,$AA$1035:AA1302,"*")</f>
        <v>-499.79999999992333</v>
      </c>
      <c r="BS1214" s="87">
        <f>SUMIFS($AU$1035:AU1302,$AB$1035:AB1302,"*")</f>
        <v>-724.00000000009095</v>
      </c>
      <c r="BT1214" s="87">
        <f>SUMIFS($AU$1035:AU1302,$AC$1035:AC1302,"*")</f>
        <v>112.00000000000097</v>
      </c>
      <c r="BU1214" s="87">
        <f>SUMIFS($AU$1035:AU1302,$AA$1035:AA1302,"*",$AB$1035:AB1302,"*")</f>
        <v>47.999999999934744</v>
      </c>
      <c r="BV1214" s="87">
        <f>SUMIFS($AU$1035:AU1302,$AA$1035:AA1302,"*",$AC$1035:AC1302,"*")</f>
        <v>-335.99999999999977</v>
      </c>
      <c r="BW1214" s="87">
        <f>SUMIFS($AU$1035:AU1302,$AB$1035:AB1302,"*",$AC$1035:AC1302,"*")</f>
        <v>-143.99999999999966</v>
      </c>
      <c r="BX1214" s="87">
        <f>SUMIFS($AV$1035:AV1302,$Q$1035:Q1302,"F")</f>
        <v>34.153846153846246</v>
      </c>
      <c r="BY1214" s="87">
        <f>SUMIFS($AV$1035:AV1302,$Q$1035:Q1302,"S")</f>
        <v>20.914285714286223</v>
      </c>
      <c r="BZ1214" s="87">
        <f>SUMIFS($AV$1035:AV1302,$Q$1035:Q1302,"O")</f>
        <v>-445.13333333327751</v>
      </c>
    </row>
    <row r="1215" spans="1:78" ht="15.75" customHeight="1">
      <c r="A1215" s="45" t="s">
        <v>3470</v>
      </c>
      <c r="B1215" s="59"/>
      <c r="C1215" s="46"/>
      <c r="D1215" s="46"/>
      <c r="E1215" s="66"/>
      <c r="F1215" s="47"/>
      <c r="G1215" s="48"/>
      <c r="H1215" s="49"/>
      <c r="I1215" s="49"/>
      <c r="J1215" s="49"/>
      <c r="K1215" s="50"/>
      <c r="L1215" s="49"/>
      <c r="M1215" s="49"/>
      <c r="N1215" s="49"/>
      <c r="O1215" s="50"/>
      <c r="P1215" s="50"/>
      <c r="Q1215" s="50"/>
      <c r="R1215" s="50"/>
      <c r="S1215" s="50"/>
      <c r="T1215" s="50"/>
      <c r="U1215" s="50"/>
      <c r="V1215" s="50"/>
      <c r="W1215" s="50"/>
      <c r="X1215" s="50"/>
      <c r="Y1215" s="50"/>
      <c r="Z1215" s="50"/>
      <c r="AA1215" s="52"/>
      <c r="AB1215" s="52"/>
      <c r="AC1215" s="52"/>
      <c r="AD1215" s="231"/>
      <c r="AE1215" s="49"/>
      <c r="AF1215" s="84"/>
      <c r="AG1215" s="49"/>
      <c r="AH1215" s="49"/>
      <c r="AI1215" s="49"/>
      <c r="AJ1215" s="226"/>
      <c r="AK1215" s="49"/>
      <c r="AL1215" s="113">
        <f t="shared" si="582"/>
        <v>0</v>
      </c>
      <c r="AM1215" s="113">
        <f t="shared" si="583"/>
        <v>0</v>
      </c>
      <c r="AN1215" s="218"/>
      <c r="AO1215" s="49"/>
      <c r="AP1215" s="49"/>
      <c r="AQ1215" s="84" t="str">
        <f>UPPER(RIGHT(Journal_Live[[#This Row],[DURATION ]]))</f>
        <v/>
      </c>
      <c r="AR1215" s="49"/>
      <c r="AS1215" s="55"/>
      <c r="AT1215" s="55">
        <f t="shared" si="584"/>
        <v>0</v>
      </c>
      <c r="AU1215" s="54">
        <f t="shared" si="585"/>
        <v>0</v>
      </c>
      <c r="AV1215" s="56">
        <f t="shared" si="586"/>
        <v>0</v>
      </c>
      <c r="AW1215" s="57"/>
      <c r="AX1215" s="153"/>
      <c r="AY1215" s="153"/>
      <c r="AZ1215" s="153"/>
      <c r="BA1215" s="153"/>
      <c r="BB1215" s="153"/>
      <c r="BC1215" s="153"/>
      <c r="BD1215" s="151"/>
      <c r="BE1215" s="152"/>
      <c r="BF1215" s="151"/>
      <c r="BG1215" s="94">
        <f>SUM($AV$1035:AV1215)</f>
        <v>-390.06520146514509</v>
      </c>
      <c r="BH1215" s="95">
        <f>SUM($AU$1035:AU1215)</f>
        <v>-983.79999999994902</v>
      </c>
      <c r="BI1215" s="80">
        <f>SUMIFS($AU$1035:AU1303,$Q$1035:Q1303,"F")</f>
        <v>112.00000000000057</v>
      </c>
      <c r="BJ1215" s="80">
        <f>SUMIFS($AU$1035:AU1303,$Q$1035:Q1303,"S")</f>
        <v>-15.999999999994088</v>
      </c>
      <c r="BK1215" s="87">
        <f>SUMIFS($AU$1035:AU1303,$P$1035:P1303,"W")</f>
        <v>-960.00000000003297</v>
      </c>
      <c r="BL1215" s="87">
        <f>SUMIFS($AU$1035:AU1303,$P$1035:P1303,"R")</f>
        <v>1024.0000000000007</v>
      </c>
      <c r="BM1215" s="87">
        <f>SUMIFS($AU$1035:AU1303,$AQ$1035:AQ1303,"M")</f>
        <v>-899.79999999984489</v>
      </c>
      <c r="BN1215" s="87">
        <f>SUMIFS($AU$1035:AU1303,$AQ$1035:AQ1303,"H")</f>
        <v>1583.9999999998265</v>
      </c>
      <c r="BO1215" s="87">
        <f>SUMIFS($AU$1035:AU1303,$AQ$1035:AQ1303,"D")</f>
        <v>-479.9999999999896</v>
      </c>
      <c r="BP1215" s="87">
        <f>SUMIFS($AS$1035:AS1391,$AO$1035:AO1391,"W")</f>
        <v>0</v>
      </c>
      <c r="BQ1215" s="87">
        <f>SUMIFS($AU$1035:AU1303,$Q$1035:Q1303,"O")</f>
        <v>-1079.7999999999552</v>
      </c>
      <c r="BR1215" s="87">
        <f>SUMIFS($AU$1035:AU1303,$AA$1035:AA1303,"*")</f>
        <v>-499.79999999992333</v>
      </c>
      <c r="BS1215" s="87">
        <f>SUMIFS($AU$1035:AU1303,$AB$1035:AB1303,"*")</f>
        <v>-724.00000000009095</v>
      </c>
      <c r="BT1215" s="87">
        <f>SUMIFS($AU$1035:AU1303,$AC$1035:AC1303,"*")</f>
        <v>112.00000000000097</v>
      </c>
      <c r="BU1215" s="87">
        <f>SUMIFS($AU$1035:AU1303,$AA$1035:AA1303,"*",$AB$1035:AB1303,"*")</f>
        <v>47.999999999934744</v>
      </c>
      <c r="BV1215" s="87">
        <f>SUMIFS($AU$1035:AU1303,$AA$1035:AA1303,"*",$AC$1035:AC1303,"*")</f>
        <v>-335.99999999999977</v>
      </c>
      <c r="BW1215" s="87">
        <f>SUMIFS($AU$1035:AU1303,$AB$1035:AB1303,"*",$AC$1035:AC1303,"*")</f>
        <v>-143.99999999999966</v>
      </c>
      <c r="BX1215" s="87">
        <f>SUMIFS($AV$1035:AV1303,$Q$1035:Q1303,"F")</f>
        <v>34.153846153846246</v>
      </c>
      <c r="BY1215" s="87">
        <f>SUMIFS($AV$1035:AV1303,$Q$1035:Q1303,"S")</f>
        <v>20.914285714286223</v>
      </c>
      <c r="BZ1215" s="87">
        <f>SUMIFS($AV$1035:AV1303,$Q$1035:Q1303,"O")</f>
        <v>-445.13333333327751</v>
      </c>
    </row>
    <row r="1216" spans="1:78" ht="15.75" customHeight="1">
      <c r="A1216" s="45" t="s">
        <v>3470</v>
      </c>
      <c r="B1216" s="59"/>
      <c r="C1216" s="46"/>
      <c r="D1216" s="46"/>
      <c r="E1216" s="66"/>
      <c r="F1216" s="47"/>
      <c r="G1216" s="48"/>
      <c r="H1216" s="49"/>
      <c r="I1216" s="49"/>
      <c r="J1216" s="49"/>
      <c r="K1216" s="50"/>
      <c r="L1216" s="49"/>
      <c r="M1216" s="49"/>
      <c r="N1216" s="49"/>
      <c r="O1216" s="50"/>
      <c r="P1216" s="50"/>
      <c r="Q1216" s="50"/>
      <c r="R1216" s="50"/>
      <c r="S1216" s="50"/>
      <c r="T1216" s="50"/>
      <c r="U1216" s="50"/>
      <c r="V1216" s="50"/>
      <c r="W1216" s="50"/>
      <c r="X1216" s="50"/>
      <c r="Y1216" s="50"/>
      <c r="Z1216" s="50"/>
      <c r="AA1216" s="52"/>
      <c r="AB1216" s="52"/>
      <c r="AC1216" s="52"/>
      <c r="AD1216" s="231"/>
      <c r="AE1216" s="49"/>
      <c r="AF1216" s="84"/>
      <c r="AG1216" s="49"/>
      <c r="AH1216" s="49"/>
      <c r="AI1216" s="49"/>
      <c r="AJ1216" s="226"/>
      <c r="AK1216" s="49"/>
      <c r="AL1216" s="113">
        <f t="shared" si="582"/>
        <v>0</v>
      </c>
      <c r="AM1216" s="113">
        <f t="shared" si="583"/>
        <v>0</v>
      </c>
      <c r="AN1216" s="218"/>
      <c r="AO1216" s="49"/>
      <c r="AP1216" s="49"/>
      <c r="AQ1216" s="84" t="str">
        <f>UPPER(RIGHT(Journal_Live[[#This Row],[DURATION ]]))</f>
        <v/>
      </c>
      <c r="AR1216" s="49"/>
      <c r="AS1216" s="55"/>
      <c r="AT1216" s="55">
        <f t="shared" si="584"/>
        <v>0</v>
      </c>
      <c r="AU1216" s="54">
        <f t="shared" si="585"/>
        <v>0</v>
      </c>
      <c r="AV1216" s="56">
        <f t="shared" si="586"/>
        <v>0</v>
      </c>
      <c r="AW1216" s="57"/>
      <c r="AX1216" s="153"/>
      <c r="AY1216" s="153"/>
      <c r="AZ1216" s="153"/>
      <c r="BA1216" s="153"/>
      <c r="BB1216" s="153"/>
      <c r="BC1216" s="153"/>
      <c r="BD1216" s="151"/>
      <c r="BE1216" s="152"/>
      <c r="BF1216" s="151"/>
      <c r="BG1216" s="94">
        <f>SUM($AV$1035:AV1216)</f>
        <v>-390.06520146514509</v>
      </c>
      <c r="BH1216" s="95">
        <f>SUM($AU$1035:AU1216)</f>
        <v>-983.79999999994902</v>
      </c>
      <c r="BI1216" s="80">
        <f>SUMIFS($AU$1035:AU1304,$Q$1035:Q1304,"F")</f>
        <v>112.00000000000057</v>
      </c>
      <c r="BJ1216" s="80">
        <f>SUMIFS($AU$1035:AU1304,$Q$1035:Q1304,"S")</f>
        <v>-15.999999999994088</v>
      </c>
      <c r="BK1216" s="87">
        <f>SUMIFS($AU$1035:AU1304,$P$1035:P1304,"W")</f>
        <v>-960.00000000003297</v>
      </c>
      <c r="BL1216" s="87">
        <f>SUMIFS($AU$1035:AU1304,$P$1035:P1304,"R")</f>
        <v>1024.0000000000007</v>
      </c>
      <c r="BM1216" s="87">
        <f>SUMIFS($AU$1035:AU1304,$AQ$1035:AQ1304,"M")</f>
        <v>-899.79999999984489</v>
      </c>
      <c r="BN1216" s="87">
        <f>SUMIFS($AU$1035:AU1304,$AQ$1035:AQ1304,"H")</f>
        <v>1583.9999999998265</v>
      </c>
      <c r="BO1216" s="87">
        <f>SUMIFS($AU$1035:AU1304,$AQ$1035:AQ1304,"D")</f>
        <v>-479.9999999999896</v>
      </c>
      <c r="BP1216" s="87">
        <f>SUMIFS($AS$1035:AS1392,$AO$1035:AO1392,"W")</f>
        <v>0</v>
      </c>
      <c r="BQ1216" s="87">
        <f>SUMIFS($AU$1035:AU1304,$Q$1035:Q1304,"O")</f>
        <v>-1079.7999999999552</v>
      </c>
      <c r="BR1216" s="87">
        <f>SUMIFS($AU$1035:AU1304,$AA$1035:AA1304,"*")</f>
        <v>-499.79999999992333</v>
      </c>
      <c r="BS1216" s="87">
        <f>SUMIFS($AU$1035:AU1304,$AB$1035:AB1304,"*")</f>
        <v>-724.00000000009095</v>
      </c>
      <c r="BT1216" s="87">
        <f>SUMIFS($AU$1035:AU1304,$AC$1035:AC1304,"*")</f>
        <v>112.00000000000097</v>
      </c>
      <c r="BU1216" s="87">
        <f>SUMIFS($AU$1035:AU1304,$AA$1035:AA1304,"*",$AB$1035:AB1304,"*")</f>
        <v>47.999999999934744</v>
      </c>
      <c r="BV1216" s="87">
        <f>SUMIFS($AU$1035:AU1304,$AA$1035:AA1304,"*",$AC$1035:AC1304,"*")</f>
        <v>-335.99999999999977</v>
      </c>
      <c r="BW1216" s="87">
        <f>SUMIFS($AU$1035:AU1304,$AB$1035:AB1304,"*",$AC$1035:AC1304,"*")</f>
        <v>-143.99999999999966</v>
      </c>
      <c r="BX1216" s="87">
        <f>SUMIFS($AV$1035:AV1304,$Q$1035:Q1304,"F")</f>
        <v>34.153846153846246</v>
      </c>
      <c r="BY1216" s="87">
        <f>SUMIFS($AV$1035:AV1304,$Q$1035:Q1304,"S")</f>
        <v>20.914285714286223</v>
      </c>
      <c r="BZ1216" s="87">
        <f>SUMIFS($AV$1035:AV1304,$Q$1035:Q1304,"O")</f>
        <v>-445.13333333327751</v>
      </c>
    </row>
    <row r="1217" spans="1:78" ht="15.75" customHeight="1">
      <c r="A1217" s="45" t="s">
        <v>3470</v>
      </c>
      <c r="B1217" s="59"/>
      <c r="C1217" s="46"/>
      <c r="D1217" s="46"/>
      <c r="E1217" s="66"/>
      <c r="F1217" s="47"/>
      <c r="G1217" s="48"/>
      <c r="H1217" s="49"/>
      <c r="I1217" s="49"/>
      <c r="J1217" s="49"/>
      <c r="K1217" s="50"/>
      <c r="L1217" s="49"/>
      <c r="M1217" s="49"/>
      <c r="N1217" s="49"/>
      <c r="O1217" s="50"/>
      <c r="P1217" s="50"/>
      <c r="Q1217" s="50"/>
      <c r="R1217" s="50"/>
      <c r="S1217" s="50"/>
      <c r="T1217" s="50"/>
      <c r="U1217" s="50"/>
      <c r="V1217" s="50"/>
      <c r="W1217" s="50"/>
      <c r="X1217" s="50"/>
      <c r="Y1217" s="50"/>
      <c r="Z1217" s="50"/>
      <c r="AA1217" s="52"/>
      <c r="AB1217" s="52"/>
      <c r="AC1217" s="52"/>
      <c r="AD1217" s="231"/>
      <c r="AE1217" s="49"/>
      <c r="AF1217" s="84"/>
      <c r="AG1217" s="49"/>
      <c r="AH1217" s="49"/>
      <c r="AI1217" s="49"/>
      <c r="AJ1217" s="226"/>
      <c r="AK1217" s="49"/>
      <c r="AL1217" s="113">
        <f t="shared" si="582"/>
        <v>0</v>
      </c>
      <c r="AM1217" s="113">
        <f t="shared" si="583"/>
        <v>0</v>
      </c>
      <c r="AN1217" s="218"/>
      <c r="AO1217" s="49"/>
      <c r="AP1217" s="49"/>
      <c r="AQ1217" s="84" t="str">
        <f>UPPER(RIGHT(Journal_Live[[#This Row],[DURATION ]]))</f>
        <v/>
      </c>
      <c r="AR1217" s="49"/>
      <c r="AS1217" s="55"/>
      <c r="AT1217" s="55">
        <f t="shared" si="584"/>
        <v>0</v>
      </c>
      <c r="AU1217" s="54">
        <f t="shared" si="585"/>
        <v>0</v>
      </c>
      <c r="AV1217" s="56">
        <f t="shared" si="586"/>
        <v>0</v>
      </c>
      <c r="AW1217" s="57"/>
      <c r="AX1217" s="153"/>
      <c r="AY1217" s="153"/>
      <c r="AZ1217" s="153"/>
      <c r="BA1217" s="153"/>
      <c r="BB1217" s="153"/>
      <c r="BC1217" s="153"/>
      <c r="BD1217" s="151"/>
      <c r="BE1217" s="152"/>
      <c r="BF1217" s="151"/>
      <c r="BG1217" s="94">
        <f>SUM($AV$1035:AV1217)</f>
        <v>-390.06520146514509</v>
      </c>
      <c r="BH1217" s="95">
        <f>SUM($AU$1035:AU1217)</f>
        <v>-983.79999999994902</v>
      </c>
      <c r="BI1217" s="80">
        <f>SUMIFS($AU$1035:AU1305,$Q$1035:Q1305,"F")</f>
        <v>112.00000000000057</v>
      </c>
      <c r="BJ1217" s="80">
        <f>SUMIFS($AU$1035:AU1305,$Q$1035:Q1305,"S")</f>
        <v>-15.999999999994088</v>
      </c>
      <c r="BK1217" s="87">
        <f>SUMIFS($AU$1035:AU1305,$P$1035:P1305,"W")</f>
        <v>-960.00000000003297</v>
      </c>
      <c r="BL1217" s="87">
        <f>SUMIFS($AU$1035:AU1305,$P$1035:P1305,"R")</f>
        <v>1024.0000000000007</v>
      </c>
      <c r="BM1217" s="87">
        <f>SUMIFS($AU$1035:AU1305,$AQ$1035:AQ1305,"M")</f>
        <v>-899.79999999984489</v>
      </c>
      <c r="BN1217" s="87">
        <f>SUMIFS($AU$1035:AU1305,$AQ$1035:AQ1305,"H")</f>
        <v>1583.9999999998265</v>
      </c>
      <c r="BO1217" s="87">
        <f>SUMIFS($AU$1035:AU1305,$AQ$1035:AQ1305,"D")</f>
        <v>-479.9999999999896</v>
      </c>
      <c r="BP1217" s="87">
        <f>SUMIFS($AS$1035:AS1393,$AO$1035:AO1393,"W")</f>
        <v>0</v>
      </c>
      <c r="BQ1217" s="87">
        <f>SUMIFS($AU$1035:AU1305,$Q$1035:Q1305,"O")</f>
        <v>-1079.7999999999552</v>
      </c>
      <c r="BR1217" s="87">
        <f>SUMIFS($AU$1035:AU1305,$AA$1035:AA1305,"*")</f>
        <v>-499.79999999992333</v>
      </c>
      <c r="BS1217" s="87">
        <f>SUMIFS($AU$1035:AU1305,$AB$1035:AB1305,"*")</f>
        <v>-724.00000000009095</v>
      </c>
      <c r="BT1217" s="87">
        <f>SUMIFS($AU$1035:AU1305,$AC$1035:AC1305,"*")</f>
        <v>112.00000000000097</v>
      </c>
      <c r="BU1217" s="87">
        <f>SUMIFS($AU$1035:AU1305,$AA$1035:AA1305,"*",$AB$1035:AB1305,"*")</f>
        <v>47.999999999934744</v>
      </c>
      <c r="BV1217" s="87">
        <f>SUMIFS($AU$1035:AU1305,$AA$1035:AA1305,"*",$AC$1035:AC1305,"*")</f>
        <v>-335.99999999999977</v>
      </c>
      <c r="BW1217" s="87">
        <f>SUMIFS($AU$1035:AU1305,$AB$1035:AB1305,"*",$AC$1035:AC1305,"*")</f>
        <v>-143.99999999999966</v>
      </c>
      <c r="BX1217" s="87">
        <f>SUMIFS($AV$1035:AV1305,$Q$1035:Q1305,"F")</f>
        <v>34.153846153846246</v>
      </c>
      <c r="BY1217" s="87">
        <f>SUMIFS($AV$1035:AV1305,$Q$1035:Q1305,"S")</f>
        <v>20.914285714286223</v>
      </c>
      <c r="BZ1217" s="87">
        <f>SUMIFS($AV$1035:AV1305,$Q$1035:Q1305,"O")</f>
        <v>-445.13333333327751</v>
      </c>
    </row>
    <row r="1218" spans="1:78" ht="15.75" customHeight="1">
      <c r="A1218" s="45" t="s">
        <v>3470</v>
      </c>
      <c r="B1218" s="59"/>
      <c r="C1218" s="46"/>
      <c r="D1218" s="46"/>
      <c r="E1218" s="66"/>
      <c r="F1218" s="47"/>
      <c r="G1218" s="48"/>
      <c r="H1218" s="49"/>
      <c r="I1218" s="49"/>
      <c r="J1218" s="49"/>
      <c r="K1218" s="50"/>
      <c r="L1218" s="49"/>
      <c r="M1218" s="49"/>
      <c r="N1218" s="49"/>
      <c r="O1218" s="50"/>
      <c r="P1218" s="50"/>
      <c r="Q1218" s="50"/>
      <c r="R1218" s="50"/>
      <c r="S1218" s="50"/>
      <c r="T1218" s="50"/>
      <c r="U1218" s="50"/>
      <c r="V1218" s="50"/>
      <c r="W1218" s="50"/>
      <c r="X1218" s="50"/>
      <c r="Y1218" s="50"/>
      <c r="Z1218" s="50"/>
      <c r="AA1218" s="52"/>
      <c r="AB1218" s="52"/>
      <c r="AC1218" s="52"/>
      <c r="AD1218" s="231"/>
      <c r="AE1218" s="49"/>
      <c r="AF1218" s="84"/>
      <c r="AG1218" s="49"/>
      <c r="AH1218" s="49"/>
      <c r="AI1218" s="49"/>
      <c r="AJ1218" s="226"/>
      <c r="AK1218" s="49"/>
      <c r="AL1218" s="113">
        <f t="shared" si="582"/>
        <v>0</v>
      </c>
      <c r="AM1218" s="113">
        <f t="shared" si="583"/>
        <v>0</v>
      </c>
      <c r="AN1218" s="218"/>
      <c r="AO1218" s="49"/>
      <c r="AP1218" s="49"/>
      <c r="AQ1218" s="84" t="str">
        <f>UPPER(RIGHT(Journal_Live[[#This Row],[DURATION ]]))</f>
        <v/>
      </c>
      <c r="AR1218" s="49"/>
      <c r="AS1218" s="55"/>
      <c r="AT1218" s="55">
        <f t="shared" si="584"/>
        <v>0</v>
      </c>
      <c r="AU1218" s="54">
        <f t="shared" si="585"/>
        <v>0</v>
      </c>
      <c r="AV1218" s="56">
        <f t="shared" si="586"/>
        <v>0</v>
      </c>
      <c r="AW1218" s="57"/>
      <c r="AX1218" s="153"/>
      <c r="AY1218" s="153"/>
      <c r="AZ1218" s="153"/>
      <c r="BA1218" s="153"/>
      <c r="BB1218" s="153"/>
      <c r="BC1218" s="153"/>
      <c r="BD1218" s="151"/>
      <c r="BE1218" s="152"/>
      <c r="BF1218" s="151"/>
      <c r="BG1218" s="94">
        <f>SUM($AV$1035:AV1218)</f>
        <v>-390.06520146514509</v>
      </c>
      <c r="BH1218" s="95">
        <f>SUM($AU$1035:AU1218)</f>
        <v>-983.79999999994902</v>
      </c>
      <c r="BI1218" s="80">
        <f>SUMIFS($AU$1035:AU1306,$Q$1035:Q1306,"F")</f>
        <v>112.00000000000057</v>
      </c>
      <c r="BJ1218" s="80">
        <f>SUMIFS($AU$1035:AU1306,$Q$1035:Q1306,"S")</f>
        <v>-15.999999999994088</v>
      </c>
      <c r="BK1218" s="87">
        <f>SUMIFS($AU$1035:AU1306,$P$1035:P1306,"W")</f>
        <v>-960.00000000003297</v>
      </c>
      <c r="BL1218" s="87">
        <f>SUMIFS($AU$1035:AU1306,$P$1035:P1306,"R")</f>
        <v>1024.0000000000007</v>
      </c>
      <c r="BM1218" s="87">
        <f>SUMIFS($AU$1035:AU1306,$AQ$1035:AQ1306,"M")</f>
        <v>-899.79999999984489</v>
      </c>
      <c r="BN1218" s="87">
        <f>SUMIFS($AU$1035:AU1306,$AQ$1035:AQ1306,"H")</f>
        <v>1583.9999999998265</v>
      </c>
      <c r="BO1218" s="87">
        <f>SUMIFS($AU$1035:AU1306,$AQ$1035:AQ1306,"D")</f>
        <v>-479.9999999999896</v>
      </c>
      <c r="BP1218" s="87">
        <f>SUMIFS($AS$1035:AS1394,$AO$1035:AO1394,"W")</f>
        <v>0</v>
      </c>
      <c r="BQ1218" s="87">
        <f>SUMIFS($AU$1035:AU1306,$Q$1035:Q1306,"O")</f>
        <v>-1079.7999999999552</v>
      </c>
      <c r="BR1218" s="87">
        <f>SUMIFS($AU$1035:AU1306,$AA$1035:AA1306,"*")</f>
        <v>-499.79999999992333</v>
      </c>
      <c r="BS1218" s="87">
        <f>SUMIFS($AU$1035:AU1306,$AB$1035:AB1306,"*")</f>
        <v>-724.00000000009095</v>
      </c>
      <c r="BT1218" s="87">
        <f>SUMIFS($AU$1035:AU1306,$AC$1035:AC1306,"*")</f>
        <v>112.00000000000097</v>
      </c>
      <c r="BU1218" s="87">
        <f>SUMIFS($AU$1035:AU1306,$AA$1035:AA1306,"*",$AB$1035:AB1306,"*")</f>
        <v>47.999999999934744</v>
      </c>
      <c r="BV1218" s="87">
        <f>SUMIFS($AU$1035:AU1306,$AA$1035:AA1306,"*",$AC$1035:AC1306,"*")</f>
        <v>-335.99999999999977</v>
      </c>
      <c r="BW1218" s="87">
        <f>SUMIFS($AU$1035:AU1306,$AB$1035:AB1306,"*",$AC$1035:AC1306,"*")</f>
        <v>-143.99999999999966</v>
      </c>
      <c r="BX1218" s="87">
        <f>SUMIFS($AV$1035:AV1306,$Q$1035:Q1306,"F")</f>
        <v>34.153846153846246</v>
      </c>
      <c r="BY1218" s="87">
        <f>SUMIFS($AV$1035:AV1306,$Q$1035:Q1306,"S")</f>
        <v>20.914285714286223</v>
      </c>
      <c r="BZ1218" s="87">
        <f>SUMIFS($AV$1035:AV1306,$Q$1035:Q1306,"O")</f>
        <v>-445.13333333327751</v>
      </c>
    </row>
    <row r="1219" spans="1:78" ht="15.75" customHeight="1">
      <c r="A1219" s="45" t="s">
        <v>3470</v>
      </c>
      <c r="B1219" s="59"/>
      <c r="C1219" s="46"/>
      <c r="D1219" s="46"/>
      <c r="E1219" s="66"/>
      <c r="F1219" s="47"/>
      <c r="G1219" s="48"/>
      <c r="H1219" s="49"/>
      <c r="I1219" s="49"/>
      <c r="J1219" s="49"/>
      <c r="K1219" s="50"/>
      <c r="L1219" s="49"/>
      <c r="M1219" s="49"/>
      <c r="N1219" s="49"/>
      <c r="O1219" s="50"/>
      <c r="P1219" s="50"/>
      <c r="Q1219" s="50"/>
      <c r="R1219" s="50"/>
      <c r="S1219" s="50"/>
      <c r="T1219" s="50"/>
      <c r="U1219" s="50"/>
      <c r="V1219" s="50"/>
      <c r="W1219" s="50"/>
      <c r="X1219" s="50"/>
      <c r="Y1219" s="50"/>
      <c r="Z1219" s="50"/>
      <c r="AA1219" s="52"/>
      <c r="AB1219" s="52"/>
      <c r="AC1219" s="52"/>
      <c r="AD1219" s="231"/>
      <c r="AE1219" s="49"/>
      <c r="AF1219" s="84"/>
      <c r="AG1219" s="49"/>
      <c r="AH1219" s="49"/>
      <c r="AI1219" s="49"/>
      <c r="AJ1219" s="226"/>
      <c r="AK1219" s="49"/>
      <c r="AL1219" s="113">
        <f t="shared" si="582"/>
        <v>0</v>
      </c>
      <c r="AM1219" s="113">
        <f t="shared" si="583"/>
        <v>0</v>
      </c>
      <c r="AN1219" s="218"/>
      <c r="AO1219" s="49"/>
      <c r="AP1219" s="49"/>
      <c r="AQ1219" s="84" t="str">
        <f>UPPER(RIGHT(Journal_Live[[#This Row],[DURATION ]]))</f>
        <v/>
      </c>
      <c r="AR1219" s="49"/>
      <c r="AS1219" s="55"/>
      <c r="AT1219" s="55">
        <f t="shared" si="584"/>
        <v>0</v>
      </c>
      <c r="AU1219" s="54">
        <f t="shared" si="585"/>
        <v>0</v>
      </c>
      <c r="AV1219" s="56">
        <f t="shared" si="586"/>
        <v>0</v>
      </c>
      <c r="AW1219" s="57"/>
      <c r="AX1219" s="153"/>
      <c r="AY1219" s="153"/>
      <c r="AZ1219" s="153"/>
      <c r="BA1219" s="153"/>
      <c r="BB1219" s="153"/>
      <c r="BC1219" s="153"/>
      <c r="BD1219" s="151"/>
      <c r="BE1219" s="152"/>
      <c r="BF1219" s="151"/>
      <c r="BG1219" s="94">
        <f>SUM($AV$1035:AV1219)</f>
        <v>-390.06520146514509</v>
      </c>
      <c r="BH1219" s="95">
        <f>SUM($AU$1035:AU1219)</f>
        <v>-983.79999999994902</v>
      </c>
      <c r="BI1219" s="80">
        <f>SUMIFS($AU$1035:AU1307,$Q$1035:Q1307,"F")</f>
        <v>112.00000000000057</v>
      </c>
      <c r="BJ1219" s="80">
        <f>SUMIFS($AU$1035:AU1307,$Q$1035:Q1307,"S")</f>
        <v>-15.999999999994088</v>
      </c>
      <c r="BK1219" s="87">
        <f>SUMIFS($AU$1035:AU1307,$P$1035:P1307,"W")</f>
        <v>-960.00000000003297</v>
      </c>
      <c r="BL1219" s="87">
        <f>SUMIFS($AU$1035:AU1307,$P$1035:P1307,"R")</f>
        <v>1024.0000000000007</v>
      </c>
      <c r="BM1219" s="87">
        <f>SUMIFS($AU$1035:AU1307,$AQ$1035:AQ1307,"M")</f>
        <v>-899.79999999984489</v>
      </c>
      <c r="BN1219" s="87">
        <f>SUMIFS($AU$1035:AU1307,$AQ$1035:AQ1307,"H")</f>
        <v>1583.9999999998265</v>
      </c>
      <c r="BO1219" s="87">
        <f>SUMIFS($AU$1035:AU1307,$AQ$1035:AQ1307,"D")</f>
        <v>-479.9999999999896</v>
      </c>
      <c r="BP1219" s="87">
        <f>SUMIFS($AS$1035:AS1395,$AO$1035:AO1395,"W")</f>
        <v>0</v>
      </c>
      <c r="BQ1219" s="87">
        <f>SUMIFS($AU$1035:AU1307,$Q$1035:Q1307,"O")</f>
        <v>-1079.7999999999552</v>
      </c>
      <c r="BR1219" s="87">
        <f>SUMIFS($AU$1035:AU1307,$AA$1035:AA1307,"*")</f>
        <v>-499.79999999992333</v>
      </c>
      <c r="BS1219" s="87">
        <f>SUMIFS($AU$1035:AU1307,$AB$1035:AB1307,"*")</f>
        <v>-724.00000000009095</v>
      </c>
      <c r="BT1219" s="87">
        <f>SUMIFS($AU$1035:AU1307,$AC$1035:AC1307,"*")</f>
        <v>112.00000000000097</v>
      </c>
      <c r="BU1219" s="87">
        <f>SUMIFS($AU$1035:AU1307,$AA$1035:AA1307,"*",$AB$1035:AB1307,"*")</f>
        <v>47.999999999934744</v>
      </c>
      <c r="BV1219" s="87">
        <f>SUMIFS($AU$1035:AU1307,$AA$1035:AA1307,"*",$AC$1035:AC1307,"*")</f>
        <v>-335.99999999999977</v>
      </c>
      <c r="BW1219" s="87">
        <f>SUMIFS($AU$1035:AU1307,$AB$1035:AB1307,"*",$AC$1035:AC1307,"*")</f>
        <v>-143.99999999999966</v>
      </c>
      <c r="BX1219" s="87">
        <f>SUMIFS($AV$1035:AV1307,$Q$1035:Q1307,"F")</f>
        <v>34.153846153846246</v>
      </c>
      <c r="BY1219" s="87">
        <f>SUMIFS($AV$1035:AV1307,$Q$1035:Q1307,"S")</f>
        <v>20.914285714286223</v>
      </c>
      <c r="BZ1219" s="87">
        <f>SUMIFS($AV$1035:AV1307,$Q$1035:Q1307,"O")</f>
        <v>-445.13333333327751</v>
      </c>
    </row>
    <row r="1220" spans="1:78" ht="15.75" customHeight="1">
      <c r="A1220" s="45" t="s">
        <v>3470</v>
      </c>
      <c r="B1220" s="59"/>
      <c r="C1220" s="46"/>
      <c r="D1220" s="46"/>
      <c r="E1220" s="66"/>
      <c r="F1220" s="47"/>
      <c r="G1220" s="48"/>
      <c r="H1220" s="49"/>
      <c r="I1220" s="49"/>
      <c r="J1220" s="49"/>
      <c r="K1220" s="50"/>
      <c r="L1220" s="49"/>
      <c r="M1220" s="49"/>
      <c r="N1220" s="49"/>
      <c r="O1220" s="50"/>
      <c r="P1220" s="50"/>
      <c r="Q1220" s="50"/>
      <c r="R1220" s="50"/>
      <c r="S1220" s="50"/>
      <c r="T1220" s="50"/>
      <c r="U1220" s="50"/>
      <c r="V1220" s="50"/>
      <c r="W1220" s="50"/>
      <c r="X1220" s="50"/>
      <c r="Y1220" s="50"/>
      <c r="Z1220" s="50"/>
      <c r="AA1220" s="52"/>
      <c r="AB1220" s="52"/>
      <c r="AC1220" s="52"/>
      <c r="AD1220" s="231"/>
      <c r="AE1220" s="49"/>
      <c r="AF1220" s="84"/>
      <c r="AG1220" s="49"/>
      <c r="AH1220" s="49"/>
      <c r="AI1220" s="49"/>
      <c r="AJ1220" s="226"/>
      <c r="AK1220" s="49"/>
      <c r="AL1220" s="113">
        <f t="shared" si="582"/>
        <v>0</v>
      </c>
      <c r="AM1220" s="113">
        <f t="shared" si="583"/>
        <v>0</v>
      </c>
      <c r="AN1220" s="218"/>
      <c r="AO1220" s="49"/>
      <c r="AP1220" s="49"/>
      <c r="AQ1220" s="84" t="str">
        <f>UPPER(RIGHT(Journal_Live[[#This Row],[DURATION ]]))</f>
        <v/>
      </c>
      <c r="AR1220" s="49"/>
      <c r="AS1220" s="55"/>
      <c r="AT1220" s="55">
        <f t="shared" si="584"/>
        <v>0</v>
      </c>
      <c r="AU1220" s="54">
        <f t="shared" si="585"/>
        <v>0</v>
      </c>
      <c r="AV1220" s="56">
        <f t="shared" si="586"/>
        <v>0</v>
      </c>
      <c r="AW1220" s="57"/>
      <c r="AX1220" s="153"/>
      <c r="AY1220" s="153"/>
      <c r="AZ1220" s="153"/>
      <c r="BA1220" s="153"/>
      <c r="BB1220" s="153"/>
      <c r="BC1220" s="153"/>
      <c r="BD1220" s="151"/>
      <c r="BE1220" s="152"/>
      <c r="BF1220" s="151"/>
      <c r="BG1220" s="94">
        <f>SUM($AV$1035:AV1220)</f>
        <v>-390.06520146514509</v>
      </c>
      <c r="BH1220" s="95">
        <f>SUM($AU$1035:AU1220)</f>
        <v>-983.79999999994902</v>
      </c>
      <c r="BI1220" s="80">
        <f>SUMIFS($AU$1035:AU1308,$Q$1035:Q1308,"F")</f>
        <v>112.00000000000057</v>
      </c>
      <c r="BJ1220" s="80">
        <f>SUMIFS($AU$1035:AU1308,$Q$1035:Q1308,"S")</f>
        <v>-15.999999999994088</v>
      </c>
      <c r="BK1220" s="87">
        <f>SUMIFS($AU$1035:AU1308,$P$1035:P1308,"W")</f>
        <v>-960.00000000003297</v>
      </c>
      <c r="BL1220" s="87">
        <f>SUMIFS($AU$1035:AU1308,$P$1035:P1308,"R")</f>
        <v>1024.0000000000007</v>
      </c>
      <c r="BM1220" s="87">
        <f>SUMIFS($AU$1035:AU1308,$AQ$1035:AQ1308,"M")</f>
        <v>-899.79999999984489</v>
      </c>
      <c r="BN1220" s="87">
        <f>SUMIFS($AU$1035:AU1308,$AQ$1035:AQ1308,"H")</f>
        <v>1583.9999999998265</v>
      </c>
      <c r="BO1220" s="87">
        <f>SUMIFS($AU$1035:AU1308,$AQ$1035:AQ1308,"D")</f>
        <v>-479.9999999999896</v>
      </c>
      <c r="BP1220" s="87">
        <f>SUMIFS($AS$1035:AS1396,$AO$1035:AO1396,"W")</f>
        <v>0</v>
      </c>
      <c r="BQ1220" s="87">
        <f>SUMIFS($AU$1035:AU1308,$Q$1035:Q1308,"O")</f>
        <v>-1079.7999999999552</v>
      </c>
      <c r="BR1220" s="87">
        <f>SUMIFS($AU$1035:AU1308,$AA$1035:AA1308,"*")</f>
        <v>-499.79999999992333</v>
      </c>
      <c r="BS1220" s="87">
        <f>SUMIFS($AU$1035:AU1308,$AB$1035:AB1308,"*")</f>
        <v>-724.00000000009095</v>
      </c>
      <c r="BT1220" s="87">
        <f>SUMIFS($AU$1035:AU1308,$AC$1035:AC1308,"*")</f>
        <v>112.00000000000097</v>
      </c>
      <c r="BU1220" s="87">
        <f>SUMIFS($AU$1035:AU1308,$AA$1035:AA1308,"*",$AB$1035:AB1308,"*")</f>
        <v>47.999999999934744</v>
      </c>
      <c r="BV1220" s="87">
        <f>SUMIFS($AU$1035:AU1308,$AA$1035:AA1308,"*",$AC$1035:AC1308,"*")</f>
        <v>-335.99999999999977</v>
      </c>
      <c r="BW1220" s="87">
        <f>SUMIFS($AU$1035:AU1308,$AB$1035:AB1308,"*",$AC$1035:AC1308,"*")</f>
        <v>-143.99999999999966</v>
      </c>
      <c r="BX1220" s="87">
        <f>SUMIFS($AV$1035:AV1308,$Q$1035:Q1308,"F")</f>
        <v>34.153846153846246</v>
      </c>
      <c r="BY1220" s="87">
        <f>SUMIFS($AV$1035:AV1308,$Q$1035:Q1308,"S")</f>
        <v>20.914285714286223</v>
      </c>
      <c r="BZ1220" s="87">
        <f>SUMIFS($AV$1035:AV1308,$Q$1035:Q1308,"O")</f>
        <v>-445.13333333327751</v>
      </c>
    </row>
    <row r="1221" spans="1:78" ht="15.75" customHeight="1">
      <c r="A1221" s="45" t="s">
        <v>3470</v>
      </c>
      <c r="B1221" s="59"/>
      <c r="C1221" s="46"/>
      <c r="D1221" s="46"/>
      <c r="E1221" s="66"/>
      <c r="F1221" s="47"/>
      <c r="G1221" s="48"/>
      <c r="H1221" s="49"/>
      <c r="I1221" s="49"/>
      <c r="J1221" s="49"/>
      <c r="K1221" s="50"/>
      <c r="L1221" s="49"/>
      <c r="M1221" s="49"/>
      <c r="N1221" s="49"/>
      <c r="O1221" s="50"/>
      <c r="P1221" s="50"/>
      <c r="Q1221" s="50"/>
      <c r="R1221" s="50"/>
      <c r="S1221" s="50"/>
      <c r="T1221" s="50"/>
      <c r="U1221" s="50"/>
      <c r="V1221" s="50"/>
      <c r="W1221" s="50"/>
      <c r="X1221" s="50"/>
      <c r="Y1221" s="50"/>
      <c r="Z1221" s="50"/>
      <c r="AA1221" s="52"/>
      <c r="AB1221" s="52"/>
      <c r="AC1221" s="52"/>
      <c r="AD1221" s="231"/>
      <c r="AE1221" s="49"/>
      <c r="AF1221" s="84"/>
      <c r="AG1221" s="49"/>
      <c r="AH1221" s="49"/>
      <c r="AI1221" s="49"/>
      <c r="AJ1221" s="226"/>
      <c r="AK1221" s="49"/>
      <c r="AL1221" s="113">
        <f t="shared" si="582"/>
        <v>0</v>
      </c>
      <c r="AM1221" s="113">
        <f t="shared" si="583"/>
        <v>0</v>
      </c>
      <c r="AN1221" s="218"/>
      <c r="AO1221" s="49"/>
      <c r="AP1221" s="49"/>
      <c r="AQ1221" s="84" t="str">
        <f>UPPER(RIGHT(Journal_Live[[#This Row],[DURATION ]]))</f>
        <v/>
      </c>
      <c r="AR1221" s="49"/>
      <c r="AS1221" s="55"/>
      <c r="AT1221" s="55">
        <f t="shared" si="584"/>
        <v>0</v>
      </c>
      <c r="AU1221" s="54">
        <f t="shared" si="585"/>
        <v>0</v>
      </c>
      <c r="AV1221" s="56">
        <f t="shared" si="586"/>
        <v>0</v>
      </c>
      <c r="AW1221" s="57"/>
      <c r="AX1221" s="153"/>
      <c r="AY1221" s="153"/>
      <c r="AZ1221" s="153"/>
      <c r="BA1221" s="153"/>
      <c r="BB1221" s="153"/>
      <c r="BC1221" s="153"/>
      <c r="BD1221" s="151"/>
      <c r="BE1221" s="152"/>
      <c r="BF1221" s="151"/>
      <c r="BG1221" s="94">
        <f>SUM($AV$1035:AV1221)</f>
        <v>-390.06520146514509</v>
      </c>
      <c r="BH1221" s="95">
        <f>SUM($AU$1035:AU1221)</f>
        <v>-983.79999999994902</v>
      </c>
      <c r="BI1221" s="80">
        <f>SUMIFS($AU$1035:AU1309,$Q$1035:Q1309,"F")</f>
        <v>112.00000000000057</v>
      </c>
      <c r="BJ1221" s="80">
        <f>SUMIFS($AU$1035:AU1309,$Q$1035:Q1309,"S")</f>
        <v>-15.999999999994088</v>
      </c>
      <c r="BK1221" s="87">
        <f>SUMIFS($AU$1035:AU1309,$P$1035:P1309,"W")</f>
        <v>-960.00000000003297</v>
      </c>
      <c r="BL1221" s="87">
        <f>SUMIFS($AU$1035:AU1309,$P$1035:P1309,"R")</f>
        <v>1024.0000000000007</v>
      </c>
      <c r="BM1221" s="87">
        <f>SUMIFS($AU$1035:AU1309,$AQ$1035:AQ1309,"M")</f>
        <v>-899.79999999984489</v>
      </c>
      <c r="BN1221" s="87">
        <f>SUMIFS($AU$1035:AU1309,$AQ$1035:AQ1309,"H")</f>
        <v>1583.9999999998265</v>
      </c>
      <c r="BO1221" s="87">
        <f>SUMIFS($AU$1035:AU1309,$AQ$1035:AQ1309,"D")</f>
        <v>-479.9999999999896</v>
      </c>
      <c r="BP1221" s="87">
        <f>SUMIFS($AS$1035:AS1397,$AO$1035:AO1397,"W")</f>
        <v>0</v>
      </c>
      <c r="BQ1221" s="87">
        <f>SUMIFS($AU$1035:AU1309,$Q$1035:Q1309,"O")</f>
        <v>-1079.7999999999552</v>
      </c>
      <c r="BR1221" s="87">
        <f>SUMIFS($AU$1035:AU1309,$AA$1035:AA1309,"*")</f>
        <v>-499.79999999992333</v>
      </c>
      <c r="BS1221" s="87">
        <f>SUMIFS($AU$1035:AU1309,$AB$1035:AB1309,"*")</f>
        <v>-724.00000000009095</v>
      </c>
      <c r="BT1221" s="87">
        <f>SUMIFS($AU$1035:AU1309,$AC$1035:AC1309,"*")</f>
        <v>112.00000000000097</v>
      </c>
      <c r="BU1221" s="87">
        <f>SUMIFS($AU$1035:AU1309,$AA$1035:AA1309,"*",$AB$1035:AB1309,"*")</f>
        <v>47.999999999934744</v>
      </c>
      <c r="BV1221" s="87">
        <f>SUMIFS($AU$1035:AU1309,$AA$1035:AA1309,"*",$AC$1035:AC1309,"*")</f>
        <v>-335.99999999999977</v>
      </c>
      <c r="BW1221" s="87">
        <f>SUMIFS($AU$1035:AU1309,$AB$1035:AB1309,"*",$AC$1035:AC1309,"*")</f>
        <v>-143.99999999999966</v>
      </c>
      <c r="BX1221" s="87">
        <f>SUMIFS($AV$1035:AV1309,$Q$1035:Q1309,"F")</f>
        <v>34.153846153846246</v>
      </c>
      <c r="BY1221" s="87">
        <f>SUMIFS($AV$1035:AV1309,$Q$1035:Q1309,"S")</f>
        <v>20.914285714286223</v>
      </c>
      <c r="BZ1221" s="87">
        <f>SUMIFS($AV$1035:AV1309,$Q$1035:Q1309,"O")</f>
        <v>-445.13333333327751</v>
      </c>
    </row>
    <row r="1222" spans="1:78" ht="15.75" customHeight="1">
      <c r="A1222" s="45" t="s">
        <v>3470</v>
      </c>
      <c r="B1222" s="59"/>
      <c r="C1222" s="46"/>
      <c r="D1222" s="46"/>
      <c r="E1222" s="66"/>
      <c r="F1222" s="47"/>
      <c r="G1222" s="48"/>
      <c r="H1222" s="49"/>
      <c r="I1222" s="49"/>
      <c r="J1222" s="49"/>
      <c r="K1222" s="50"/>
      <c r="L1222" s="49"/>
      <c r="M1222" s="49"/>
      <c r="N1222" s="49"/>
      <c r="O1222" s="50"/>
      <c r="P1222" s="50"/>
      <c r="Q1222" s="50"/>
      <c r="R1222" s="50"/>
      <c r="S1222" s="50"/>
      <c r="T1222" s="50"/>
      <c r="U1222" s="50"/>
      <c r="V1222" s="50"/>
      <c r="W1222" s="50"/>
      <c r="X1222" s="50"/>
      <c r="Y1222" s="50"/>
      <c r="Z1222" s="50"/>
      <c r="AA1222" s="52"/>
      <c r="AB1222" s="52"/>
      <c r="AC1222" s="52"/>
      <c r="AD1222" s="231"/>
      <c r="AE1222" s="49"/>
      <c r="AF1222" s="84"/>
      <c r="AG1222" s="49"/>
      <c r="AH1222" s="49"/>
      <c r="AI1222" s="49"/>
      <c r="AJ1222" s="226"/>
      <c r="AK1222" s="49"/>
      <c r="AL1222" s="113">
        <f t="shared" si="582"/>
        <v>0</v>
      </c>
      <c r="AM1222" s="113">
        <f t="shared" si="583"/>
        <v>0</v>
      </c>
      <c r="AN1222" s="218"/>
      <c r="AO1222" s="49"/>
      <c r="AP1222" s="49"/>
      <c r="AQ1222" s="84" t="str">
        <f>UPPER(RIGHT(Journal_Live[[#This Row],[DURATION ]]))</f>
        <v/>
      </c>
      <c r="AR1222" s="49"/>
      <c r="AS1222" s="55"/>
      <c r="AT1222" s="55">
        <f t="shared" si="584"/>
        <v>0</v>
      </c>
      <c r="AU1222" s="54">
        <f t="shared" si="585"/>
        <v>0</v>
      </c>
      <c r="AV1222" s="56">
        <f t="shared" si="586"/>
        <v>0</v>
      </c>
      <c r="AW1222" s="57"/>
      <c r="AX1222" s="153"/>
      <c r="AY1222" s="153"/>
      <c r="AZ1222" s="153"/>
      <c r="BA1222" s="153"/>
      <c r="BB1222" s="153"/>
      <c r="BC1222" s="153"/>
      <c r="BD1222" s="151"/>
      <c r="BE1222" s="152"/>
      <c r="BF1222" s="151"/>
      <c r="BG1222" s="94">
        <f>SUM($AV$1035:AV1222)</f>
        <v>-390.06520146514509</v>
      </c>
      <c r="BH1222" s="95">
        <f>SUM($AU$1035:AU1222)</f>
        <v>-983.79999999994902</v>
      </c>
      <c r="BI1222" s="80">
        <f>SUMIFS($AU$1035:AU1310,$Q$1035:Q1310,"F")</f>
        <v>112.00000000000057</v>
      </c>
      <c r="BJ1222" s="80">
        <f>SUMIFS($AU$1035:AU1310,$Q$1035:Q1310,"S")</f>
        <v>-15.999999999994088</v>
      </c>
      <c r="BK1222" s="87">
        <f>SUMIFS($AU$1035:AU1310,$P$1035:P1310,"W")</f>
        <v>-960.00000000003297</v>
      </c>
      <c r="BL1222" s="87">
        <f>SUMIFS($AU$1035:AU1310,$P$1035:P1310,"R")</f>
        <v>1024.0000000000007</v>
      </c>
      <c r="BM1222" s="87">
        <f>SUMIFS($AU$1035:AU1310,$AQ$1035:AQ1310,"M")</f>
        <v>-899.79999999984489</v>
      </c>
      <c r="BN1222" s="87">
        <f>SUMIFS($AU$1035:AU1310,$AQ$1035:AQ1310,"H")</f>
        <v>1583.9999999998265</v>
      </c>
      <c r="BO1222" s="87">
        <f>SUMIFS($AU$1035:AU1310,$AQ$1035:AQ1310,"D")</f>
        <v>-479.9999999999896</v>
      </c>
      <c r="BP1222" s="87">
        <f>SUMIFS($AS$1035:AS1398,$AO$1035:AO1398,"W")</f>
        <v>0</v>
      </c>
      <c r="BQ1222" s="87">
        <f>SUMIFS($AU$1035:AU1310,$Q$1035:Q1310,"O")</f>
        <v>-1079.7999999999552</v>
      </c>
      <c r="BR1222" s="87">
        <f>SUMIFS($AU$1035:AU1310,$AA$1035:AA1310,"*")</f>
        <v>-499.79999999992333</v>
      </c>
      <c r="BS1222" s="87">
        <f>SUMIFS($AU$1035:AU1310,$AB$1035:AB1310,"*")</f>
        <v>-724.00000000009095</v>
      </c>
      <c r="BT1222" s="87">
        <f>SUMIFS($AU$1035:AU1310,$AC$1035:AC1310,"*")</f>
        <v>112.00000000000097</v>
      </c>
      <c r="BU1222" s="87">
        <f>SUMIFS($AU$1035:AU1310,$AA$1035:AA1310,"*",$AB$1035:AB1310,"*")</f>
        <v>47.999999999934744</v>
      </c>
      <c r="BV1222" s="87">
        <f>SUMIFS($AU$1035:AU1310,$AA$1035:AA1310,"*",$AC$1035:AC1310,"*")</f>
        <v>-335.99999999999977</v>
      </c>
      <c r="BW1222" s="87">
        <f>SUMIFS($AU$1035:AU1310,$AB$1035:AB1310,"*",$AC$1035:AC1310,"*")</f>
        <v>-143.99999999999966</v>
      </c>
      <c r="BX1222" s="87">
        <f>SUMIFS($AV$1035:AV1310,$Q$1035:Q1310,"F")</f>
        <v>34.153846153846246</v>
      </c>
      <c r="BY1222" s="87">
        <f>SUMIFS($AV$1035:AV1310,$Q$1035:Q1310,"S")</f>
        <v>20.914285714286223</v>
      </c>
      <c r="BZ1222" s="87">
        <f>SUMIFS($AV$1035:AV1310,$Q$1035:Q1310,"O")</f>
        <v>-445.13333333327751</v>
      </c>
    </row>
    <row r="1223" spans="1:78" ht="15.75" customHeight="1">
      <c r="A1223" s="45" t="s">
        <v>3470</v>
      </c>
      <c r="B1223" s="59"/>
      <c r="C1223" s="46"/>
      <c r="D1223" s="46"/>
      <c r="E1223" s="66"/>
      <c r="F1223" s="47"/>
      <c r="G1223" s="48"/>
      <c r="H1223" s="49"/>
      <c r="I1223" s="49"/>
      <c r="J1223" s="49"/>
      <c r="K1223" s="50"/>
      <c r="L1223" s="49"/>
      <c r="M1223" s="49"/>
      <c r="N1223" s="49"/>
      <c r="O1223" s="50"/>
      <c r="P1223" s="50"/>
      <c r="Q1223" s="50"/>
      <c r="R1223" s="50"/>
      <c r="S1223" s="50"/>
      <c r="T1223" s="50"/>
      <c r="U1223" s="50"/>
      <c r="V1223" s="50"/>
      <c r="W1223" s="50"/>
      <c r="X1223" s="50"/>
      <c r="Y1223" s="50"/>
      <c r="Z1223" s="50"/>
      <c r="AA1223" s="52"/>
      <c r="AB1223" s="52"/>
      <c r="AC1223" s="52"/>
      <c r="AD1223" s="231"/>
      <c r="AE1223" s="49"/>
      <c r="AF1223" s="84"/>
      <c r="AG1223" s="49"/>
      <c r="AH1223" s="49"/>
      <c r="AI1223" s="49"/>
      <c r="AJ1223" s="226"/>
      <c r="AK1223" s="49"/>
      <c r="AL1223" s="113">
        <f t="shared" ref="AL1223:AL1228" si="587">-0.02*Z1223</f>
        <v>0</v>
      </c>
      <c r="AM1223" s="113">
        <f t="shared" si="583"/>
        <v>0</v>
      </c>
      <c r="AN1223" s="218"/>
      <c r="AO1223" s="49"/>
      <c r="AP1223" s="49"/>
      <c r="AQ1223" s="84" t="str">
        <f>UPPER(RIGHT(Journal_Live[[#This Row],[DURATION ]]))</f>
        <v/>
      </c>
      <c r="AR1223" s="49"/>
      <c r="AS1223" s="55"/>
      <c r="AT1223" s="55">
        <f t="shared" si="584"/>
        <v>0</v>
      </c>
      <c r="AU1223" s="54">
        <f t="shared" si="585"/>
        <v>0</v>
      </c>
      <c r="AV1223" s="56">
        <f t="shared" ref="AV1223:AV1228" si="588">IF(ISBLANK(AS1223),,(AT1223*Z1223))</f>
        <v>0</v>
      </c>
      <c r="AW1223" s="57"/>
      <c r="AX1223" s="153"/>
      <c r="AY1223" s="153"/>
      <c r="AZ1223" s="153"/>
      <c r="BA1223" s="153"/>
      <c r="BB1223" s="153"/>
      <c r="BC1223" s="153"/>
      <c r="BD1223" s="151"/>
      <c r="BE1223" s="152"/>
      <c r="BF1223" s="151"/>
      <c r="BG1223" s="94">
        <f>SUM($AV$1035:AV1223)</f>
        <v>-390.06520146514509</v>
      </c>
      <c r="BH1223" s="95">
        <f>SUM($AU$1035:AU1223)</f>
        <v>-983.79999999994902</v>
      </c>
      <c r="BI1223" s="80">
        <f>SUMIFS($AU$1035:AU1311,$Q$1035:Q1311,"F")</f>
        <v>112.00000000000057</v>
      </c>
      <c r="BJ1223" s="80">
        <f>SUMIFS($AU$1035:AU1311,$Q$1035:Q1311,"S")</f>
        <v>-15.999999999994088</v>
      </c>
      <c r="BK1223" s="87">
        <f>SUMIFS($AU$1035:AU1311,$P$1035:P1311,"W")</f>
        <v>-960.00000000003297</v>
      </c>
      <c r="BL1223" s="87">
        <f>SUMIFS($AU$1035:AU1311,$P$1035:P1311,"R")</f>
        <v>1024.0000000000007</v>
      </c>
      <c r="BM1223" s="87">
        <f>SUMIFS($AU$1035:AU1311,$AQ$1035:AQ1311,"M")</f>
        <v>-899.79999999984489</v>
      </c>
      <c r="BN1223" s="87">
        <f>SUMIFS($AU$1035:AU1311,$AQ$1035:AQ1311,"H")</f>
        <v>1583.9999999998265</v>
      </c>
      <c r="BO1223" s="87">
        <f>SUMIFS($AU$1035:AU1311,$AQ$1035:AQ1311,"D")</f>
        <v>-479.9999999999896</v>
      </c>
      <c r="BP1223" s="87">
        <f>SUMIFS($AS$1035:AS1399,$AO$1035:AO1399,"W")</f>
        <v>0</v>
      </c>
      <c r="BQ1223" s="87">
        <f>SUMIFS($AU$1035:AU1311,$Q$1035:Q1311,"O")</f>
        <v>-1079.7999999999552</v>
      </c>
      <c r="BR1223" s="87">
        <f>SUMIFS($AU$1035:AU1311,$AA$1035:AA1311,"*")</f>
        <v>-499.79999999992333</v>
      </c>
      <c r="BS1223" s="87">
        <f>SUMIFS($AU$1035:AU1311,$AB$1035:AB1311,"*")</f>
        <v>-724.00000000009095</v>
      </c>
      <c r="BT1223" s="87">
        <f>SUMIFS($AU$1035:AU1311,$AC$1035:AC1311,"*")</f>
        <v>112.00000000000097</v>
      </c>
      <c r="BU1223" s="87">
        <f>SUMIFS($AU$1035:AU1311,$AA$1035:AA1311,"*",$AB$1035:AB1311,"*")</f>
        <v>47.999999999934744</v>
      </c>
      <c r="BV1223" s="87">
        <f>SUMIFS($AU$1035:AU1311,$AA$1035:AA1311,"*",$AC$1035:AC1311,"*")</f>
        <v>-335.99999999999977</v>
      </c>
      <c r="BW1223" s="87">
        <f>SUMIFS($AU$1035:AU1311,$AB$1035:AB1311,"*",$AC$1035:AC1311,"*")</f>
        <v>-143.99999999999966</v>
      </c>
      <c r="BX1223" s="87">
        <f>SUMIFS($AV$1035:AV1311,$Q$1035:Q1311,"F")</f>
        <v>34.153846153846246</v>
      </c>
      <c r="BY1223" s="87">
        <f>SUMIFS($AV$1035:AV1311,$Q$1035:Q1311,"S")</f>
        <v>20.914285714286223</v>
      </c>
      <c r="BZ1223" s="87">
        <f>SUMIFS($AV$1035:AV1311,$Q$1035:Q1311,"O")</f>
        <v>-445.13333333327751</v>
      </c>
    </row>
    <row r="1224" spans="1:78" ht="15.75" customHeight="1">
      <c r="A1224" s="45" t="s">
        <v>3470</v>
      </c>
      <c r="B1224" s="59"/>
      <c r="C1224" s="46"/>
      <c r="D1224" s="46"/>
      <c r="E1224" s="66"/>
      <c r="F1224" s="47"/>
      <c r="G1224" s="48"/>
      <c r="H1224" s="49"/>
      <c r="I1224" s="49"/>
      <c r="J1224" s="49"/>
      <c r="K1224" s="50"/>
      <c r="L1224" s="49"/>
      <c r="M1224" s="49"/>
      <c r="N1224" s="49"/>
      <c r="O1224" s="50"/>
      <c r="P1224" s="50"/>
      <c r="Q1224" s="50"/>
      <c r="R1224" s="50"/>
      <c r="S1224" s="50"/>
      <c r="T1224" s="50"/>
      <c r="U1224" s="50"/>
      <c r="V1224" s="50"/>
      <c r="W1224" s="50"/>
      <c r="X1224" s="50"/>
      <c r="Y1224" s="50"/>
      <c r="Z1224" s="50"/>
      <c r="AA1224" s="52"/>
      <c r="AB1224" s="52"/>
      <c r="AC1224" s="52"/>
      <c r="AD1224" s="231"/>
      <c r="AE1224" s="49"/>
      <c r="AF1224" s="84"/>
      <c r="AG1224" s="49"/>
      <c r="AH1224" s="49"/>
      <c r="AI1224" s="49"/>
      <c r="AJ1224" s="226"/>
      <c r="AK1224" s="49"/>
      <c r="AL1224" s="113">
        <f t="shared" si="587"/>
        <v>0</v>
      </c>
      <c r="AM1224" s="113">
        <f t="shared" si="583"/>
        <v>0</v>
      </c>
      <c r="AN1224" s="218"/>
      <c r="AO1224" s="49"/>
      <c r="AP1224" s="49"/>
      <c r="AQ1224" s="84" t="str">
        <f>UPPER(RIGHT(Journal_Live[[#This Row],[DURATION ]]))</f>
        <v/>
      </c>
      <c r="AR1224" s="49"/>
      <c r="AS1224" s="55"/>
      <c r="AT1224" s="55">
        <f t="shared" si="584"/>
        <v>0</v>
      </c>
      <c r="AU1224" s="54">
        <f t="shared" si="585"/>
        <v>0</v>
      </c>
      <c r="AV1224" s="56">
        <f t="shared" si="588"/>
        <v>0</v>
      </c>
      <c r="AW1224" s="57"/>
      <c r="AX1224" s="153"/>
      <c r="AY1224" s="153"/>
      <c r="AZ1224" s="153"/>
      <c r="BA1224" s="153"/>
      <c r="BB1224" s="153"/>
      <c r="BC1224" s="153"/>
      <c r="BD1224" s="151"/>
      <c r="BE1224" s="152"/>
      <c r="BF1224" s="151"/>
      <c r="BG1224" s="94">
        <f>SUM($AV$1035:AV1224)</f>
        <v>-390.06520146514509</v>
      </c>
      <c r="BH1224" s="95">
        <f>SUM($AU$1035:AU1224)</f>
        <v>-983.79999999994902</v>
      </c>
      <c r="BI1224" s="80">
        <f>SUMIFS($AU$1035:AU1312,$Q$1035:Q1312,"F")</f>
        <v>112.00000000000057</v>
      </c>
      <c r="BJ1224" s="80">
        <f>SUMIFS($AU$1035:AU1312,$Q$1035:Q1312,"S")</f>
        <v>-15.999999999994088</v>
      </c>
      <c r="BK1224" s="87">
        <f>SUMIFS($AU$1035:AU1312,$P$1035:P1312,"W")</f>
        <v>-960.00000000003297</v>
      </c>
      <c r="BL1224" s="87">
        <f>SUMIFS($AU$1035:AU1312,$P$1035:P1312,"R")</f>
        <v>1024.0000000000007</v>
      </c>
      <c r="BM1224" s="87">
        <f>SUMIFS($AU$1035:AU1312,$AQ$1035:AQ1312,"M")</f>
        <v>-899.79999999984489</v>
      </c>
      <c r="BN1224" s="87">
        <f>SUMIFS($AU$1035:AU1312,$AQ$1035:AQ1312,"H")</f>
        <v>1583.9999999998265</v>
      </c>
      <c r="BO1224" s="87">
        <f>SUMIFS($AU$1035:AU1312,$AQ$1035:AQ1312,"D")</f>
        <v>-479.9999999999896</v>
      </c>
      <c r="BP1224" s="87">
        <f>SUMIFS($AS$1035:AS1400,$AO$1035:AO1400,"W")</f>
        <v>0</v>
      </c>
      <c r="BQ1224" s="87">
        <f>SUMIFS($AU$1035:AU1312,$Q$1035:Q1312,"O")</f>
        <v>-1079.7999999999552</v>
      </c>
      <c r="BR1224" s="87">
        <f>SUMIFS($AU$1035:AU1312,$AA$1035:AA1312,"*")</f>
        <v>-499.79999999992333</v>
      </c>
      <c r="BS1224" s="87">
        <f>SUMIFS($AU$1035:AU1312,$AB$1035:AB1312,"*")</f>
        <v>-724.00000000009095</v>
      </c>
      <c r="BT1224" s="87">
        <f>SUMIFS($AU$1035:AU1312,$AC$1035:AC1312,"*")</f>
        <v>112.00000000000097</v>
      </c>
      <c r="BU1224" s="87">
        <f>SUMIFS($AU$1035:AU1312,$AA$1035:AA1312,"*",$AB$1035:AB1312,"*")</f>
        <v>47.999999999934744</v>
      </c>
      <c r="BV1224" s="87">
        <f>SUMIFS($AU$1035:AU1312,$AA$1035:AA1312,"*",$AC$1035:AC1312,"*")</f>
        <v>-335.99999999999977</v>
      </c>
      <c r="BW1224" s="87">
        <f>SUMIFS($AU$1035:AU1312,$AB$1035:AB1312,"*",$AC$1035:AC1312,"*")</f>
        <v>-143.99999999999966</v>
      </c>
      <c r="BX1224" s="87">
        <f>SUMIFS($AV$1035:AV1312,$Q$1035:Q1312,"F")</f>
        <v>34.153846153846246</v>
      </c>
      <c r="BY1224" s="87">
        <f>SUMIFS($AV$1035:AV1312,$Q$1035:Q1312,"S")</f>
        <v>20.914285714286223</v>
      </c>
      <c r="BZ1224" s="87">
        <f>SUMIFS($AV$1035:AV1312,$Q$1035:Q1312,"O")</f>
        <v>-445.13333333327751</v>
      </c>
    </row>
    <row r="1225" spans="1:78" ht="15.75" customHeight="1">
      <c r="A1225" s="45" t="s">
        <v>3470</v>
      </c>
      <c r="B1225" s="59"/>
      <c r="C1225" s="46"/>
      <c r="D1225" s="46"/>
      <c r="E1225" s="66"/>
      <c r="F1225" s="47"/>
      <c r="G1225" s="48"/>
      <c r="H1225" s="49"/>
      <c r="I1225" s="49"/>
      <c r="J1225" s="49"/>
      <c r="K1225" s="50"/>
      <c r="L1225" s="49"/>
      <c r="M1225" s="49"/>
      <c r="N1225" s="49"/>
      <c r="O1225" s="50"/>
      <c r="P1225" s="50"/>
      <c r="Q1225" s="50"/>
      <c r="R1225" s="50"/>
      <c r="S1225" s="50"/>
      <c r="T1225" s="50"/>
      <c r="U1225" s="50"/>
      <c r="V1225" s="50"/>
      <c r="W1225" s="50"/>
      <c r="X1225" s="50"/>
      <c r="Y1225" s="50"/>
      <c r="Z1225" s="50"/>
      <c r="AA1225" s="52"/>
      <c r="AB1225" s="52"/>
      <c r="AC1225" s="52"/>
      <c r="AD1225" s="231"/>
      <c r="AE1225" s="49"/>
      <c r="AF1225" s="84"/>
      <c r="AG1225" s="49"/>
      <c r="AH1225" s="49"/>
      <c r="AI1225" s="49"/>
      <c r="AJ1225" s="226"/>
      <c r="AK1225" s="49"/>
      <c r="AL1225" s="113">
        <f t="shared" si="587"/>
        <v>0</v>
      </c>
      <c r="AM1225" s="113">
        <f t="shared" si="583"/>
        <v>0</v>
      </c>
      <c r="AN1225" s="218"/>
      <c r="AO1225" s="49"/>
      <c r="AP1225" s="49"/>
      <c r="AQ1225" s="84" t="str">
        <f>UPPER(RIGHT(Journal_Live[[#This Row],[DURATION ]]))</f>
        <v/>
      </c>
      <c r="AR1225" s="49"/>
      <c r="AS1225" s="55"/>
      <c r="AT1225" s="55">
        <f t="shared" si="584"/>
        <v>0</v>
      </c>
      <c r="AU1225" s="54">
        <f t="shared" si="585"/>
        <v>0</v>
      </c>
      <c r="AV1225" s="56">
        <f t="shared" si="588"/>
        <v>0</v>
      </c>
      <c r="AW1225" s="57"/>
      <c r="AX1225" s="153"/>
      <c r="AY1225" s="153"/>
      <c r="AZ1225" s="153"/>
      <c r="BA1225" s="153"/>
      <c r="BB1225" s="153"/>
      <c r="BC1225" s="153"/>
      <c r="BD1225" s="151"/>
      <c r="BE1225" s="152"/>
      <c r="BF1225" s="151"/>
      <c r="BG1225" s="94">
        <f>SUM($AV$1035:AV1225)</f>
        <v>-390.06520146514509</v>
      </c>
      <c r="BH1225" s="95">
        <f>SUM($AU$1035:AU1225)</f>
        <v>-983.79999999994902</v>
      </c>
      <c r="BI1225" s="80">
        <f>SUMIFS($AU$1035:AU1313,$Q$1035:Q1313,"F")</f>
        <v>112.00000000000057</v>
      </c>
      <c r="BJ1225" s="80">
        <f>SUMIFS($AU$1035:AU1313,$Q$1035:Q1313,"S")</f>
        <v>-15.999999999994088</v>
      </c>
      <c r="BK1225" s="87">
        <f>SUMIFS($AU$1035:AU1313,$P$1035:P1313,"W")</f>
        <v>-960.00000000003297</v>
      </c>
      <c r="BL1225" s="87">
        <f>SUMIFS($AU$1035:AU1313,$P$1035:P1313,"R")</f>
        <v>1024.0000000000007</v>
      </c>
      <c r="BM1225" s="87">
        <f>SUMIFS($AU$1035:AU1313,$AQ$1035:AQ1313,"M")</f>
        <v>-899.79999999984489</v>
      </c>
      <c r="BN1225" s="87">
        <f>SUMIFS($AU$1035:AU1313,$AQ$1035:AQ1313,"H")</f>
        <v>1583.9999999998265</v>
      </c>
      <c r="BO1225" s="87">
        <f>SUMIFS($AU$1035:AU1313,$AQ$1035:AQ1313,"D")</f>
        <v>-479.9999999999896</v>
      </c>
      <c r="BP1225" s="87">
        <f>SUMIFS($AS$1035:AS1401,$AO$1035:AO1401,"W")</f>
        <v>0</v>
      </c>
      <c r="BQ1225" s="87">
        <f>SUMIFS($AU$1035:AU1313,$Q$1035:Q1313,"O")</f>
        <v>-1079.7999999999552</v>
      </c>
      <c r="BR1225" s="87">
        <f>SUMIFS($AU$1035:AU1313,$AA$1035:AA1313,"*")</f>
        <v>-499.79999999992333</v>
      </c>
      <c r="BS1225" s="87">
        <f>SUMIFS($AU$1035:AU1313,$AB$1035:AB1313,"*")</f>
        <v>-724.00000000009095</v>
      </c>
      <c r="BT1225" s="87">
        <f>SUMIFS($AU$1035:AU1313,$AC$1035:AC1313,"*")</f>
        <v>112.00000000000097</v>
      </c>
      <c r="BU1225" s="87">
        <f>SUMIFS($AU$1035:AU1313,$AA$1035:AA1313,"*",$AB$1035:AB1313,"*")</f>
        <v>47.999999999934744</v>
      </c>
      <c r="BV1225" s="87">
        <f>SUMIFS($AU$1035:AU1313,$AA$1035:AA1313,"*",$AC$1035:AC1313,"*")</f>
        <v>-335.99999999999977</v>
      </c>
      <c r="BW1225" s="87">
        <f>SUMIFS($AU$1035:AU1313,$AB$1035:AB1313,"*",$AC$1035:AC1313,"*")</f>
        <v>-143.99999999999966</v>
      </c>
      <c r="BX1225" s="87">
        <f>SUMIFS($AV$1035:AV1313,$Q$1035:Q1313,"F")</f>
        <v>34.153846153846246</v>
      </c>
      <c r="BY1225" s="87">
        <f>SUMIFS($AV$1035:AV1313,$Q$1035:Q1313,"S")</f>
        <v>20.914285714286223</v>
      </c>
      <c r="BZ1225" s="87">
        <f>SUMIFS($AV$1035:AV1313,$Q$1035:Q1313,"O")</f>
        <v>-445.13333333327751</v>
      </c>
    </row>
    <row r="1226" spans="1:78" ht="15.75" customHeight="1">
      <c r="A1226" s="45" t="s">
        <v>3470</v>
      </c>
      <c r="B1226" s="59"/>
      <c r="C1226" s="46"/>
      <c r="D1226" s="46"/>
      <c r="E1226" s="66"/>
      <c r="F1226" s="47"/>
      <c r="G1226" s="48"/>
      <c r="H1226" s="49"/>
      <c r="I1226" s="49"/>
      <c r="J1226" s="49"/>
      <c r="K1226" s="50"/>
      <c r="L1226" s="49"/>
      <c r="M1226" s="49"/>
      <c r="N1226" s="49"/>
      <c r="O1226" s="50"/>
      <c r="P1226" s="50"/>
      <c r="Q1226" s="50"/>
      <c r="R1226" s="50"/>
      <c r="S1226" s="50"/>
      <c r="T1226" s="50"/>
      <c r="U1226" s="50"/>
      <c r="V1226" s="50"/>
      <c r="W1226" s="50"/>
      <c r="X1226" s="50"/>
      <c r="Y1226" s="50"/>
      <c r="Z1226" s="50"/>
      <c r="AA1226" s="52"/>
      <c r="AB1226" s="52"/>
      <c r="AC1226" s="52"/>
      <c r="AD1226" s="231"/>
      <c r="AE1226" s="49"/>
      <c r="AF1226" s="84"/>
      <c r="AG1226" s="49"/>
      <c r="AH1226" s="49"/>
      <c r="AI1226" s="49"/>
      <c r="AJ1226" s="226"/>
      <c r="AK1226" s="49"/>
      <c r="AL1226" s="113">
        <f t="shared" si="587"/>
        <v>0</v>
      </c>
      <c r="AM1226" s="113">
        <f t="shared" si="583"/>
        <v>0</v>
      </c>
      <c r="AN1226" s="218"/>
      <c r="AO1226" s="49"/>
      <c r="AP1226" s="49"/>
      <c r="AQ1226" s="84" t="str">
        <f>UPPER(RIGHT(Journal_Live[[#This Row],[DURATION ]]))</f>
        <v/>
      </c>
      <c r="AR1226" s="49"/>
      <c r="AS1226" s="55"/>
      <c r="AT1226" s="55">
        <f t="shared" si="584"/>
        <v>0</v>
      </c>
      <c r="AU1226" s="54">
        <f t="shared" si="585"/>
        <v>0</v>
      </c>
      <c r="AV1226" s="56">
        <f t="shared" si="588"/>
        <v>0</v>
      </c>
      <c r="AW1226" s="57"/>
      <c r="AX1226" s="153"/>
      <c r="AY1226" s="153"/>
      <c r="AZ1226" s="153"/>
      <c r="BA1226" s="153"/>
      <c r="BB1226" s="153"/>
      <c r="BC1226" s="153"/>
      <c r="BD1226" s="151"/>
      <c r="BE1226" s="152"/>
      <c r="BF1226" s="151"/>
      <c r="BG1226" s="94">
        <f>SUM($AV$1035:AV1226)</f>
        <v>-390.06520146514509</v>
      </c>
      <c r="BH1226" s="95">
        <f>SUM($AU$1035:AU1226)</f>
        <v>-983.79999999994902</v>
      </c>
      <c r="BI1226" s="80">
        <f>SUMIFS($AU$1035:AU1314,$Q$1035:Q1314,"F")</f>
        <v>112.00000000000057</v>
      </c>
      <c r="BJ1226" s="80">
        <f>SUMIFS($AU$1035:AU1314,$Q$1035:Q1314,"S")</f>
        <v>-15.999999999994088</v>
      </c>
      <c r="BK1226" s="87">
        <f>SUMIFS($AU$1035:AU1314,$P$1035:P1314,"W")</f>
        <v>-960.00000000003297</v>
      </c>
      <c r="BL1226" s="87">
        <f>SUMIFS($AU$1035:AU1314,$P$1035:P1314,"R")</f>
        <v>1024.0000000000007</v>
      </c>
      <c r="BM1226" s="87">
        <f>SUMIFS($AU$1035:AU1314,$AQ$1035:AQ1314,"M")</f>
        <v>-899.79999999984489</v>
      </c>
      <c r="BN1226" s="87">
        <f>SUMIFS($AU$1035:AU1314,$AQ$1035:AQ1314,"H")</f>
        <v>1583.9999999998265</v>
      </c>
      <c r="BO1226" s="87">
        <f>SUMIFS($AU$1035:AU1314,$AQ$1035:AQ1314,"D")</f>
        <v>-479.9999999999896</v>
      </c>
      <c r="BP1226" s="87">
        <f>SUMIFS($AS$1035:AS1402,$AO$1035:AO1402,"W")</f>
        <v>0</v>
      </c>
      <c r="BQ1226" s="87">
        <f>SUMIFS($AU$1035:AU1314,$Q$1035:Q1314,"O")</f>
        <v>-1079.7999999999552</v>
      </c>
      <c r="BR1226" s="87">
        <f>SUMIFS($AU$1035:AU1314,$AA$1035:AA1314,"*")</f>
        <v>-499.79999999992333</v>
      </c>
      <c r="BS1226" s="87">
        <f>SUMIFS($AU$1035:AU1314,$AB$1035:AB1314,"*")</f>
        <v>-724.00000000009095</v>
      </c>
      <c r="BT1226" s="87">
        <f>SUMIFS($AU$1035:AU1314,$AC$1035:AC1314,"*")</f>
        <v>112.00000000000097</v>
      </c>
      <c r="BU1226" s="87">
        <f>SUMIFS($AU$1035:AU1314,$AA$1035:AA1314,"*",$AB$1035:AB1314,"*")</f>
        <v>47.999999999934744</v>
      </c>
      <c r="BV1226" s="87">
        <f>SUMIFS($AU$1035:AU1314,$AA$1035:AA1314,"*",$AC$1035:AC1314,"*")</f>
        <v>-335.99999999999977</v>
      </c>
      <c r="BW1226" s="87">
        <f>SUMIFS($AU$1035:AU1314,$AB$1035:AB1314,"*",$AC$1035:AC1314,"*")</f>
        <v>-143.99999999999966</v>
      </c>
      <c r="BX1226" s="87">
        <f>SUMIFS($AV$1035:AV1314,$Q$1035:Q1314,"F")</f>
        <v>34.153846153846246</v>
      </c>
      <c r="BY1226" s="87">
        <f>SUMIFS($AV$1035:AV1314,$Q$1035:Q1314,"S")</f>
        <v>20.914285714286223</v>
      </c>
      <c r="BZ1226" s="87">
        <f>SUMIFS($AV$1035:AV1314,$Q$1035:Q1314,"O")</f>
        <v>-445.13333333327751</v>
      </c>
    </row>
    <row r="1227" spans="1:78" ht="15.75" customHeight="1">
      <c r="A1227" s="45" t="s">
        <v>3470</v>
      </c>
      <c r="B1227" s="59"/>
      <c r="C1227" s="46"/>
      <c r="D1227" s="46"/>
      <c r="E1227" s="66"/>
      <c r="F1227" s="47"/>
      <c r="G1227" s="48"/>
      <c r="H1227" s="49"/>
      <c r="I1227" s="49"/>
      <c r="J1227" s="49"/>
      <c r="K1227" s="50"/>
      <c r="L1227" s="49"/>
      <c r="M1227" s="49"/>
      <c r="N1227" s="49"/>
      <c r="O1227" s="50"/>
      <c r="P1227" s="50"/>
      <c r="Q1227" s="50"/>
      <c r="R1227" s="50"/>
      <c r="S1227" s="50"/>
      <c r="T1227" s="50"/>
      <c r="U1227" s="50"/>
      <c r="V1227" s="50"/>
      <c r="W1227" s="50"/>
      <c r="X1227" s="50"/>
      <c r="Y1227" s="50"/>
      <c r="Z1227" s="50"/>
      <c r="AA1227" s="52"/>
      <c r="AB1227" s="52"/>
      <c r="AC1227" s="52"/>
      <c r="AD1227" s="231"/>
      <c r="AE1227" s="49"/>
      <c r="AF1227" s="84"/>
      <c r="AG1227" s="49"/>
      <c r="AH1227" s="49"/>
      <c r="AI1227" s="49"/>
      <c r="AJ1227" s="226"/>
      <c r="AK1227" s="49"/>
      <c r="AL1227" s="113">
        <f t="shared" si="587"/>
        <v>0</v>
      </c>
      <c r="AM1227" s="113">
        <f t="shared" si="583"/>
        <v>0</v>
      </c>
      <c r="AN1227" s="218"/>
      <c r="AO1227" s="49"/>
      <c r="AP1227" s="49"/>
      <c r="AQ1227" s="84" t="str">
        <f>UPPER(RIGHT(Journal_Live[[#This Row],[DURATION ]]))</f>
        <v/>
      </c>
      <c r="AR1227" s="49"/>
      <c r="AS1227" s="55"/>
      <c r="AT1227" s="55">
        <f t="shared" si="584"/>
        <v>0</v>
      </c>
      <c r="AU1227" s="54">
        <f t="shared" si="585"/>
        <v>0</v>
      </c>
      <c r="AV1227" s="56">
        <f t="shared" si="588"/>
        <v>0</v>
      </c>
      <c r="AW1227" s="57"/>
      <c r="AX1227" s="153"/>
      <c r="AY1227" s="153"/>
      <c r="AZ1227" s="153"/>
      <c r="BA1227" s="153"/>
      <c r="BB1227" s="153"/>
      <c r="BC1227" s="153"/>
      <c r="BD1227" s="151"/>
      <c r="BE1227" s="152"/>
      <c r="BF1227" s="151"/>
      <c r="BG1227" s="94">
        <f>SUM($AV$1035:AV1227)</f>
        <v>-390.06520146514509</v>
      </c>
      <c r="BH1227" s="95">
        <f>SUM($AU$1035:AU1227)</f>
        <v>-983.79999999994902</v>
      </c>
      <c r="BI1227" s="80">
        <f>SUMIFS($AU$1035:AU1315,$Q$1035:Q1315,"F")</f>
        <v>112.00000000000057</v>
      </c>
      <c r="BJ1227" s="80">
        <f>SUMIFS($AU$1035:AU1315,$Q$1035:Q1315,"S")</f>
        <v>-15.999999999994088</v>
      </c>
      <c r="BK1227" s="87">
        <f>SUMIFS($AU$1035:AU1315,$P$1035:P1315,"W")</f>
        <v>-960.00000000003297</v>
      </c>
      <c r="BL1227" s="87">
        <f>SUMIFS($AU$1035:AU1315,$P$1035:P1315,"R")</f>
        <v>1024.0000000000007</v>
      </c>
      <c r="BM1227" s="87">
        <f>SUMIFS($AU$1035:AU1315,$AQ$1035:AQ1315,"M")</f>
        <v>-899.79999999984489</v>
      </c>
      <c r="BN1227" s="87">
        <f>SUMIFS($AU$1035:AU1315,$AQ$1035:AQ1315,"H")</f>
        <v>1583.9999999998265</v>
      </c>
      <c r="BO1227" s="87">
        <f>SUMIFS($AU$1035:AU1315,$AQ$1035:AQ1315,"D")</f>
        <v>-479.9999999999896</v>
      </c>
      <c r="BP1227" s="87">
        <f>SUMIFS($AS$1035:AS1403,$AO$1035:AO1403,"W")</f>
        <v>0</v>
      </c>
      <c r="BQ1227" s="87">
        <f>SUMIFS($AU$1035:AU1315,$Q$1035:Q1315,"O")</f>
        <v>-1079.7999999999552</v>
      </c>
      <c r="BR1227" s="87">
        <f>SUMIFS($AU$1035:AU1315,$AA$1035:AA1315,"*")</f>
        <v>-499.79999999992333</v>
      </c>
      <c r="BS1227" s="87">
        <f>SUMIFS($AU$1035:AU1315,$AB$1035:AB1315,"*")</f>
        <v>-724.00000000009095</v>
      </c>
      <c r="BT1227" s="87">
        <f>SUMIFS($AU$1035:AU1315,$AC$1035:AC1315,"*")</f>
        <v>112.00000000000097</v>
      </c>
      <c r="BU1227" s="87">
        <f>SUMIFS($AU$1035:AU1315,$AA$1035:AA1315,"*",$AB$1035:AB1315,"*")</f>
        <v>47.999999999934744</v>
      </c>
      <c r="BV1227" s="87">
        <f>SUMIFS($AU$1035:AU1315,$AA$1035:AA1315,"*",$AC$1035:AC1315,"*")</f>
        <v>-335.99999999999977</v>
      </c>
      <c r="BW1227" s="87">
        <f>SUMIFS($AU$1035:AU1315,$AB$1035:AB1315,"*",$AC$1035:AC1315,"*")</f>
        <v>-143.99999999999966</v>
      </c>
      <c r="BX1227" s="87">
        <f>SUMIFS($AV$1035:AV1315,$Q$1035:Q1315,"F")</f>
        <v>34.153846153846246</v>
      </c>
      <c r="BY1227" s="87">
        <f>SUMIFS($AV$1035:AV1315,$Q$1035:Q1315,"S")</f>
        <v>20.914285714286223</v>
      </c>
      <c r="BZ1227" s="87">
        <f>SUMIFS($AV$1035:AV1315,$Q$1035:Q1315,"O")</f>
        <v>-445.13333333327751</v>
      </c>
    </row>
    <row r="1228" spans="1:78" ht="15.75" customHeight="1">
      <c r="A1228" s="45" t="s">
        <v>3470</v>
      </c>
      <c r="B1228" s="59"/>
      <c r="C1228" s="46"/>
      <c r="D1228" s="46"/>
      <c r="E1228" s="66"/>
      <c r="F1228" s="47"/>
      <c r="G1228" s="48"/>
      <c r="H1228" s="49"/>
      <c r="I1228" s="49"/>
      <c r="J1228" s="49"/>
      <c r="K1228" s="50"/>
      <c r="L1228" s="49"/>
      <c r="M1228" s="49"/>
      <c r="N1228" s="49"/>
      <c r="O1228" s="50"/>
      <c r="P1228" s="50"/>
      <c r="Q1228" s="50"/>
      <c r="R1228" s="50"/>
      <c r="S1228" s="50"/>
      <c r="T1228" s="50"/>
      <c r="U1228" s="50"/>
      <c r="V1228" s="50"/>
      <c r="W1228" s="50"/>
      <c r="X1228" s="50"/>
      <c r="Y1228" s="50"/>
      <c r="Z1228" s="50"/>
      <c r="AA1228" s="52"/>
      <c r="AB1228" s="52"/>
      <c r="AC1228" s="52"/>
      <c r="AD1228" s="231"/>
      <c r="AE1228" s="49"/>
      <c r="AF1228" s="84"/>
      <c r="AG1228" s="49"/>
      <c r="AH1228" s="49"/>
      <c r="AI1228" s="49"/>
      <c r="AJ1228" s="226"/>
      <c r="AK1228" s="49"/>
      <c r="AL1228" s="113">
        <f t="shared" si="587"/>
        <v>0</v>
      </c>
      <c r="AM1228" s="113">
        <f t="shared" si="583"/>
        <v>0</v>
      </c>
      <c r="AN1228" s="218"/>
      <c r="AO1228" s="49"/>
      <c r="AP1228" s="49"/>
      <c r="AQ1228" s="84" t="str">
        <f>UPPER(RIGHT(Journal_Live[[#This Row],[DURATION ]]))</f>
        <v/>
      </c>
      <c r="AR1228" s="49"/>
      <c r="AS1228" s="55"/>
      <c r="AT1228" s="55">
        <f t="shared" si="584"/>
        <v>0</v>
      </c>
      <c r="AU1228" s="54">
        <f t="shared" si="585"/>
        <v>0</v>
      </c>
      <c r="AV1228" s="56">
        <f t="shared" si="588"/>
        <v>0</v>
      </c>
      <c r="AW1228" s="57"/>
      <c r="AX1228" s="153"/>
      <c r="AY1228" s="153"/>
      <c r="AZ1228" s="153"/>
      <c r="BA1228" s="153"/>
      <c r="BB1228" s="153"/>
      <c r="BC1228" s="153"/>
      <c r="BD1228" s="151"/>
      <c r="BE1228" s="152"/>
      <c r="BF1228" s="151"/>
      <c r="BG1228" s="94">
        <f>SUM($AV$1035:AV1228)</f>
        <v>-390.06520146514509</v>
      </c>
      <c r="BH1228" s="95">
        <f>SUM($AU$1035:AU1228)</f>
        <v>-983.79999999994902</v>
      </c>
      <c r="BI1228" s="80">
        <f>SUMIFS($AU$1035:AU1316,$Q$1035:Q1316,"F")</f>
        <v>112.00000000000057</v>
      </c>
      <c r="BJ1228" s="80">
        <f>SUMIFS($AU$1035:AU1316,$Q$1035:Q1316,"S")</f>
        <v>-15.999999999994088</v>
      </c>
      <c r="BK1228" s="87">
        <f>SUMIFS($AU$1035:AU1316,$P$1035:P1316,"W")</f>
        <v>-960.00000000003297</v>
      </c>
      <c r="BL1228" s="87">
        <f>SUMIFS($AU$1035:AU1316,$P$1035:P1316,"R")</f>
        <v>1024.0000000000007</v>
      </c>
      <c r="BM1228" s="87">
        <f>SUMIFS($AU$1035:AU1316,$AQ$1035:AQ1316,"M")</f>
        <v>-899.79999999984489</v>
      </c>
      <c r="BN1228" s="87">
        <f>SUMIFS($AU$1035:AU1316,$AQ$1035:AQ1316,"H")</f>
        <v>1583.9999999998265</v>
      </c>
      <c r="BO1228" s="87">
        <f>SUMIFS($AU$1035:AU1316,$AQ$1035:AQ1316,"D")</f>
        <v>-479.9999999999896</v>
      </c>
      <c r="BP1228" s="87">
        <f>SUMIFS($AS$1035:AS1404,$AO$1035:AO1404,"W")</f>
        <v>0</v>
      </c>
      <c r="BQ1228" s="87">
        <f>SUMIFS($AU$1035:AU1316,$Q$1035:Q1316,"O")</f>
        <v>-1079.7999999999552</v>
      </c>
      <c r="BR1228" s="87">
        <f>SUMIFS($AU$1035:AU1316,$AA$1035:AA1316,"*")</f>
        <v>-499.79999999992333</v>
      </c>
      <c r="BS1228" s="87">
        <f>SUMIFS($AU$1035:AU1316,$AB$1035:AB1316,"*")</f>
        <v>-724.00000000009095</v>
      </c>
      <c r="BT1228" s="87">
        <f>SUMIFS($AU$1035:AU1316,$AC$1035:AC1316,"*")</f>
        <v>112.00000000000097</v>
      </c>
      <c r="BU1228" s="87">
        <f>SUMIFS($AU$1035:AU1316,$AA$1035:AA1316,"*",$AB$1035:AB1316,"*")</f>
        <v>47.999999999934744</v>
      </c>
      <c r="BV1228" s="87">
        <f>SUMIFS($AU$1035:AU1316,$AA$1035:AA1316,"*",$AC$1035:AC1316,"*")</f>
        <v>-335.99999999999977</v>
      </c>
      <c r="BW1228" s="87">
        <f>SUMIFS($AU$1035:AU1316,$AB$1035:AB1316,"*",$AC$1035:AC1316,"*")</f>
        <v>-143.99999999999966</v>
      </c>
      <c r="BX1228" s="87">
        <f>SUMIFS($AV$1035:AV1316,$Q$1035:Q1316,"F")</f>
        <v>34.153846153846246</v>
      </c>
      <c r="BY1228" s="87">
        <f>SUMIFS($AV$1035:AV1316,$Q$1035:Q1316,"S")</f>
        <v>20.914285714286223</v>
      </c>
      <c r="BZ1228" s="87">
        <f>SUMIFS($AV$1035:AV1316,$Q$1035:Q1316,"O")</f>
        <v>-445.13333333327751</v>
      </c>
    </row>
    <row r="1229" spans="1:78" ht="15.75" customHeight="1">
      <c r="A1229" s="45" t="s">
        <v>3470</v>
      </c>
      <c r="B1229" s="59"/>
      <c r="C1229" s="46"/>
      <c r="D1229" s="46"/>
      <c r="E1229" s="66"/>
      <c r="F1229" s="47"/>
      <c r="G1229" s="48"/>
      <c r="H1229" s="49"/>
      <c r="I1229" s="49"/>
      <c r="J1229" s="49"/>
      <c r="K1229" s="50"/>
      <c r="L1229" s="49"/>
      <c r="M1229" s="49"/>
      <c r="N1229" s="49"/>
      <c r="O1229" s="50"/>
      <c r="P1229" s="50"/>
      <c r="Q1229" s="50"/>
      <c r="R1229" s="50"/>
      <c r="S1229" s="50"/>
      <c r="T1229" s="50"/>
      <c r="U1229" s="50"/>
      <c r="V1229" s="50"/>
      <c r="W1229" s="50"/>
      <c r="X1229" s="50"/>
      <c r="Y1229" s="50"/>
      <c r="Z1229" s="50"/>
      <c r="AA1229" s="52"/>
      <c r="AB1229" s="52"/>
      <c r="AC1229" s="52"/>
      <c r="AD1229" s="231"/>
      <c r="AE1229" s="49"/>
      <c r="AF1229" s="84"/>
      <c r="AG1229" s="49"/>
      <c r="AH1229" s="49"/>
      <c r="AI1229" s="49"/>
      <c r="AJ1229" s="226"/>
      <c r="AK1229" s="49"/>
      <c r="AL1229" s="113">
        <f t="shared" ref="AL1229:AL1231" si="589">-0.02*Z1229</f>
        <v>0</v>
      </c>
      <c r="AM1229" s="113">
        <f t="shared" si="583"/>
        <v>0</v>
      </c>
      <c r="AN1229" s="218"/>
      <c r="AO1229" s="49"/>
      <c r="AP1229" s="49"/>
      <c r="AQ1229" s="84" t="str">
        <f>UPPER(RIGHT(Journal_Live[[#This Row],[DURATION ]]))</f>
        <v/>
      </c>
      <c r="AR1229" s="49"/>
      <c r="AS1229" s="55"/>
      <c r="AT1229" s="55">
        <f t="shared" si="584"/>
        <v>0</v>
      </c>
      <c r="AU1229" s="54">
        <f t="shared" si="585"/>
        <v>0</v>
      </c>
      <c r="AV1229" s="56">
        <f t="shared" ref="AV1229:AV1231" si="590">IF(ISBLANK(AS1229),,(AT1229*Z1229))</f>
        <v>0</v>
      </c>
      <c r="AW1229" s="57"/>
      <c r="AX1229" s="153"/>
      <c r="AY1229" s="153"/>
      <c r="AZ1229" s="153"/>
      <c r="BA1229" s="153"/>
      <c r="BB1229" s="153"/>
      <c r="BC1229" s="153"/>
      <c r="BD1229" s="151"/>
      <c r="BE1229" s="152"/>
      <c r="BF1229" s="151"/>
      <c r="BG1229" s="94">
        <f>SUM($AV$1035:AV1229)</f>
        <v>-390.06520146514509</v>
      </c>
      <c r="BH1229" s="95">
        <f>SUM($AU$1035:AU1229)</f>
        <v>-983.79999999994902</v>
      </c>
      <c r="BI1229" s="80">
        <f>SUMIFS($AU$1035:AU1317,$Q$1035:Q1317,"F")</f>
        <v>112.00000000000057</v>
      </c>
      <c r="BJ1229" s="80">
        <f>SUMIFS($AU$1035:AU1317,$Q$1035:Q1317,"S")</f>
        <v>-15.999999999994088</v>
      </c>
      <c r="BK1229" s="87">
        <f>SUMIFS($AU$1035:AU1317,$P$1035:P1317,"W")</f>
        <v>-960.00000000003297</v>
      </c>
      <c r="BL1229" s="87">
        <f>SUMIFS($AU$1035:AU1317,$P$1035:P1317,"R")</f>
        <v>1024.0000000000007</v>
      </c>
      <c r="BM1229" s="87">
        <f>SUMIFS($AU$1035:AU1317,$AQ$1035:AQ1317,"M")</f>
        <v>-899.79999999984489</v>
      </c>
      <c r="BN1229" s="87">
        <f>SUMIFS($AU$1035:AU1317,$AQ$1035:AQ1317,"H")</f>
        <v>1583.9999999998265</v>
      </c>
      <c r="BO1229" s="87">
        <f>SUMIFS($AU$1035:AU1317,$AQ$1035:AQ1317,"D")</f>
        <v>-479.9999999999896</v>
      </c>
      <c r="BP1229" s="87">
        <f>SUMIFS($AS$1035:AS1405,$AO$1035:AO1405,"W")</f>
        <v>0</v>
      </c>
      <c r="BQ1229" s="87">
        <f>SUMIFS($AU$1035:AU1317,$Q$1035:Q1317,"O")</f>
        <v>-1079.7999999999552</v>
      </c>
      <c r="BR1229" s="87">
        <f>SUMIFS($AU$1035:AU1317,$AA$1035:AA1317,"*")</f>
        <v>-499.79999999992333</v>
      </c>
      <c r="BS1229" s="87">
        <f>SUMIFS($AU$1035:AU1317,$AB$1035:AB1317,"*")</f>
        <v>-724.00000000009095</v>
      </c>
      <c r="BT1229" s="87">
        <f>SUMIFS($AU$1035:AU1317,$AC$1035:AC1317,"*")</f>
        <v>112.00000000000097</v>
      </c>
      <c r="BU1229" s="87">
        <f>SUMIFS($AU$1035:AU1317,$AA$1035:AA1317,"*",$AB$1035:AB1317,"*")</f>
        <v>47.999999999934744</v>
      </c>
      <c r="BV1229" s="87">
        <f>SUMIFS($AU$1035:AU1317,$AA$1035:AA1317,"*",$AC$1035:AC1317,"*")</f>
        <v>-335.99999999999977</v>
      </c>
      <c r="BW1229" s="87">
        <f>SUMIFS($AU$1035:AU1317,$AB$1035:AB1317,"*",$AC$1035:AC1317,"*")</f>
        <v>-143.99999999999966</v>
      </c>
      <c r="BX1229" s="87">
        <f>SUMIFS($AV$1035:AV1317,$Q$1035:Q1317,"F")</f>
        <v>34.153846153846246</v>
      </c>
      <c r="BY1229" s="87">
        <f>SUMIFS($AV$1035:AV1317,$Q$1035:Q1317,"S")</f>
        <v>20.914285714286223</v>
      </c>
      <c r="BZ1229" s="87">
        <f>SUMIFS($AV$1035:AV1317,$Q$1035:Q1317,"O")</f>
        <v>-445.13333333327751</v>
      </c>
    </row>
    <row r="1230" spans="1:78" ht="15.75" customHeight="1">
      <c r="A1230" s="45" t="s">
        <v>3470</v>
      </c>
      <c r="B1230" s="59"/>
      <c r="C1230" s="46"/>
      <c r="D1230" s="46"/>
      <c r="E1230" s="66"/>
      <c r="F1230" s="47"/>
      <c r="G1230" s="48"/>
      <c r="H1230" s="49"/>
      <c r="I1230" s="49"/>
      <c r="J1230" s="49"/>
      <c r="K1230" s="50"/>
      <c r="L1230" s="49"/>
      <c r="M1230" s="49"/>
      <c r="N1230" s="49"/>
      <c r="O1230" s="50"/>
      <c r="P1230" s="50"/>
      <c r="Q1230" s="50"/>
      <c r="R1230" s="50"/>
      <c r="S1230" s="50"/>
      <c r="T1230" s="50"/>
      <c r="U1230" s="50"/>
      <c r="V1230" s="50"/>
      <c r="W1230" s="50"/>
      <c r="X1230" s="50"/>
      <c r="Y1230" s="50"/>
      <c r="Z1230" s="50"/>
      <c r="AA1230" s="52"/>
      <c r="AB1230" s="52"/>
      <c r="AC1230" s="52"/>
      <c r="AD1230" s="231"/>
      <c r="AE1230" s="49"/>
      <c r="AF1230" s="84"/>
      <c r="AG1230" s="49"/>
      <c r="AH1230" s="49"/>
      <c r="AI1230" s="49"/>
      <c r="AJ1230" s="226"/>
      <c r="AK1230" s="49"/>
      <c r="AL1230" s="113">
        <f t="shared" si="589"/>
        <v>0</v>
      </c>
      <c r="AM1230" s="113">
        <f t="shared" si="583"/>
        <v>0</v>
      </c>
      <c r="AN1230" s="218"/>
      <c r="AO1230" s="49"/>
      <c r="AP1230" s="49"/>
      <c r="AQ1230" s="84" t="str">
        <f>UPPER(RIGHT(Journal_Live[[#This Row],[DURATION ]]))</f>
        <v/>
      </c>
      <c r="AR1230" s="49"/>
      <c r="AS1230" s="55"/>
      <c r="AT1230" s="55">
        <f t="shared" si="584"/>
        <v>0</v>
      </c>
      <c r="AU1230" s="54">
        <f t="shared" si="585"/>
        <v>0</v>
      </c>
      <c r="AV1230" s="56">
        <f t="shared" si="590"/>
        <v>0</v>
      </c>
      <c r="AW1230" s="57"/>
      <c r="AX1230" s="153"/>
      <c r="AY1230" s="153"/>
      <c r="AZ1230" s="153"/>
      <c r="BA1230" s="153"/>
      <c r="BB1230" s="153"/>
      <c r="BC1230" s="153"/>
      <c r="BD1230" s="151"/>
      <c r="BE1230" s="152"/>
      <c r="BF1230" s="151"/>
      <c r="BG1230" s="94">
        <f>SUM($AV$1035:AV1230)</f>
        <v>-390.06520146514509</v>
      </c>
      <c r="BH1230" s="95">
        <f>SUM($AU$1035:AU1230)</f>
        <v>-983.79999999994902</v>
      </c>
      <c r="BI1230" s="80">
        <f>SUMIFS($AU$1035:AU1318,$Q$1035:Q1318,"F")</f>
        <v>112.00000000000057</v>
      </c>
      <c r="BJ1230" s="80">
        <f>SUMIFS($AU$1035:AU1318,$Q$1035:Q1318,"S")</f>
        <v>-15.999999999994088</v>
      </c>
      <c r="BK1230" s="87">
        <f>SUMIFS($AU$1035:AU1318,$P$1035:P1318,"W")</f>
        <v>-960.00000000003297</v>
      </c>
      <c r="BL1230" s="87">
        <f>SUMIFS($AU$1035:AU1318,$P$1035:P1318,"R")</f>
        <v>1024.0000000000007</v>
      </c>
      <c r="BM1230" s="87">
        <f>SUMIFS($AU$1035:AU1318,$AQ$1035:AQ1318,"M")</f>
        <v>-899.79999999984489</v>
      </c>
      <c r="BN1230" s="87">
        <f>SUMIFS($AU$1035:AU1318,$AQ$1035:AQ1318,"H")</f>
        <v>1583.9999999998265</v>
      </c>
      <c r="BO1230" s="87">
        <f>SUMIFS($AU$1035:AU1318,$AQ$1035:AQ1318,"D")</f>
        <v>-479.9999999999896</v>
      </c>
      <c r="BP1230" s="87">
        <f>SUMIFS($AS$1035:AS1406,$AO$1035:AO1406,"W")</f>
        <v>0</v>
      </c>
      <c r="BQ1230" s="87">
        <f>SUMIFS($AU$1035:AU1318,$Q$1035:Q1318,"O")</f>
        <v>-1079.7999999999552</v>
      </c>
      <c r="BR1230" s="87">
        <f>SUMIFS($AU$1035:AU1318,$AA$1035:AA1318,"*")</f>
        <v>-499.79999999992333</v>
      </c>
      <c r="BS1230" s="87">
        <f>SUMIFS($AU$1035:AU1318,$AB$1035:AB1318,"*")</f>
        <v>-724.00000000009095</v>
      </c>
      <c r="BT1230" s="87">
        <f>SUMIFS($AU$1035:AU1318,$AC$1035:AC1318,"*")</f>
        <v>112.00000000000097</v>
      </c>
      <c r="BU1230" s="87">
        <f>SUMIFS($AU$1035:AU1318,$AA$1035:AA1318,"*",$AB$1035:AB1318,"*")</f>
        <v>47.999999999934744</v>
      </c>
      <c r="BV1230" s="87">
        <f>SUMIFS($AU$1035:AU1318,$AA$1035:AA1318,"*",$AC$1035:AC1318,"*")</f>
        <v>-335.99999999999977</v>
      </c>
      <c r="BW1230" s="87">
        <f>SUMIFS($AU$1035:AU1318,$AB$1035:AB1318,"*",$AC$1035:AC1318,"*")</f>
        <v>-143.99999999999966</v>
      </c>
      <c r="BX1230" s="87">
        <f>SUMIFS($AV$1035:AV1318,$Q$1035:Q1318,"F")</f>
        <v>34.153846153846246</v>
      </c>
      <c r="BY1230" s="87">
        <f>SUMIFS($AV$1035:AV1318,$Q$1035:Q1318,"S")</f>
        <v>20.914285714286223</v>
      </c>
      <c r="BZ1230" s="87">
        <f>SUMIFS($AV$1035:AV1318,$Q$1035:Q1318,"O")</f>
        <v>-445.13333333327751</v>
      </c>
    </row>
    <row r="1231" spans="1:78" ht="15.75" customHeight="1">
      <c r="A1231" s="45" t="s">
        <v>3470</v>
      </c>
      <c r="B1231" s="59"/>
      <c r="C1231" s="46"/>
      <c r="D1231" s="46"/>
      <c r="E1231" s="66"/>
      <c r="F1231" s="47"/>
      <c r="G1231" s="48"/>
      <c r="H1231" s="49"/>
      <c r="I1231" s="49"/>
      <c r="J1231" s="49"/>
      <c r="K1231" s="50"/>
      <c r="L1231" s="49"/>
      <c r="M1231" s="49"/>
      <c r="N1231" s="49"/>
      <c r="O1231" s="50"/>
      <c r="P1231" s="50"/>
      <c r="Q1231" s="50"/>
      <c r="R1231" s="50"/>
      <c r="S1231" s="50"/>
      <c r="T1231" s="50"/>
      <c r="U1231" s="50"/>
      <c r="V1231" s="50"/>
      <c r="W1231" s="50"/>
      <c r="X1231" s="50"/>
      <c r="Y1231" s="50"/>
      <c r="Z1231" s="50"/>
      <c r="AA1231" s="52"/>
      <c r="AB1231" s="52"/>
      <c r="AC1231" s="52"/>
      <c r="AD1231" s="231"/>
      <c r="AE1231" s="49"/>
      <c r="AF1231" s="84"/>
      <c r="AG1231" s="49"/>
      <c r="AH1231" s="49"/>
      <c r="AI1231" s="49"/>
      <c r="AJ1231" s="226"/>
      <c r="AK1231" s="49"/>
      <c r="AL1231" s="113">
        <f t="shared" si="589"/>
        <v>0</v>
      </c>
      <c r="AM1231" s="113">
        <f t="shared" si="583"/>
        <v>0</v>
      </c>
      <c r="AN1231" s="218"/>
      <c r="AO1231" s="49"/>
      <c r="AP1231" s="49"/>
      <c r="AQ1231" s="84" t="str">
        <f>UPPER(RIGHT(Journal_Live[[#This Row],[DURATION ]]))</f>
        <v/>
      </c>
      <c r="AR1231" s="49"/>
      <c r="AS1231" s="55"/>
      <c r="AT1231" s="55">
        <f t="shared" si="584"/>
        <v>0</v>
      </c>
      <c r="AU1231" s="54">
        <f t="shared" si="585"/>
        <v>0</v>
      </c>
      <c r="AV1231" s="56">
        <f t="shared" si="590"/>
        <v>0</v>
      </c>
      <c r="AW1231" s="57"/>
      <c r="AX1231" s="153"/>
      <c r="AY1231" s="153"/>
      <c r="AZ1231" s="153"/>
      <c r="BA1231" s="153"/>
      <c r="BB1231" s="153"/>
      <c r="BC1231" s="153"/>
      <c r="BD1231" s="151"/>
      <c r="BE1231" s="152"/>
      <c r="BF1231" s="151"/>
      <c r="BG1231" s="94">
        <f>SUM($AV$1035:AV1231)</f>
        <v>-390.06520146514509</v>
      </c>
      <c r="BH1231" s="95">
        <f>SUM($AU$1035:AU1231)</f>
        <v>-983.79999999994902</v>
      </c>
      <c r="BI1231" s="80">
        <f>SUMIFS($AU$1035:AU1319,$Q$1035:Q1319,"F")</f>
        <v>112.00000000000057</v>
      </c>
      <c r="BJ1231" s="80">
        <f>SUMIFS($AU$1035:AU1319,$Q$1035:Q1319,"S")</f>
        <v>-15.999999999994088</v>
      </c>
      <c r="BK1231" s="87">
        <f>SUMIFS($AU$1035:AU1319,$P$1035:P1319,"W")</f>
        <v>-960.00000000003297</v>
      </c>
      <c r="BL1231" s="87">
        <f>SUMIFS($AU$1035:AU1319,$P$1035:P1319,"R")</f>
        <v>1024.0000000000007</v>
      </c>
      <c r="BM1231" s="87">
        <f>SUMIFS($AU$1035:AU1319,$AQ$1035:AQ1319,"M")</f>
        <v>-899.79999999984489</v>
      </c>
      <c r="BN1231" s="87">
        <f>SUMIFS($AU$1035:AU1319,$AQ$1035:AQ1319,"H")</f>
        <v>1583.9999999998265</v>
      </c>
      <c r="BO1231" s="87">
        <f>SUMIFS($AU$1035:AU1319,$AQ$1035:AQ1319,"D")</f>
        <v>-479.9999999999896</v>
      </c>
      <c r="BP1231" s="87">
        <f>SUMIFS($AS$1035:AS1407,$AO$1035:AO1407,"W")</f>
        <v>0</v>
      </c>
      <c r="BQ1231" s="87">
        <f>SUMIFS($AU$1035:AU1319,$Q$1035:Q1319,"O")</f>
        <v>-1079.7999999999552</v>
      </c>
      <c r="BR1231" s="87">
        <f>SUMIFS($AU$1035:AU1319,$AA$1035:AA1319,"*")</f>
        <v>-499.79999999992333</v>
      </c>
      <c r="BS1231" s="87">
        <f>SUMIFS($AU$1035:AU1319,$AB$1035:AB1319,"*")</f>
        <v>-724.00000000009095</v>
      </c>
      <c r="BT1231" s="87">
        <f>SUMIFS($AU$1035:AU1319,$AC$1035:AC1319,"*")</f>
        <v>112.00000000000097</v>
      </c>
      <c r="BU1231" s="87">
        <f>SUMIFS($AU$1035:AU1319,$AA$1035:AA1319,"*",$AB$1035:AB1319,"*")</f>
        <v>47.999999999934744</v>
      </c>
      <c r="BV1231" s="87">
        <f>SUMIFS($AU$1035:AU1319,$AA$1035:AA1319,"*",$AC$1035:AC1319,"*")</f>
        <v>-335.99999999999977</v>
      </c>
      <c r="BW1231" s="87">
        <f>SUMIFS($AU$1035:AU1319,$AB$1035:AB1319,"*",$AC$1035:AC1319,"*")</f>
        <v>-143.99999999999966</v>
      </c>
      <c r="BX1231" s="87">
        <f>SUMIFS($AV$1035:AV1319,$Q$1035:Q1319,"F")</f>
        <v>34.153846153846246</v>
      </c>
      <c r="BY1231" s="87">
        <f>SUMIFS($AV$1035:AV1319,$Q$1035:Q1319,"S")</f>
        <v>20.914285714286223</v>
      </c>
      <c r="BZ1231" s="87">
        <f>SUMIFS($AV$1035:AV1319,$Q$1035:Q1319,"O")</f>
        <v>-445.13333333327751</v>
      </c>
    </row>
    <row r="1232" spans="1:78" ht="15.75" customHeight="1">
      <c r="A1232" s="45" t="s">
        <v>3470</v>
      </c>
      <c r="B1232" s="59"/>
      <c r="C1232" s="46"/>
      <c r="D1232" s="46"/>
      <c r="E1232" s="66"/>
      <c r="F1232" s="47"/>
      <c r="G1232" s="48"/>
      <c r="H1232" s="49"/>
      <c r="I1232" s="49"/>
      <c r="J1232" s="49"/>
      <c r="K1232" s="50"/>
      <c r="L1232" s="49"/>
      <c r="M1232" s="49"/>
      <c r="N1232" s="49"/>
      <c r="O1232" s="50"/>
      <c r="P1232" s="50"/>
      <c r="Q1232" s="50"/>
      <c r="R1232" s="50"/>
      <c r="S1232" s="50"/>
      <c r="T1232" s="50"/>
      <c r="U1232" s="50"/>
      <c r="V1232" s="50"/>
      <c r="W1232" s="50"/>
      <c r="X1232" s="50"/>
      <c r="Y1232" s="50"/>
      <c r="Z1232" s="50"/>
      <c r="AA1232" s="52"/>
      <c r="AB1232" s="52"/>
      <c r="AC1232" s="52"/>
      <c r="AD1232" s="231"/>
      <c r="AE1232" s="49"/>
      <c r="AF1232" s="84"/>
      <c r="AG1232" s="49"/>
      <c r="AH1232" s="49"/>
      <c r="AI1232" s="49"/>
      <c r="AJ1232" s="226"/>
      <c r="AK1232" s="49"/>
      <c r="AL1232" s="113">
        <f t="shared" si="47"/>
        <v>0</v>
      </c>
      <c r="AM1232" s="113">
        <f t="shared" si="583"/>
        <v>0</v>
      </c>
      <c r="AN1232" s="218"/>
      <c r="AO1232" s="49"/>
      <c r="AP1232" s="49"/>
      <c r="AQ1232" s="84" t="str">
        <f>UPPER(RIGHT(Journal_Live[[#This Row],[DURATION ]]))</f>
        <v/>
      </c>
      <c r="AR1232" s="49"/>
      <c r="AS1232" s="55"/>
      <c r="AT1232" s="55">
        <f t="shared" si="584"/>
        <v>0</v>
      </c>
      <c r="AU1232" s="54">
        <f t="shared" si="585"/>
        <v>0</v>
      </c>
      <c r="AV1232" s="56">
        <f t="shared" si="288"/>
        <v>0</v>
      </c>
      <c r="AW1232" s="57"/>
      <c r="AX1232" s="153"/>
      <c r="AY1232" s="153"/>
      <c r="AZ1232" s="153"/>
      <c r="BA1232" s="153"/>
      <c r="BB1232" s="153"/>
      <c r="BC1232" s="153"/>
      <c r="BD1232" s="151"/>
      <c r="BE1232" s="152"/>
      <c r="BF1232" s="151"/>
      <c r="BG1232" s="94">
        <f>SUM($AV$1035:AV1232)</f>
        <v>-390.06520146514509</v>
      </c>
      <c r="BH1232" s="95">
        <f>SUM($AU$1035:AU1232)</f>
        <v>-983.79999999994902</v>
      </c>
      <c r="BI1232" s="80">
        <f>SUMIFS($AU$1035:AU1320,$Q$1035:Q1320,"F")</f>
        <v>112.00000000000057</v>
      </c>
      <c r="BJ1232" s="80">
        <f>SUMIFS($AU$1035:AU1320,$Q$1035:Q1320,"S")</f>
        <v>-15.999999999994088</v>
      </c>
      <c r="BK1232" s="87">
        <f>SUMIFS($AU$1035:AU1320,$P$1035:P1320,"W")</f>
        <v>-960.00000000003297</v>
      </c>
      <c r="BL1232" s="87">
        <f>SUMIFS($AU$1035:AU1320,$P$1035:P1320,"R")</f>
        <v>1024.0000000000007</v>
      </c>
      <c r="BM1232" s="87">
        <f>SUMIFS($AU$1035:AU1320,$AQ$1035:AQ1320,"M")</f>
        <v>-899.79999999984489</v>
      </c>
      <c r="BN1232" s="87">
        <f>SUMIFS($AU$1035:AU1320,$AQ$1035:AQ1320,"H")</f>
        <v>1583.9999999998265</v>
      </c>
      <c r="BO1232" s="87">
        <f>SUMIFS($AU$1035:AU1320,$AQ$1035:AQ1320,"D")</f>
        <v>-479.9999999999896</v>
      </c>
      <c r="BP1232" s="87">
        <f>SUMIFS($AS$1035:AS1408,$AO$1035:AO1408,"W")</f>
        <v>0</v>
      </c>
      <c r="BQ1232" s="87">
        <f>SUMIFS($AU$1035:AU1320,$Q$1035:Q1320,"O")</f>
        <v>-1079.7999999999552</v>
      </c>
      <c r="BR1232" s="87">
        <f>SUMIFS($AU$1035:AU1320,$AA$1035:AA1320,"*")</f>
        <v>-499.79999999992333</v>
      </c>
      <c r="BS1232" s="87">
        <f>SUMIFS($AU$1035:AU1320,$AB$1035:AB1320,"*")</f>
        <v>-724.00000000009095</v>
      </c>
      <c r="BT1232" s="87">
        <f>SUMIFS($AU$1035:AU1320,$AC$1035:AC1320,"*")</f>
        <v>112.00000000000097</v>
      </c>
      <c r="BU1232" s="87">
        <f>SUMIFS($AU$1035:AU1320,$AA$1035:AA1320,"*",$AB$1035:AB1320,"*")</f>
        <v>47.999999999934744</v>
      </c>
      <c r="BV1232" s="87">
        <f>SUMIFS($AU$1035:AU1320,$AA$1035:AA1320,"*",$AC$1035:AC1320,"*")</f>
        <v>-335.99999999999977</v>
      </c>
      <c r="BW1232" s="87">
        <f>SUMIFS($AU$1035:AU1320,$AB$1035:AB1320,"*",$AC$1035:AC1320,"*")</f>
        <v>-143.99999999999966</v>
      </c>
      <c r="BX1232" s="87">
        <f>SUMIFS($AV$1035:AV1320,$Q$1035:Q1320,"F")</f>
        <v>34.153846153846246</v>
      </c>
      <c r="BY1232" s="87">
        <f>SUMIFS($AV$1035:AV1320,$Q$1035:Q1320,"S")</f>
        <v>20.914285714286223</v>
      </c>
      <c r="BZ1232" s="87">
        <f>SUMIFS($AV$1035:AV1320,$Q$1035:Q1320,"O")</f>
        <v>-445.13333333327751</v>
      </c>
    </row>
    <row r="1233" spans="1:78" ht="15.75" customHeight="1">
      <c r="A1233" s="45" t="s">
        <v>3470</v>
      </c>
      <c r="B1233" s="59"/>
      <c r="C1233" s="46"/>
      <c r="D1233" s="46"/>
      <c r="E1233" s="66"/>
      <c r="F1233" s="47"/>
      <c r="G1233" s="48"/>
      <c r="H1233" s="49"/>
      <c r="I1233" s="49"/>
      <c r="J1233" s="49"/>
      <c r="K1233" s="50"/>
      <c r="L1233" s="49"/>
      <c r="M1233" s="49"/>
      <c r="N1233" s="49"/>
      <c r="O1233" s="50"/>
      <c r="P1233" s="50"/>
      <c r="Q1233" s="50"/>
      <c r="R1233" s="50"/>
      <c r="S1233" s="50"/>
      <c r="T1233" s="50"/>
      <c r="U1233" s="50"/>
      <c r="V1233" s="50"/>
      <c r="W1233" s="50"/>
      <c r="X1233" s="50"/>
      <c r="Y1233" s="50"/>
      <c r="Z1233" s="50"/>
      <c r="AA1233" s="52"/>
      <c r="AB1233" s="52"/>
      <c r="AC1233" s="52"/>
      <c r="AD1233" s="231"/>
      <c r="AE1233" s="49"/>
      <c r="AF1233" s="84"/>
      <c r="AG1233" s="49"/>
      <c r="AH1233" s="49"/>
      <c r="AI1233" s="49"/>
      <c r="AJ1233" s="226"/>
      <c r="AK1233" s="49"/>
      <c r="AL1233" s="113">
        <f t="shared" ref="AL1233" si="591">-0.02*Z1233</f>
        <v>0</v>
      </c>
      <c r="AM1233" s="113">
        <f t="shared" si="583"/>
        <v>0</v>
      </c>
      <c r="AN1233" s="218"/>
      <c r="AO1233" s="49"/>
      <c r="AP1233" s="49"/>
      <c r="AQ1233" s="84" t="str">
        <f>UPPER(RIGHT(Journal_Live[[#This Row],[DURATION ]]))</f>
        <v/>
      </c>
      <c r="AR1233" s="49"/>
      <c r="AS1233" s="55"/>
      <c r="AT1233" s="55">
        <f t="shared" si="584"/>
        <v>0</v>
      </c>
      <c r="AU1233" s="54">
        <f t="shared" si="585"/>
        <v>0</v>
      </c>
      <c r="AV1233" s="56">
        <f t="shared" ref="AV1233" si="592">IF(ISBLANK(AS1233),,(AT1233*Z1233))</f>
        <v>0</v>
      </c>
      <c r="AW1233" s="57"/>
      <c r="AX1233" s="153"/>
      <c r="AY1233" s="153"/>
      <c r="AZ1233" s="153"/>
      <c r="BA1233" s="153"/>
      <c r="BB1233" s="153"/>
      <c r="BC1233" s="153"/>
      <c r="BD1233" s="151"/>
      <c r="BE1233" s="152"/>
      <c r="BF1233" s="151"/>
      <c r="BG1233" s="94">
        <f>SUM($AV$1035:AV1233)</f>
        <v>-390.06520146514509</v>
      </c>
      <c r="BH1233" s="95">
        <f>SUM($AU$1035:AU1233)</f>
        <v>-983.79999999994902</v>
      </c>
      <c r="BI1233" s="80">
        <f>SUMIFS($AU$1035:AU1321,$Q$1035:Q1321,"F")</f>
        <v>112.00000000000057</v>
      </c>
      <c r="BJ1233" s="80">
        <f>SUMIFS($AU$1035:AU1321,$Q$1035:Q1321,"S")</f>
        <v>-15.999999999994088</v>
      </c>
      <c r="BK1233" s="87">
        <f>SUMIFS($AU$1035:AU1321,$P$1035:P1321,"W")</f>
        <v>-960.00000000003297</v>
      </c>
      <c r="BL1233" s="87">
        <f>SUMIFS($AU$1035:AU1321,$P$1035:P1321,"R")</f>
        <v>1024.0000000000007</v>
      </c>
      <c r="BM1233" s="87">
        <f>SUMIFS($AU$1035:AU1321,$AQ$1035:AQ1321,"M")</f>
        <v>-899.79999999984489</v>
      </c>
      <c r="BN1233" s="87">
        <f>SUMIFS($AU$1035:AU1321,$AQ$1035:AQ1321,"H")</f>
        <v>1583.9999999998265</v>
      </c>
      <c r="BO1233" s="87">
        <f>SUMIFS($AU$1035:AU1321,$AQ$1035:AQ1321,"D")</f>
        <v>-479.9999999999896</v>
      </c>
      <c r="BP1233" s="87">
        <f>SUMIFS($AS$1035:AS1409,$AO$1035:AO1409,"W")</f>
        <v>0</v>
      </c>
      <c r="BQ1233" s="87">
        <f>SUMIFS($AU$1035:AU1321,$Q$1035:Q1321,"O")</f>
        <v>-1079.7999999999552</v>
      </c>
      <c r="BR1233" s="87">
        <f>SUMIFS($AU$1035:AU1321,$AA$1035:AA1321,"*")</f>
        <v>-499.79999999992333</v>
      </c>
      <c r="BS1233" s="87">
        <f>SUMIFS($AU$1035:AU1321,$AB$1035:AB1321,"*")</f>
        <v>-724.00000000009095</v>
      </c>
      <c r="BT1233" s="87">
        <f>SUMIFS($AU$1035:AU1321,$AC$1035:AC1321,"*")</f>
        <v>112.00000000000097</v>
      </c>
      <c r="BU1233" s="87">
        <f>SUMIFS($AU$1035:AU1321,$AA$1035:AA1321,"*",$AB$1035:AB1321,"*")</f>
        <v>47.999999999934744</v>
      </c>
      <c r="BV1233" s="87">
        <f>SUMIFS($AU$1035:AU1321,$AA$1035:AA1321,"*",$AC$1035:AC1321,"*")</f>
        <v>-335.99999999999977</v>
      </c>
      <c r="BW1233" s="87">
        <f>SUMIFS($AU$1035:AU1321,$AB$1035:AB1321,"*",$AC$1035:AC1321,"*")</f>
        <v>-143.99999999999966</v>
      </c>
      <c r="BX1233" s="87">
        <f>SUMIFS($AV$1035:AV1321,$Q$1035:Q1321,"F")</f>
        <v>34.153846153846246</v>
      </c>
      <c r="BY1233" s="87">
        <f>SUMIFS($AV$1035:AV1321,$Q$1035:Q1321,"S")</f>
        <v>20.914285714286223</v>
      </c>
      <c r="BZ1233" s="87">
        <f>SUMIFS($AV$1035:AV1321,$Q$1035:Q1321,"O")</f>
        <v>-445.13333333327751</v>
      </c>
    </row>
    <row r="1234" spans="1:78" ht="15.75" customHeight="1">
      <c r="A1234" s="45" t="s">
        <v>3470</v>
      </c>
      <c r="B1234" s="45"/>
      <c r="C1234" s="46"/>
      <c r="D1234" s="46"/>
      <c r="E1234" s="66"/>
      <c r="F1234" s="47"/>
      <c r="G1234" s="48"/>
      <c r="H1234" s="49"/>
      <c r="I1234" s="49"/>
      <c r="J1234" s="49"/>
      <c r="K1234" s="50"/>
      <c r="L1234" s="49"/>
      <c r="M1234" s="49"/>
      <c r="N1234" s="49"/>
      <c r="O1234" s="50"/>
      <c r="P1234" s="50"/>
      <c r="Q1234" s="50"/>
      <c r="R1234" s="50"/>
      <c r="S1234" s="50"/>
      <c r="T1234" s="50"/>
      <c r="U1234" s="50"/>
      <c r="V1234" s="50"/>
      <c r="W1234" s="50"/>
      <c r="X1234" s="50"/>
      <c r="Y1234" s="50"/>
      <c r="Z1234" s="52"/>
      <c r="AA1234" s="52"/>
      <c r="AB1234" s="52"/>
      <c r="AC1234" s="52"/>
      <c r="AD1234" s="231"/>
      <c r="AE1234" s="49"/>
      <c r="AF1234" s="84"/>
      <c r="AG1234" s="49"/>
      <c r="AH1234" s="49"/>
      <c r="AI1234" s="49"/>
      <c r="AJ1234" s="226"/>
      <c r="AK1234" s="49"/>
      <c r="AL1234" s="113">
        <f t="shared" si="47"/>
        <v>0</v>
      </c>
      <c r="AM1234" s="113">
        <f t="shared" si="583"/>
        <v>0</v>
      </c>
      <c r="AN1234" s="218"/>
      <c r="AO1234" s="49"/>
      <c r="AP1234" s="49"/>
      <c r="AQ1234" s="84" t="str">
        <f>UPPER(RIGHT(Journal_Live[[#This Row],[DURATION ]]))</f>
        <v/>
      </c>
      <c r="AR1234" s="49"/>
      <c r="AS1234" s="55"/>
      <c r="AT1234" s="55"/>
      <c r="AU1234" s="54"/>
      <c r="AV1234" s="56"/>
      <c r="AW1234" s="57"/>
      <c r="AX1234" s="153"/>
      <c r="AY1234" s="153"/>
      <c r="AZ1234" s="153"/>
      <c r="BA1234" s="153"/>
      <c r="BB1234" s="153"/>
      <c r="BC1234" s="153"/>
      <c r="BD1234" s="151"/>
      <c r="BE1234" s="152"/>
      <c r="BF1234" s="151"/>
      <c r="BG1234" s="94">
        <f>SUM($AV$1035:AV1234)</f>
        <v>-390.06520146514509</v>
      </c>
      <c r="BH1234" s="95">
        <f>SUM($AU$1035:AU1234)</f>
        <v>-983.79999999994902</v>
      </c>
      <c r="BI1234" s="80">
        <f>SUMIFS($AU$1035:AU1322,$Q$1035:Q1322,"F")</f>
        <v>112.00000000000057</v>
      </c>
      <c r="BJ1234" s="80">
        <f>SUMIFS($AU$1035:AU1322,$Q$1035:Q1322,"S")</f>
        <v>-15.999999999994088</v>
      </c>
      <c r="BK1234" s="87">
        <f>SUMIFS($AU$1035:AU1322,$P$1035:P1322,"W")</f>
        <v>-960.00000000003297</v>
      </c>
      <c r="BL1234" s="87">
        <f>SUMIFS($AU$1035:AU1322,$P$1035:P1322,"R")</f>
        <v>1024.0000000000007</v>
      </c>
      <c r="BM1234" s="87">
        <f>SUMIFS($AU$1035:AU1322,$AQ$1035:AQ1322,"M")</f>
        <v>-899.79999999984489</v>
      </c>
      <c r="BN1234" s="87">
        <f>SUMIFS($AU$1035:AU1322,$AQ$1035:AQ1322,"H")</f>
        <v>1583.9999999998265</v>
      </c>
      <c r="BO1234" s="87">
        <f>SUMIFS($AU$1035:AU1322,$AQ$1035:AQ1322,"D")</f>
        <v>-479.9999999999896</v>
      </c>
      <c r="BP1234" s="87">
        <f>SUMIFS($AS$1035:AS1410,$AO$1035:AO1410,"W")</f>
        <v>0</v>
      </c>
      <c r="BQ1234" s="87">
        <f>SUMIFS($AU$1035:AU1322,$Q$1035:Q1322,"O")</f>
        <v>-1079.7999999999552</v>
      </c>
      <c r="BR1234" s="87">
        <f>SUMIFS($AU$1035:AU1322,$AA$1035:AA1322,"*")</f>
        <v>-499.79999999992333</v>
      </c>
      <c r="BS1234" s="87">
        <f>SUMIFS($AU$1035:AU1322,$AB$1035:AB1322,"*")</f>
        <v>-724.00000000009095</v>
      </c>
      <c r="BT1234" s="87">
        <f>SUMIFS($AU$1035:AU1322,$AC$1035:AC1322,"*")</f>
        <v>112.00000000000097</v>
      </c>
      <c r="BU1234" s="87">
        <f>SUMIFS($AU$1035:AU1322,$AA$1035:AA1322,"*",$AB$1035:AB1322,"*")</f>
        <v>47.999999999934744</v>
      </c>
      <c r="BV1234" s="87">
        <f>SUMIFS($AU$1035:AU1322,$AA$1035:AA1322,"*",$AC$1035:AC1322,"*")</f>
        <v>-335.99999999999977</v>
      </c>
      <c r="BW1234" s="87">
        <f>SUMIFS($AU$1035:AU1322,$AB$1035:AB1322,"*",$AC$1035:AC1322,"*")</f>
        <v>-143.99999999999966</v>
      </c>
      <c r="BX1234" s="87">
        <f>SUMIFS($AV$1035:AV1322,$Q$1035:Q1322,"F")</f>
        <v>34.153846153846246</v>
      </c>
      <c r="BY1234" s="87">
        <f>SUMIFS($AV$1035:AV1322,$Q$1035:Q1322,"S")</f>
        <v>20.914285714286223</v>
      </c>
      <c r="BZ1234" s="87">
        <f>SUMIFS($AV$1035:AV1322,$Q$1035:Q1322,"O")</f>
        <v>-445.13333333327751</v>
      </c>
    </row>
    <row r="1235" spans="1:78" ht="15.75" customHeight="1">
      <c r="A1235" s="5"/>
      <c r="B1235" s="5"/>
      <c r="C1235" s="5"/>
      <c r="D1235" s="5"/>
      <c r="E1235" s="6"/>
      <c r="F1235" s="5"/>
      <c r="G1235" s="7"/>
      <c r="H1235" s="5"/>
      <c r="I1235" s="5"/>
      <c r="J1235" s="5"/>
      <c r="K1235" s="7"/>
      <c r="L1235" s="5"/>
      <c r="M1235" s="5"/>
      <c r="N1235" s="5"/>
      <c r="O1235" s="7"/>
      <c r="P1235" s="7"/>
      <c r="Q1235" s="7"/>
      <c r="R1235" s="7"/>
      <c r="S1235" s="7"/>
      <c r="T1235" s="7"/>
      <c r="U1235" s="7"/>
      <c r="V1235" s="7"/>
      <c r="W1235" s="7"/>
      <c r="X1235" s="7"/>
      <c r="Y1235" s="6"/>
      <c r="Z1235" s="6"/>
      <c r="AA1235" s="6"/>
      <c r="AB1235" s="8"/>
      <c r="AC1235" s="5"/>
      <c r="AD1235" s="5"/>
      <c r="AE1235" s="5"/>
      <c r="AF1235" s="5"/>
      <c r="AG1235" s="5"/>
      <c r="AH1235" s="5"/>
      <c r="AI1235" s="5"/>
      <c r="AJ1235" s="5"/>
      <c r="AK1235" s="5"/>
      <c r="AL1235" s="5"/>
      <c r="AM1235" s="5"/>
      <c r="AN1235" s="5"/>
      <c r="AO1235" s="5"/>
      <c r="AP1235" s="5"/>
      <c r="AQ1235" s="9"/>
      <c r="AR1235" s="5"/>
      <c r="AS1235" s="78"/>
      <c r="AT1235" s="81"/>
      <c r="AU1235" s="7"/>
      <c r="AV1235" s="5"/>
      <c r="AW1235" s="5"/>
      <c r="AX1235" s="5"/>
      <c r="AY1235" s="5"/>
      <c r="AZ1235" s="5"/>
      <c r="BA1235" s="5"/>
      <c r="BB1235" s="5"/>
      <c r="BC1235" s="5"/>
      <c r="BD1235" s="5"/>
    </row>
    <row r="1236" spans="1:78" ht="15.75" customHeight="1">
      <c r="A1236" s="5"/>
      <c r="B1236" s="5"/>
      <c r="C1236" s="5"/>
      <c r="D1236" s="5"/>
      <c r="E1236" s="6"/>
      <c r="F1236" s="5"/>
      <c r="G1236" s="7"/>
      <c r="H1236" s="5"/>
      <c r="I1236" s="5"/>
      <c r="J1236" s="5"/>
      <c r="K1236" s="7"/>
      <c r="L1236" s="5"/>
      <c r="M1236" s="5"/>
      <c r="N1236" s="5"/>
      <c r="O1236" s="7"/>
      <c r="P1236" s="7"/>
      <c r="Q1236" s="7"/>
      <c r="R1236" s="7"/>
      <c r="S1236" s="7"/>
      <c r="T1236" s="7"/>
      <c r="U1236" s="6"/>
      <c r="V1236" s="7"/>
      <c r="W1236" s="11"/>
      <c r="X1236" s="11"/>
      <c r="Y1236" s="6"/>
      <c r="Z1236" s="6"/>
      <c r="AA1236" s="6"/>
      <c r="AB1236" s="8"/>
      <c r="AC1236" s="5"/>
      <c r="AD1236" s="5"/>
      <c r="AE1236" s="5"/>
      <c r="AF1236" s="5"/>
      <c r="AG1236" s="5"/>
      <c r="AH1236" s="5"/>
      <c r="AI1236" s="5"/>
      <c r="AJ1236" s="5"/>
      <c r="AK1236" s="5"/>
      <c r="AL1236" s="5"/>
      <c r="AM1236" s="5"/>
      <c r="AN1236" s="5"/>
      <c r="AO1236" s="5"/>
      <c r="AP1236" s="5" t="s">
        <v>279</v>
      </c>
      <c r="AQ1236" s="9"/>
      <c r="AR1236" s="12" t="s">
        <v>3471</v>
      </c>
      <c r="AS1236" s="82"/>
      <c r="AT1236" s="14"/>
      <c r="AU1236" s="7"/>
      <c r="AV1236" s="5"/>
      <c r="AW1236" s="5"/>
      <c r="AX1236" s="5"/>
      <c r="AY1236" s="5"/>
      <c r="AZ1236" s="5"/>
      <c r="BA1236" s="5"/>
      <c r="BB1236" s="5"/>
      <c r="BC1236" s="5"/>
      <c r="BD1236" s="5"/>
    </row>
    <row r="1237" spans="1:78" ht="15.75" customHeight="1">
      <c r="A1237" s="5"/>
      <c r="B1237" s="5"/>
      <c r="C1237" s="5"/>
      <c r="E1237" s="6"/>
      <c r="F1237" s="5"/>
      <c r="G1237" s="7"/>
      <c r="H1237" s="6"/>
      <c r="I1237" s="6"/>
      <c r="J1237" s="6"/>
      <c r="K1237" s="15"/>
      <c r="L1237" s="6"/>
      <c r="M1237" s="6"/>
      <c r="N1237" s="6"/>
      <c r="O1237" s="7"/>
      <c r="P1237" s="77"/>
      <c r="Q1237" s="77"/>
      <c r="R1237" s="77"/>
      <c r="S1237" s="7"/>
      <c r="T1237" s="7"/>
      <c r="U1237" s="6"/>
      <c r="V1237" s="7"/>
      <c r="W1237" s="11"/>
      <c r="X1237" s="11"/>
      <c r="Y1237" s="6"/>
      <c r="Z1237" s="6"/>
      <c r="AA1237" s="6"/>
      <c r="AB1237" s="8"/>
      <c r="AC1237" s="5"/>
      <c r="AD1237" s="5"/>
      <c r="AE1237" s="5"/>
      <c r="AF1237" s="5"/>
      <c r="AG1237" s="5"/>
      <c r="AH1237" s="5"/>
      <c r="AI1237" s="5"/>
      <c r="AL1237" s="16" t="s">
        <v>3472</v>
      </c>
      <c r="AM1237" s="16" t="s">
        <v>3473</v>
      </c>
      <c r="AN1237" s="5"/>
      <c r="AO1237" s="5"/>
      <c r="AP1237" s="5"/>
      <c r="AQ1237" s="9"/>
      <c r="AR1237" s="90"/>
      <c r="AS1237" s="91"/>
      <c r="AT1237" s="10"/>
      <c r="AU1237" s="7"/>
      <c r="AV1237" s="5"/>
      <c r="AW1237" s="5"/>
      <c r="AX1237" s="5"/>
      <c r="AY1237" s="5"/>
      <c r="AZ1237" s="5"/>
      <c r="BA1237" s="5"/>
      <c r="BB1237" s="5"/>
      <c r="BC1237" s="5"/>
      <c r="BD1237" s="5"/>
    </row>
    <row r="1238" spans="1:78" ht="15.75" customHeight="1">
      <c r="A1238" s="5"/>
      <c r="B1238" s="5"/>
      <c r="C1238" s="5"/>
      <c r="E1238" s="6"/>
      <c r="F1238" s="5"/>
      <c r="G1238" s="7"/>
      <c r="H1238" s="6"/>
      <c r="I1238" s="6"/>
      <c r="J1238" s="6"/>
      <c r="K1238" s="15"/>
      <c r="L1238" s="6"/>
      <c r="M1238" s="6"/>
      <c r="N1238" s="6"/>
      <c r="O1238" s="7"/>
      <c r="P1238" s="77"/>
      <c r="Q1238" s="77"/>
      <c r="R1238" s="77"/>
      <c r="S1238" s="7"/>
      <c r="T1238" s="7"/>
      <c r="U1238" s="5"/>
      <c r="V1238" s="7"/>
      <c r="W1238" s="11"/>
      <c r="X1238" s="11"/>
      <c r="Y1238" s="89"/>
      <c r="Z1238" s="18"/>
      <c r="AA1238" s="18"/>
      <c r="AB1238" s="8"/>
      <c r="AC1238" s="5"/>
      <c r="AD1238" s="5"/>
      <c r="AE1238" s="5"/>
      <c r="AF1238" s="5"/>
      <c r="AG1238" s="5"/>
      <c r="AH1238" s="5"/>
      <c r="AI1238" s="5"/>
      <c r="AL1238" s="19" t="s">
        <v>3474</v>
      </c>
      <c r="AM1238" s="20">
        <f>SUMIFS($AM740:AM1234,$AW740:AW1234,"&lt;&gt;W",$AW740:AW1234,"&lt;&gt;L",$AW740:AW1234,"&lt;&gt;D")</f>
        <v>-3520</v>
      </c>
      <c r="AN1238" s="5"/>
      <c r="AO1238" s="5"/>
      <c r="AP1238" s="5"/>
      <c r="AQ1238" s="9"/>
      <c r="AR1238" s="2"/>
      <c r="AS1238" s="21"/>
      <c r="AT1238" s="10"/>
      <c r="AU1238" s="7"/>
      <c r="AV1238" s="5"/>
      <c r="AW1238" s="5"/>
      <c r="AX1238" s="5"/>
      <c r="AY1238" s="5"/>
      <c r="AZ1238" s="5"/>
      <c r="BA1238" s="5"/>
      <c r="BB1238" s="5"/>
      <c r="BC1238" s="5"/>
      <c r="BD1238" s="5"/>
    </row>
    <row r="1239" spans="1:78" ht="15.75" customHeight="1">
      <c r="A1239" s="76"/>
      <c r="B1239" s="76"/>
      <c r="C1239" s="5"/>
      <c r="E1239" s="6"/>
      <c r="F1239" s="5"/>
      <c r="G1239" s="7"/>
      <c r="H1239" s="5"/>
      <c r="I1239" s="5"/>
      <c r="J1239" s="5"/>
      <c r="K1239" s="7"/>
      <c r="L1239" s="5"/>
      <c r="M1239" s="5"/>
      <c r="N1239" s="5"/>
      <c r="O1239" s="7"/>
      <c r="P1239" s="7"/>
      <c r="Q1239" s="7"/>
      <c r="R1239" s="7"/>
      <c r="S1239" s="7"/>
      <c r="T1239" s="7"/>
      <c r="U1239" s="5"/>
      <c r="V1239" s="7"/>
      <c r="W1239" s="11"/>
      <c r="X1239" s="11"/>
      <c r="Y1239" s="22"/>
      <c r="Z1239" s="22"/>
      <c r="AA1239" s="22"/>
      <c r="AB1239" s="18"/>
      <c r="AC1239" s="5"/>
      <c r="AD1239" s="5"/>
      <c r="AE1239" s="5"/>
      <c r="AF1239" s="5"/>
      <c r="AG1239" s="5"/>
      <c r="AH1239" s="5"/>
      <c r="AI1239" s="135"/>
      <c r="AL1239" s="79" t="s">
        <v>3475</v>
      </c>
      <c r="AM1239" s="83">
        <v>-220</v>
      </c>
      <c r="AN1239" s="5"/>
      <c r="AO1239" s="5"/>
      <c r="AP1239" s="5"/>
      <c r="AQ1239" s="9"/>
      <c r="AR1239" s="23"/>
      <c r="AS1239" s="13"/>
      <c r="AT1239" s="10"/>
      <c r="AU1239" s="7"/>
      <c r="AV1239" s="5"/>
      <c r="AW1239" s="5"/>
      <c r="AX1239" s="5"/>
      <c r="AY1239" s="5"/>
      <c r="AZ1239" s="5"/>
      <c r="BA1239" s="5"/>
      <c r="BB1239" s="5"/>
      <c r="BC1239" s="5"/>
      <c r="BD1239" s="5"/>
    </row>
    <row r="1240" spans="1:78" ht="15.75" customHeight="1">
      <c r="A1240" s="5"/>
      <c r="B1240" s="5"/>
      <c r="C1240" s="5"/>
      <c r="E1240" s="6"/>
      <c r="F1240" s="5"/>
      <c r="G1240" s="7"/>
      <c r="H1240" s="18"/>
      <c r="I1240" s="18"/>
      <c r="J1240" s="18"/>
      <c r="K1240" s="24"/>
      <c r="L1240" s="18"/>
      <c r="M1240" s="18"/>
      <c r="N1240" s="18"/>
      <c r="O1240" s="7"/>
      <c r="P1240" s="7"/>
      <c r="Q1240" s="7"/>
      <c r="R1240" s="7"/>
      <c r="S1240" s="7"/>
      <c r="T1240" s="7"/>
      <c r="U1240" s="5"/>
      <c r="V1240" s="7"/>
      <c r="W1240" s="11"/>
      <c r="X1240" s="11"/>
      <c r="Y1240" s="22"/>
      <c r="Z1240" s="22"/>
      <c r="AA1240" s="22"/>
      <c r="AB1240" s="8"/>
      <c r="AC1240" s="5"/>
      <c r="AD1240" s="5"/>
      <c r="AE1240" s="5"/>
      <c r="AF1240" s="5"/>
      <c r="AG1240" s="5"/>
      <c r="AH1240" s="5"/>
      <c r="AI1240" s="5"/>
      <c r="AL1240" s="5"/>
      <c r="AM1240" s="5"/>
      <c r="AN1240" s="5"/>
      <c r="AO1240" s="5"/>
      <c r="AQ1240" s="25"/>
      <c r="AS1240" s="25"/>
      <c r="AT1240" s="4" t="s">
        <v>3476</v>
      </c>
      <c r="AU1240" s="4"/>
      <c r="AV1240" s="26">
        <v>45541</v>
      </c>
      <c r="AW1240" s="7"/>
      <c r="AX1240" s="5"/>
      <c r="AY1240" s="5"/>
      <c r="AZ1240" s="5"/>
      <c r="BA1240" s="5"/>
      <c r="BB1240" s="5"/>
      <c r="BC1240" s="5"/>
      <c r="BD1240" s="5"/>
    </row>
    <row r="1241" spans="1:78" ht="15.75" customHeight="1">
      <c r="A1241" s="5"/>
      <c r="B1241" s="5"/>
      <c r="C1241" s="5"/>
      <c r="E1241" s="6"/>
      <c r="F1241" s="5"/>
      <c r="G1241" s="7"/>
      <c r="H1241" s="18"/>
      <c r="I1241" s="18"/>
      <c r="J1241" s="18"/>
      <c r="K1241" s="24"/>
      <c r="L1241" s="18"/>
      <c r="M1241" s="18"/>
      <c r="N1241" s="18"/>
      <c r="O1241" s="7"/>
      <c r="P1241" s="7"/>
      <c r="Q1241" s="7"/>
      <c r="R1241" s="7"/>
      <c r="S1241" s="7"/>
      <c r="T1241" s="7"/>
      <c r="U1241" s="5"/>
      <c r="V1241" s="7"/>
      <c r="W1241" s="11"/>
      <c r="X1241" s="11"/>
      <c r="Y1241" s="22"/>
      <c r="Z1241" s="22"/>
      <c r="AA1241" s="22"/>
      <c r="AB1241" s="8"/>
      <c r="AC1241" s="5"/>
      <c r="AD1241" s="5"/>
      <c r="AE1241" s="5"/>
      <c r="AF1241" s="5"/>
      <c r="AG1241" s="5"/>
      <c r="AH1241" s="5"/>
      <c r="AI1241" s="5"/>
      <c r="AL1241" s="5"/>
      <c r="AM1241" s="5"/>
      <c r="AN1241" s="5"/>
      <c r="AO1241" s="5"/>
      <c r="AQ1241" s="25"/>
      <c r="AS1241" s="25"/>
      <c r="AT1241" s="4" t="s">
        <v>3477</v>
      </c>
      <c r="AU1241" s="189">
        <v>45565</v>
      </c>
      <c r="AV1241" s="190" t="s">
        <v>3478</v>
      </c>
      <c r="AW1241" s="191"/>
      <c r="AX1241" s="192"/>
      <c r="AY1241" s="192"/>
      <c r="AZ1241" s="5"/>
      <c r="BA1241" s="5"/>
      <c r="BB1241" s="5"/>
      <c r="BC1241" s="5"/>
      <c r="BD1241" s="5"/>
    </row>
    <row r="1242" spans="1:78" ht="15.75" customHeight="1">
      <c r="A1242" s="5"/>
      <c r="B1242" s="5"/>
      <c r="C1242" s="5"/>
      <c r="E1242" s="6"/>
      <c r="F1242" s="5"/>
      <c r="G1242" s="7"/>
      <c r="H1242" s="6"/>
      <c r="I1242" s="6"/>
      <c r="J1242" s="6"/>
      <c r="K1242" s="15"/>
      <c r="L1242" s="6"/>
      <c r="M1242" s="6"/>
      <c r="N1242" s="6"/>
      <c r="O1242" s="7"/>
      <c r="P1242" s="15"/>
      <c r="Q1242" s="7"/>
      <c r="R1242" s="7"/>
      <c r="S1242" s="7"/>
      <c r="T1242" s="7"/>
      <c r="U1242" s="5"/>
      <c r="V1242" s="7"/>
      <c r="W1242" s="11"/>
      <c r="X1242" s="11"/>
      <c r="Y1242" s="22"/>
      <c r="Z1242" s="22"/>
      <c r="AA1242" s="22"/>
      <c r="AB1242" s="8"/>
      <c r="AC1242" s="5"/>
      <c r="AD1242" s="5"/>
      <c r="AE1242" s="5"/>
      <c r="AF1242" s="5"/>
      <c r="AG1242" s="5"/>
      <c r="AH1242" s="5"/>
      <c r="AI1242" s="5"/>
      <c r="AL1242" s="79" t="s">
        <v>3479</v>
      </c>
      <c r="AM1242" s="83">
        <f>-0.15*$AM$1239</f>
        <v>33</v>
      </c>
      <c r="AN1242" s="5"/>
      <c r="AO1242" s="5"/>
      <c r="AQ1242" s="25"/>
      <c r="AR1242" s="149" t="s">
        <v>3480</v>
      </c>
      <c r="AS1242" s="25"/>
      <c r="AT1242" s="183" t="s">
        <v>3481</v>
      </c>
      <c r="AU1242" s="27">
        <v>0</v>
      </c>
      <c r="AV1242" s="10"/>
      <c r="AW1242" s="7"/>
      <c r="AX1242" s="154" t="s">
        <v>3482</v>
      </c>
      <c r="AY1242" s="5"/>
      <c r="AZ1242" s="5"/>
      <c r="BA1242" s="5"/>
      <c r="BB1242" s="5"/>
      <c r="BC1242" s="5"/>
      <c r="BD1242" s="5"/>
    </row>
    <row r="1243" spans="1:78" ht="15.75" customHeight="1">
      <c r="AL1243" t="s">
        <v>3483</v>
      </c>
      <c r="AM1243" s="108">
        <v>-700</v>
      </c>
      <c r="AQ1243" s="25"/>
      <c r="AS1243" s="25"/>
      <c r="AT1243" s="1" t="s">
        <v>3484</v>
      </c>
      <c r="AU1243" s="131" cm="1">
        <f t="array" ref="AU1243">SUM(SUMIFS($R1135:$R1234,$AW1135:$AW1234,{"W","L","D"}))*2</f>
        <v>498</v>
      </c>
      <c r="AV1243" s="10"/>
    </row>
    <row r="1244" spans="1:78" ht="15.75" customHeight="1">
      <c r="AL1244" t="s">
        <v>1784</v>
      </c>
      <c r="AM1244" s="75">
        <f>$AM$1238-$AM$1243</f>
        <v>-2820</v>
      </c>
      <c r="AQ1244" s="25"/>
      <c r="AS1244" s="25"/>
      <c r="AT1244" s="4" t="s">
        <v>3485</v>
      </c>
      <c r="AU1244" s="132">
        <f>SUM($AU1135:$AU1234)-$AU1243</f>
        <v>-742.7999999999264</v>
      </c>
      <c r="AV1244" s="10"/>
    </row>
    <row r="1245" spans="1:78" ht="15.75" customHeight="1">
      <c r="AQ1245" s="9"/>
      <c r="AS1245" s="25"/>
      <c r="AT1245" s="3" t="s">
        <v>3486</v>
      </c>
      <c r="AU1245" s="28">
        <f>$AU$1244-$AU$1242</f>
        <v>-742.7999999999264</v>
      </c>
      <c r="AV1245" s="10"/>
    </row>
    <row r="1246" spans="1:78" ht="15.75" customHeight="1">
      <c r="A1246" t="s">
        <v>95</v>
      </c>
      <c r="AQ1246" s="9"/>
      <c r="AS1246" s="25"/>
    </row>
    <row r="1247" spans="1:78" ht="15.75" customHeight="1">
      <c r="AJ1247" s="75"/>
      <c r="AQ1247" s="29"/>
      <c r="AS1247" s="29" t="s">
        <v>3487</v>
      </c>
      <c r="AT1247" s="30" t="s">
        <v>3488</v>
      </c>
      <c r="AU1247" s="129">
        <f>AVERAGE($AV3:$AV1234)</f>
        <v>8.1745524924373587</v>
      </c>
      <c r="AV1247" s="31"/>
    </row>
    <row r="1248" spans="1:78" ht="15.75" customHeight="1">
      <c r="A1248" s="86"/>
      <c r="AJ1248" s="75"/>
      <c r="AQ1248" s="29"/>
      <c r="AS1248" s="29"/>
      <c r="AT1248" s="30" t="s">
        <v>3489</v>
      </c>
      <c r="AU1248" s="127">
        <f>SUMIFS($AV3:$AV1234,$AW3:$AW1234,"W")/COUNTIFS($AW3:$AW1234,"W")</f>
        <v>53.229468280476674</v>
      </c>
      <c r="AV1248" s="31"/>
    </row>
    <row r="1249" spans="43:48" ht="15.75" customHeight="1">
      <c r="AQ1249" s="29"/>
      <c r="AS1249" s="29"/>
      <c r="AT1249" s="30" t="s">
        <v>3490</v>
      </c>
      <c r="AU1249" s="128">
        <f>IFERROR(SUMIFS($AV3:$AV1234,$AW3:$AW1234,"L")/COUNTIFS($AW3:$AW1234,"L"),0)</f>
        <v>-51.543806205331791</v>
      </c>
      <c r="AV1249" s="31"/>
    </row>
    <row r="1250" spans="43:48" ht="15.75" customHeight="1">
      <c r="AQ1250" s="9"/>
      <c r="AS1250" s="9"/>
      <c r="AT1250" s="5"/>
      <c r="AU1250" s="70"/>
      <c r="AV1250" s="10"/>
    </row>
    <row r="1251" spans="43:48" ht="15.75" customHeight="1">
      <c r="AQ1251" s="32" t="s">
        <v>3491</v>
      </c>
      <c r="AS1251" s="32" t="s">
        <v>3491</v>
      </c>
      <c r="AT1251" s="17"/>
      <c r="AU1251" s="17"/>
      <c r="AV1251" s="33"/>
    </row>
    <row r="1252" spans="43:48" ht="15.75" customHeight="1">
      <c r="AQ1252" s="32"/>
      <c r="AS1252" s="32"/>
      <c r="AT1252" s="17"/>
      <c r="AU1252" s="17"/>
      <c r="AV1252" s="33"/>
    </row>
    <row r="1253" spans="43:48" ht="15.75" customHeight="1">
      <c r="AQ1253" s="32"/>
      <c r="AS1253" s="32"/>
      <c r="AT1253" s="17"/>
      <c r="AU1253" s="17"/>
      <c r="AV1253" s="33"/>
    </row>
    <row r="1254" spans="43:48" ht="15.75" customHeight="1">
      <c r="AQ1254" s="32"/>
      <c r="AS1254" s="32"/>
      <c r="AT1254" s="17"/>
      <c r="AU1254" s="17"/>
      <c r="AV1254" s="33"/>
    </row>
    <row r="1260" spans="43:48" ht="15.75" customHeight="1">
      <c r="AS1260" s="75"/>
    </row>
    <row r="1472" ht="15.75" hidden="1" customHeight="1"/>
    <row r="1473" ht="15.75" hidden="1" customHeight="1"/>
    <row r="1474" ht="15.75" hidden="1" customHeight="1"/>
    <row r="1475" ht="15.75" hidden="1" customHeight="1"/>
    <row r="1476" ht="15.75" hidden="1" customHeight="1"/>
    <row r="1717" ht="12.75" customHeight="1"/>
    <row r="1748" ht="14.25" customHeight="1"/>
    <row r="2360" spans="79:79" ht="15.75" customHeight="1">
      <c r="CA2360" s="87"/>
    </row>
  </sheetData>
  <mergeCells count="11">
    <mergeCell ref="BG1:BZ1"/>
    <mergeCell ref="A1:F1"/>
    <mergeCell ref="H1:J1"/>
    <mergeCell ref="L1:N1"/>
    <mergeCell ref="BA1:BC1"/>
    <mergeCell ref="BD1:BF1"/>
    <mergeCell ref="AA1:AC1"/>
    <mergeCell ref="AD1:AO1"/>
    <mergeCell ref="AP1:AW1"/>
    <mergeCell ref="AX1:AZ1"/>
    <mergeCell ref="O1:Z1"/>
  </mergeCells>
  <phoneticPr fontId="32" type="noConversion"/>
  <conditionalFormatting sqref="A3:G1183 A1194:G1234">
    <cfRule type="expression" dxfId="3850" priority="3504">
      <formula>$AW3="D"</formula>
    </cfRule>
  </conditionalFormatting>
  <conditionalFormatting sqref="B205:F205">
    <cfRule type="expression" dxfId="3849" priority="5611">
      <formula>$AW205="W"</formula>
    </cfRule>
    <cfRule type="expression" dxfId="3848" priority="5612">
      <formula>$AW205="L"</formula>
    </cfRule>
    <cfRule type="expression" dxfId="3847" priority="5613">
      <formula>$AW205="D"</formula>
    </cfRule>
  </conditionalFormatting>
  <conditionalFormatting sqref="H3:J1183 H1194:J1234">
    <cfRule type="cellIs" dxfId="3846" priority="6091" operator="equal">
      <formula>1</formula>
    </cfRule>
  </conditionalFormatting>
  <conditionalFormatting sqref="C140:J140">
    <cfRule type="cellIs" dxfId="3845" priority="5798" operator="equal">
      <formula>1</formula>
    </cfRule>
  </conditionalFormatting>
  <conditionalFormatting sqref="C260:J260">
    <cfRule type="cellIs" dxfId="3844" priority="5493" operator="equal">
      <formula>1</formula>
    </cfRule>
  </conditionalFormatting>
  <conditionalFormatting sqref="C353:J353">
    <cfRule type="cellIs" dxfId="3843" priority="5468" operator="equal">
      <formula>1</formula>
    </cfRule>
  </conditionalFormatting>
  <conditionalFormatting sqref="C544:J544">
    <cfRule type="cellIs" dxfId="3842" priority="5125" operator="equal">
      <formula>1</formula>
    </cfRule>
  </conditionalFormatting>
  <conditionalFormatting sqref="C739:J739">
    <cfRule type="cellIs" dxfId="3841" priority="4045" operator="equal">
      <formula>1</formula>
    </cfRule>
  </conditionalFormatting>
  <conditionalFormatting sqref="C896:J896">
    <cfRule type="cellIs" dxfId="3840" priority="4004" operator="equal">
      <formula>1</formula>
    </cfRule>
  </conditionalFormatting>
  <conditionalFormatting sqref="C997:J997">
    <cfRule type="cellIs" dxfId="3839" priority="4000" operator="equal">
      <formula>1</formula>
    </cfRule>
  </conditionalFormatting>
  <conditionalFormatting sqref="C1094:J1094">
    <cfRule type="cellIs" dxfId="3838" priority="3192" operator="equal">
      <formula>1</formula>
    </cfRule>
  </conditionalFormatting>
  <conditionalFormatting sqref="C1134:J1134">
    <cfRule type="cellIs" dxfId="3837" priority="3188" operator="equal">
      <formula>1</formula>
    </cfRule>
  </conditionalFormatting>
  <conditionalFormatting sqref="C1211:J1211">
    <cfRule type="cellIs" dxfId="3836" priority="3184" operator="equal">
      <formula>1</formula>
    </cfRule>
  </conditionalFormatting>
  <conditionalFormatting sqref="D1237">
    <cfRule type="expression" dxfId="3835" priority="6159">
      <formula>$AT1237="L"</formula>
    </cfRule>
    <cfRule type="expression" dxfId="3834" priority="6160">
      <formula>$AT1237="W"</formula>
    </cfRule>
  </conditionalFormatting>
  <conditionalFormatting sqref="E470:E471">
    <cfRule type="expression" dxfId="3833" priority="4437">
      <formula>$AW470="W"</formula>
    </cfRule>
    <cfRule type="expression" dxfId="3832" priority="4438">
      <formula>$AW470="L"</formula>
    </cfRule>
    <cfRule type="expression" dxfId="3831" priority="4439">
      <formula>$AW470="D"</formula>
    </cfRule>
  </conditionalFormatting>
  <conditionalFormatting sqref="K3:K1183 K1194:K1234">
    <cfRule type="containsText" dxfId="3830" priority="6161" operator="containsText" text="H">
      <formula>NOT(ISERROR(SEARCH(("H"),(K3))))</formula>
    </cfRule>
    <cfRule type="containsText" dxfId="3829" priority="6162" operator="containsText" text="D">
      <formula>NOT(ISERROR(SEARCH(("D"),(K3))))</formula>
    </cfRule>
  </conditionalFormatting>
  <conditionalFormatting sqref="N537:R537">
    <cfRule type="expression" dxfId="3828" priority="4239">
      <formula>$AW537="D"</formula>
    </cfRule>
    <cfRule type="expression" dxfId="3827" priority="4241">
      <formula>$AW537="D"</formula>
    </cfRule>
    <cfRule type="expression" dxfId="3826" priority="4247">
      <formula>$AW537="D"</formula>
    </cfRule>
    <cfRule type="expression" dxfId="3825" priority="4249">
      <formula>$AW537="D"</formula>
    </cfRule>
  </conditionalFormatting>
  <conditionalFormatting sqref="N631:R631">
    <cfRule type="expression" dxfId="3824" priority="4106">
      <formula>$AW631="D"</formula>
    </cfRule>
    <cfRule type="expression" dxfId="3823" priority="4108">
      <formula>$AW631="D"</formula>
    </cfRule>
    <cfRule type="expression" dxfId="3822" priority="4113">
      <formula>$AW631="D"</formula>
    </cfRule>
    <cfRule type="expression" dxfId="3821" priority="4115">
      <formula>$AW631="D"</formula>
    </cfRule>
  </conditionalFormatting>
  <conditionalFormatting sqref="AZ261:BD265 Y628:Z629 O640 Z984:Z996 Z998:Z1012 Y3:Z3 AT3:AV3 AX3 O794:O1183 O1194:O1234">
    <cfRule type="expression" dxfId="3820" priority="4073">
      <formula>$AW3="D"</formula>
    </cfRule>
  </conditionalFormatting>
  <conditionalFormatting sqref="O537:P537">
    <cfRule type="cellIs" dxfId="3819" priority="4243" operator="equal">
      <formula>"F"</formula>
    </cfRule>
    <cfRule type="cellIs" dxfId="3818" priority="4252" operator="equal">
      <formula>"F"</formula>
    </cfRule>
  </conditionalFormatting>
  <conditionalFormatting sqref="O620:P620">
    <cfRule type="cellIs" dxfId="3817" priority="4156" operator="equal">
      <formula>"F"</formula>
    </cfRule>
    <cfRule type="cellIs" dxfId="3816" priority="4163" operator="equal">
      <formula>"F"</formula>
    </cfRule>
  </conditionalFormatting>
  <conditionalFormatting sqref="O631:P631">
    <cfRule type="cellIs" dxfId="3815" priority="4110" operator="equal">
      <formula>"F"</formula>
    </cfRule>
    <cfRule type="cellIs" dxfId="3814" priority="4117" operator="equal">
      <formula>"F"</formula>
    </cfRule>
  </conditionalFormatting>
  <conditionalFormatting sqref="O715:P715">
    <cfRule type="cellIs" dxfId="3813" priority="3961" operator="equal">
      <formula>"F"</formula>
    </cfRule>
    <cfRule type="cellIs" dxfId="3812" priority="3968" operator="equal">
      <formula>"F"</formula>
    </cfRule>
  </conditionalFormatting>
  <conditionalFormatting sqref="O716:P716">
    <cfRule type="cellIs" dxfId="3811" priority="3937" operator="equal">
      <formula>"F"</formula>
    </cfRule>
    <cfRule type="cellIs" dxfId="3810" priority="3944" operator="equal">
      <formula>"F"</formula>
    </cfRule>
  </conditionalFormatting>
  <conditionalFormatting sqref="O724:P724">
    <cfRule type="cellIs" dxfId="3809" priority="3897" operator="equal">
      <formula>"F"</formula>
    </cfRule>
    <cfRule type="cellIs" dxfId="3808" priority="3904" operator="equal">
      <formula>"F"</formula>
    </cfRule>
  </conditionalFormatting>
  <conditionalFormatting sqref="O729:P729">
    <cfRule type="cellIs" dxfId="3807" priority="3845" operator="equal">
      <formula>"F"</formula>
    </cfRule>
    <cfRule type="cellIs" dxfId="3806" priority="3852" operator="equal">
      <formula>"F"</formula>
    </cfRule>
  </conditionalFormatting>
  <conditionalFormatting sqref="O852:P852">
    <cfRule type="cellIs" dxfId="3805" priority="3364" operator="equal">
      <formula>"F"</formula>
    </cfRule>
    <cfRule type="cellIs" dxfId="3804" priority="3371" operator="equal">
      <formula>"F"</formula>
    </cfRule>
  </conditionalFormatting>
  <conditionalFormatting sqref="O860:P860">
    <cfRule type="cellIs" dxfId="3803" priority="3314" operator="equal">
      <formula>"F"</formula>
    </cfRule>
    <cfRule type="cellIs" dxfId="3802" priority="3321" operator="equal">
      <formula>"F"</formula>
    </cfRule>
  </conditionalFormatting>
  <conditionalFormatting sqref="O861:P861">
    <cfRule type="cellIs" dxfId="3801" priority="3290" operator="equal">
      <formula>"F"</formula>
    </cfRule>
    <cfRule type="cellIs" dxfId="3800" priority="3297" operator="equal">
      <formula>"F"</formula>
    </cfRule>
  </conditionalFormatting>
  <conditionalFormatting sqref="O862:P862">
    <cfRule type="cellIs" dxfId="3799" priority="3266" operator="equal">
      <formula>"F"</formula>
    </cfRule>
    <cfRule type="cellIs" dxfId="3798" priority="3273" operator="equal">
      <formula>"F"</formula>
    </cfRule>
  </conditionalFormatting>
  <conditionalFormatting sqref="O868:P868">
    <cfRule type="cellIs" dxfId="3797" priority="3212" operator="equal">
      <formula>"F"</formula>
    </cfRule>
    <cfRule type="cellIs" dxfId="3796" priority="3219" operator="equal">
      <formula>"F"</formula>
    </cfRule>
  </conditionalFormatting>
  <conditionalFormatting sqref="O905:P905">
    <cfRule type="cellIs" dxfId="3795" priority="3060" operator="equal">
      <formula>"F"</formula>
    </cfRule>
    <cfRule type="cellIs" dxfId="3794" priority="3067" operator="equal">
      <formula>"F"</formula>
    </cfRule>
  </conditionalFormatting>
  <conditionalFormatting sqref="O23:Q23">
    <cfRule type="expression" dxfId="3793" priority="5854">
      <formula>$AW23="D"</formula>
    </cfRule>
  </conditionalFormatting>
  <conditionalFormatting sqref="O84:Q84">
    <cfRule type="expression" dxfId="3792" priority="5779">
      <formula>$AW84="D"</formula>
    </cfRule>
  </conditionalFormatting>
  <conditionalFormatting sqref="O101:Q101">
    <cfRule type="expression" dxfId="3791" priority="5768">
      <formula>$AW101="D"</formula>
    </cfRule>
  </conditionalFormatting>
  <conditionalFormatting sqref="O108:Q108">
    <cfRule type="expression" dxfId="3790" priority="5760">
      <formula>$AW108="D"</formula>
    </cfRule>
  </conditionalFormatting>
  <conditionalFormatting sqref="O142:Q142">
    <cfRule type="expression" dxfId="3789" priority="5737">
      <formula>$AW142="D"</formula>
    </cfRule>
  </conditionalFormatting>
  <conditionalFormatting sqref="O159:Q160">
    <cfRule type="expression" dxfId="3788" priority="5720">
      <formula>$AW159="D"</formula>
    </cfRule>
  </conditionalFormatting>
  <conditionalFormatting sqref="O172:Q172">
    <cfRule type="expression" dxfId="3787" priority="5706">
      <formula>$AW172="D"</formula>
    </cfRule>
  </conditionalFormatting>
  <conditionalFormatting sqref="O179:Q179">
    <cfRule type="expression" dxfId="3786" priority="5679">
      <formula>$AW179="D"</formula>
    </cfRule>
  </conditionalFormatting>
  <conditionalFormatting sqref="O193:Q193">
    <cfRule type="expression" dxfId="3785" priority="5645">
      <formula>$AW193="D"</formula>
    </cfRule>
  </conditionalFormatting>
  <conditionalFormatting sqref="O209:R209">
    <cfRule type="expression" dxfId="3784" priority="5605">
      <formula>$AW209="D"</formula>
    </cfRule>
  </conditionalFormatting>
  <conditionalFormatting sqref="O222:R222">
    <cfRule type="expression" dxfId="3783" priority="5567">
      <formula>$AW222="D"</formula>
    </cfRule>
  </conditionalFormatting>
  <conditionalFormatting sqref="O227:R227">
    <cfRule type="expression" dxfId="3782" priority="5556">
      <formula>$AW227="D"</formula>
    </cfRule>
  </conditionalFormatting>
  <conditionalFormatting sqref="O249:R249">
    <cfRule type="expression" dxfId="3781" priority="5523">
      <formula>$AW249="D"</formula>
    </cfRule>
  </conditionalFormatting>
  <conditionalFormatting sqref="O279:R279">
    <cfRule type="expression" dxfId="3780" priority="5454">
      <formula>$AW279="D"</formula>
    </cfRule>
  </conditionalFormatting>
  <conditionalFormatting sqref="O292:R292">
    <cfRule type="expression" dxfId="3779" priority="5422">
      <formula>$AW292="D"</formula>
    </cfRule>
    <cfRule type="expression" dxfId="3778" priority="5431">
      <formula>$AW292="D"</formula>
    </cfRule>
  </conditionalFormatting>
  <conditionalFormatting sqref="O293:R293">
    <cfRule type="expression" dxfId="3777" priority="5399">
      <formula>$AW293="D"</formula>
    </cfRule>
    <cfRule type="expression" dxfId="3776" priority="5404">
      <formula>$AW293="D"</formula>
    </cfRule>
  </conditionalFormatting>
  <conditionalFormatting sqref="O303:R303">
    <cfRule type="expression" dxfId="3775" priority="5363">
      <formula>$AW303="D"</formula>
    </cfRule>
  </conditionalFormatting>
  <conditionalFormatting sqref="O303:R304">
    <cfRule type="expression" dxfId="3774" priority="5353">
      <formula>$AW303="D"</formula>
    </cfRule>
  </conditionalFormatting>
  <conditionalFormatting sqref="O304:R304">
    <cfRule type="expression" dxfId="3773" priority="5348">
      <formula>$AW304="D"</formula>
    </cfRule>
  </conditionalFormatting>
  <conditionalFormatting sqref="O312:R312">
    <cfRule type="expression" dxfId="3772" priority="5310">
      <formula>$AW312="D"</formula>
    </cfRule>
    <cfRule type="expression" dxfId="3771" priority="5318">
      <formula>$AW312="D"</formula>
    </cfRule>
  </conditionalFormatting>
  <conditionalFormatting sqref="O319:R319">
    <cfRule type="expression" dxfId="3770" priority="5278">
      <formula>$AW319="D"</formula>
    </cfRule>
    <cfRule type="expression" dxfId="3769" priority="5283">
      <formula>$AW319="D"</formula>
    </cfRule>
  </conditionalFormatting>
  <conditionalFormatting sqref="O323:R323">
    <cfRule type="expression" dxfId="3768" priority="5262">
      <formula>$AW323="D"</formula>
    </cfRule>
  </conditionalFormatting>
  <conditionalFormatting sqref="O323:R324">
    <cfRule type="expression" dxfId="3767" priority="5251">
      <formula>$AW323="D"</formula>
    </cfRule>
  </conditionalFormatting>
  <conditionalFormatting sqref="O324:R324">
    <cfRule type="expression" dxfId="3766" priority="5246">
      <formula>$AW324="D"</formula>
    </cfRule>
  </conditionalFormatting>
  <conditionalFormatting sqref="O336:R336">
    <cfRule type="expression" dxfId="3765" priority="5191">
      <formula>$AW336="D"</formula>
    </cfRule>
    <cfRule type="expression" dxfId="3764" priority="5196">
      <formula>$AW336="D"</formula>
    </cfRule>
  </conditionalFormatting>
  <conditionalFormatting sqref="O338:R338">
    <cfRule type="expression" dxfId="3763" priority="5163">
      <formula>$AW338="D"</formula>
    </cfRule>
    <cfRule type="expression" dxfId="3762" priority="5168">
      <formula>$AW338="D"</formula>
    </cfRule>
  </conditionalFormatting>
  <conditionalFormatting sqref="O364:R364">
    <cfRule type="expression" dxfId="3761" priority="5096">
      <formula>$AW364="D"</formula>
    </cfRule>
    <cfRule type="expression" dxfId="3760" priority="5099">
      <formula>$AW364="D"</formula>
    </cfRule>
  </conditionalFormatting>
  <conditionalFormatting sqref="O366:R366">
    <cfRule type="expression" dxfId="3759" priority="5071">
      <formula>$AW366="D"</formula>
    </cfRule>
    <cfRule type="expression" dxfId="3758" priority="5080">
      <formula>$AW366="D"</formula>
    </cfRule>
  </conditionalFormatting>
  <conditionalFormatting sqref="O373:R373">
    <cfRule type="expression" dxfId="3757" priority="5042">
      <formula>$AW373="D"</formula>
    </cfRule>
    <cfRule type="expression" dxfId="3756" priority="5045">
      <formula>$AW373="D"</formula>
    </cfRule>
  </conditionalFormatting>
  <conditionalFormatting sqref="O379:R379">
    <cfRule type="expression" dxfId="3755" priority="5021">
      <formula>$AW379="D"</formula>
    </cfRule>
    <cfRule type="expression" dxfId="3754" priority="5026">
      <formula>$AW379="D"</formula>
    </cfRule>
  </conditionalFormatting>
  <conditionalFormatting sqref="O382:R382">
    <cfRule type="expression" dxfId="3753" priority="4996">
      <formula>$AW382="D"</formula>
    </cfRule>
    <cfRule type="expression" dxfId="3752" priority="4999">
      <formula>$AW382="D"</formula>
    </cfRule>
  </conditionalFormatting>
  <conditionalFormatting sqref="O386:R386">
    <cfRule type="expression" dxfId="3751" priority="4976">
      <formula>$AW386="D"</formula>
    </cfRule>
  </conditionalFormatting>
  <conditionalFormatting sqref="O386:R387">
    <cfRule type="expression" dxfId="3750" priority="4947">
      <formula>$AW386="D"</formula>
    </cfRule>
  </conditionalFormatting>
  <conditionalFormatting sqref="O387:R387">
    <cfRule type="expression" dxfId="3749" priority="4944">
      <formula>$AW387="D"</formula>
    </cfRule>
  </conditionalFormatting>
  <conditionalFormatting sqref="O389:R389">
    <cfRule type="expression" dxfId="3748" priority="4914">
      <formula>$AW389="D"</formula>
    </cfRule>
    <cfRule type="expression" dxfId="3747" priority="4917">
      <formula>$AW389="D"</formula>
    </cfRule>
  </conditionalFormatting>
  <conditionalFormatting sqref="O393:R393">
    <cfRule type="expression" dxfId="3746" priority="4884">
      <formula>$AW393="D"</formula>
    </cfRule>
    <cfRule type="expression" dxfId="3745" priority="4887">
      <formula>$AW393="D"</formula>
    </cfRule>
  </conditionalFormatting>
  <conditionalFormatting sqref="O399:R399">
    <cfRule type="expression" dxfId="3744" priority="4861">
      <formula>$AW399="D"</formula>
    </cfRule>
  </conditionalFormatting>
  <conditionalFormatting sqref="O399:R400">
    <cfRule type="expression" dxfId="3743" priority="4847">
      <formula>$AW399="D"</formula>
    </cfRule>
  </conditionalFormatting>
  <conditionalFormatting sqref="O399:R401">
    <cfRule type="expression" dxfId="3742" priority="4737">
      <formula>$AW399="D"</formula>
    </cfRule>
    <cfRule type="expression" dxfId="3741" priority="4765">
      <formula>$AW399="D"</formula>
    </cfRule>
  </conditionalFormatting>
  <conditionalFormatting sqref="O400:R400">
    <cfRule type="expression" dxfId="3740" priority="4734">
      <formula>$AW400="D"</formula>
    </cfRule>
  </conditionalFormatting>
  <conditionalFormatting sqref="O412:R412">
    <cfRule type="expression" dxfId="3739" priority="4794">
      <formula>$AW412="D"</formula>
    </cfRule>
    <cfRule type="expression" dxfId="3738" priority="4797">
      <formula>$AW412="D"</formula>
    </cfRule>
  </conditionalFormatting>
  <conditionalFormatting sqref="O424:R424">
    <cfRule type="expression" dxfId="3737" priority="4677">
      <formula>$AW424="D"</formula>
    </cfRule>
    <cfRule type="expression" dxfId="3736" priority="4680">
      <formula>$AW424="D"</formula>
    </cfRule>
    <cfRule type="expression" dxfId="3735" priority="4703">
      <formula>$AW424="D"</formula>
    </cfRule>
    <cfRule type="expression" dxfId="3734" priority="4706">
      <formula>$AW424="D"</formula>
    </cfRule>
  </conditionalFormatting>
  <conditionalFormatting sqref="O427:R427">
    <cfRule type="expression" dxfId="3733" priority="4623">
      <formula>$AW427="D"</formula>
    </cfRule>
    <cfRule type="expression" dxfId="3732" priority="4626">
      <formula>$AW427="D"</formula>
    </cfRule>
    <cfRule type="expression" dxfId="3731" priority="4649">
      <formula>$AW427="D"</formula>
    </cfRule>
    <cfRule type="expression" dxfId="3730" priority="4652">
      <formula>$AW427="D"</formula>
    </cfRule>
  </conditionalFormatting>
  <conditionalFormatting sqref="O430:R430">
    <cfRule type="expression" dxfId="3729" priority="4569">
      <formula>$AW430="D"</formula>
    </cfRule>
    <cfRule type="expression" dxfId="3728" priority="4572">
      <formula>$AW430="D"</formula>
    </cfRule>
    <cfRule type="expression" dxfId="3727" priority="4595">
      <formula>$AW430="D"</formula>
    </cfRule>
    <cfRule type="expression" dxfId="3726" priority="4598">
      <formula>$AW430="D"</formula>
    </cfRule>
  </conditionalFormatting>
  <conditionalFormatting sqref="O437:R437">
    <cfRule type="expression" dxfId="3725" priority="4544">
      <formula>$AW437="D"</formula>
    </cfRule>
    <cfRule type="expression" dxfId="3724" priority="4549">
      <formula>$AW437="D"</formula>
    </cfRule>
  </conditionalFormatting>
  <conditionalFormatting sqref="O447:R447">
    <cfRule type="expression" dxfId="3723" priority="4493">
      <formula>$AW447="D"</formula>
    </cfRule>
    <cfRule type="expression" dxfId="3722" priority="4496">
      <formula>$AW447="D"</formula>
    </cfRule>
    <cfRule type="expression" dxfId="3721" priority="4519">
      <formula>$AW447="D"</formula>
    </cfRule>
    <cfRule type="expression" dxfId="3720" priority="4522">
      <formula>$AW447="D"</formula>
    </cfRule>
  </conditionalFormatting>
  <conditionalFormatting sqref="O457:R457">
    <cfRule type="expression" dxfId="3719" priority="4468">
      <formula>$AW457="D"</formula>
    </cfRule>
    <cfRule type="expression" dxfId="3718" priority="4475">
      <formula>$AW457="D"</formula>
    </cfRule>
  </conditionalFormatting>
  <conditionalFormatting sqref="O464:R464">
    <cfRule type="expression" dxfId="3717" priority="4455">
      <formula>$AW464="D"</formula>
    </cfRule>
    <cfRule type="expression" dxfId="3716" priority="4460">
      <formula>$AW464="D"</formula>
    </cfRule>
  </conditionalFormatting>
  <conditionalFormatting sqref="O471:R471">
    <cfRule type="expression" dxfId="3715" priority="4427">
      <formula>$AW471="D"</formula>
    </cfRule>
    <cfRule type="expression" dxfId="3714" priority="4431">
      <formula>$AW471="D"</formula>
    </cfRule>
  </conditionalFormatting>
  <conditionalFormatting sqref="O490:R490">
    <cfRule type="expression" dxfId="3713" priority="4386">
      <formula>$AW490="D"</formula>
    </cfRule>
    <cfRule type="expression" dxfId="3712" priority="4390">
      <formula>$AW490="D"</formula>
    </cfRule>
  </conditionalFormatting>
  <conditionalFormatting sqref="O497:R497">
    <cfRule type="expression" dxfId="3711" priority="4354">
      <formula>$AW497="D"</formula>
    </cfRule>
    <cfRule type="expression" dxfId="3710" priority="4356">
      <formula>$AW497="D"</formula>
    </cfRule>
    <cfRule type="expression" dxfId="3709" priority="4364">
      <formula>$AW497="D"</formula>
    </cfRule>
    <cfRule type="expression" dxfId="3708" priority="4366">
      <formula>$AW497="D"</formula>
    </cfRule>
  </conditionalFormatting>
  <conditionalFormatting sqref="O501:R501">
    <cfRule type="expression" dxfId="3707" priority="4330">
      <formula>$AW501="D"</formula>
    </cfRule>
    <cfRule type="expression" dxfId="3706" priority="4332">
      <formula>$AW501="D"</formula>
    </cfRule>
    <cfRule type="expression" dxfId="3705" priority="4338">
      <formula>$AW501="D"</formula>
    </cfRule>
    <cfRule type="expression" dxfId="3704" priority="4340">
      <formula>$AW501="D"</formula>
    </cfRule>
  </conditionalFormatting>
  <conditionalFormatting sqref="O512:R512">
    <cfRule type="expression" dxfId="3703" priority="4302">
      <formula>$AW512="D"</formula>
    </cfRule>
    <cfRule type="expression" dxfId="3702" priority="4308">
      <formula>$AW512="D"</formula>
    </cfRule>
    <cfRule type="expression" dxfId="3701" priority="4310">
      <formula>$AW512="D"</formula>
    </cfRule>
  </conditionalFormatting>
  <conditionalFormatting sqref="O512:R513">
    <cfRule type="expression" dxfId="3700" priority="4293">
      <formula>$AW512="D"</formula>
    </cfRule>
  </conditionalFormatting>
  <conditionalFormatting sqref="O513:R513">
    <cfRule type="expression" dxfId="3699" priority="4286">
      <formula>$AW513="D"</formula>
    </cfRule>
    <cfRule type="expression" dxfId="3698" priority="4288">
      <formula>$AW513="D"</formula>
    </cfRule>
    <cfRule type="expression" dxfId="3697" priority="4291">
      <formula>$AW513="D"</formula>
    </cfRule>
  </conditionalFormatting>
  <conditionalFormatting sqref="O518:R518">
    <cfRule type="expression" dxfId="3696" priority="4277">
      <formula>$AW518="D"</formula>
    </cfRule>
    <cfRule type="expression" dxfId="3695" priority="4279">
      <formula>$AW518="D"</formula>
    </cfRule>
  </conditionalFormatting>
  <conditionalFormatting sqref="O538:R538">
    <cfRule type="expression" dxfId="3694" priority="4227">
      <formula>$AW538="D"</formula>
    </cfRule>
    <cfRule type="expression" dxfId="3693" priority="4229">
      <formula>$AW538="D"</formula>
    </cfRule>
  </conditionalFormatting>
  <conditionalFormatting sqref="O553:R553">
    <cfRule type="expression" dxfId="3692" priority="4218">
      <formula>$AW553="D"</formula>
    </cfRule>
    <cfRule type="expression" dxfId="3691" priority="4220">
      <formula>$AW553="D"</formula>
    </cfRule>
  </conditionalFormatting>
  <conditionalFormatting sqref="O566:R566">
    <cfRule type="expression" dxfId="3690" priority="4203">
      <formula>$AW566="D"</formula>
    </cfRule>
    <cfRule type="expression" dxfId="3689" priority="4205">
      <formula>$AW566="D"</formula>
    </cfRule>
  </conditionalFormatting>
  <conditionalFormatting sqref="O592:R592">
    <cfRule type="expression" dxfId="3688" priority="4183">
      <formula>$AW592="D"</formula>
    </cfRule>
    <cfRule type="expression" dxfId="3687" priority="4185">
      <formula>$AW592="D"</formula>
    </cfRule>
  </conditionalFormatting>
  <conditionalFormatting sqref="O620:R620">
    <cfRule type="expression" dxfId="3686" priority="4152">
      <formula>$AW620="D"</formula>
    </cfRule>
    <cfRule type="expression" dxfId="3685" priority="4154">
      <formula>$AW620="D"</formula>
    </cfRule>
    <cfRule type="expression" dxfId="3684" priority="4159">
      <formula>$AW620="D"</formula>
    </cfRule>
    <cfRule type="expression" dxfId="3683" priority="4161">
      <formula>$AW620="D"</formula>
    </cfRule>
  </conditionalFormatting>
  <conditionalFormatting sqref="O644:R644">
    <cfRule type="expression" dxfId="3682" priority="4066">
      <formula>$AW644="D"</formula>
    </cfRule>
    <cfRule type="expression" dxfId="3681" priority="4068">
      <formula>$AW644="D"</formula>
    </cfRule>
  </conditionalFormatting>
  <conditionalFormatting sqref="O655:R655">
    <cfRule type="expression" dxfId="3680" priority="4051">
      <formula>$AW655="D"</formula>
    </cfRule>
    <cfRule type="expression" dxfId="3679" priority="4053">
      <formula>$AW655="D"</formula>
    </cfRule>
  </conditionalFormatting>
  <conditionalFormatting sqref="O715:R715">
    <cfRule type="expression" dxfId="3678" priority="3957">
      <formula>$AW715="D"</formula>
    </cfRule>
    <cfRule type="expression" dxfId="3677" priority="3959">
      <formula>$AW715="D"</formula>
    </cfRule>
    <cfRule type="expression" dxfId="3676" priority="3964">
      <formula>$AW715="D"</formula>
    </cfRule>
    <cfRule type="expression" dxfId="3675" priority="3966">
      <formula>$AW715="D"</formula>
    </cfRule>
  </conditionalFormatting>
  <conditionalFormatting sqref="O716:R716">
    <cfRule type="expression" dxfId="3674" priority="3933">
      <formula>$AW716="D"</formula>
    </cfRule>
    <cfRule type="expression" dxfId="3673" priority="3935">
      <formula>$AW716="D"</formula>
    </cfRule>
    <cfRule type="expression" dxfId="3672" priority="3940">
      <formula>$AW716="D"</formula>
    </cfRule>
    <cfRule type="expression" dxfId="3671" priority="3942">
      <formula>$AW716="D"</formula>
    </cfRule>
  </conditionalFormatting>
  <conditionalFormatting sqref="O724:R724">
    <cfRule type="expression" dxfId="3670" priority="3893">
      <formula>$AW724="D"</formula>
    </cfRule>
    <cfRule type="expression" dxfId="3669" priority="3895">
      <formula>$AW724="D"</formula>
    </cfRule>
    <cfRule type="expression" dxfId="3668" priority="3900">
      <formula>$AW724="D"</formula>
    </cfRule>
    <cfRule type="expression" dxfId="3667" priority="3902">
      <formula>$AW724="D"</formula>
    </cfRule>
  </conditionalFormatting>
  <conditionalFormatting sqref="O729:R729">
    <cfRule type="expression" dxfId="3666" priority="3841">
      <formula>$AW729="D"</formula>
    </cfRule>
    <cfRule type="expression" dxfId="3665" priority="3843">
      <formula>$AW729="D"</formula>
    </cfRule>
    <cfRule type="expression" dxfId="3664" priority="3848">
      <formula>$AW729="D"</formula>
    </cfRule>
    <cfRule type="expression" dxfId="3663" priority="3850">
      <formula>$AW729="D"</formula>
    </cfRule>
  </conditionalFormatting>
  <conditionalFormatting sqref="O852:R852">
    <cfRule type="expression" dxfId="3662" priority="3360">
      <formula>$AW852="D"</formula>
    </cfRule>
    <cfRule type="expression" dxfId="3661" priority="3362">
      <formula>$AW852="D"</formula>
    </cfRule>
    <cfRule type="expression" dxfId="3660" priority="3367">
      <formula>$AW852="D"</formula>
    </cfRule>
    <cfRule type="expression" dxfId="3659" priority="3369">
      <formula>$AW852="D"</formula>
    </cfRule>
  </conditionalFormatting>
  <conditionalFormatting sqref="O860:R860">
    <cfRule type="expression" dxfId="3658" priority="3312">
      <formula>$AW860="D"</formula>
    </cfRule>
    <cfRule type="expression" dxfId="3657" priority="3317">
      <formula>$AW860="D"</formula>
    </cfRule>
    <cfRule type="expression" dxfId="3656" priority="3319">
      <formula>$AW860="D"</formula>
    </cfRule>
  </conditionalFormatting>
  <conditionalFormatting sqref="O860:R861">
    <cfRule type="expression" dxfId="3655" priority="3295">
      <formula>$AW860="D"</formula>
    </cfRule>
  </conditionalFormatting>
  <conditionalFormatting sqref="O861:R861">
    <cfRule type="expression" dxfId="3654" priority="3288">
      <formula>$AW861="D"</formula>
    </cfRule>
    <cfRule type="expression" dxfId="3653" priority="3293">
      <formula>$AW861="D"</formula>
    </cfRule>
  </conditionalFormatting>
  <conditionalFormatting sqref="O861:R862">
    <cfRule type="expression" dxfId="3652" priority="3271">
      <formula>$AW861="D"</formula>
    </cfRule>
  </conditionalFormatting>
  <conditionalFormatting sqref="O862:R862">
    <cfRule type="expression" dxfId="3651" priority="3262">
      <formula>$AW862="D"</formula>
    </cfRule>
    <cfRule type="expression" dxfId="3650" priority="3264">
      <formula>$AW862="D"</formula>
    </cfRule>
    <cfRule type="expression" dxfId="3649" priority="3269">
      <formula>$AW862="D"</formula>
    </cfRule>
  </conditionalFormatting>
  <conditionalFormatting sqref="O868:R868">
    <cfRule type="expression" dxfId="3648" priority="3208">
      <formula>$AW868="D"</formula>
    </cfRule>
    <cfRule type="expression" dxfId="3647" priority="3210">
      <formula>$AW868="D"</formula>
    </cfRule>
    <cfRule type="expression" dxfId="3646" priority="3215">
      <formula>$AW868="D"</formula>
    </cfRule>
    <cfRule type="expression" dxfId="3645" priority="3217">
      <formula>$AW868="D"</formula>
    </cfRule>
  </conditionalFormatting>
  <conditionalFormatting sqref="O905:R905">
    <cfRule type="expression" dxfId="3644" priority="3056">
      <formula>$AW905="D"</formula>
    </cfRule>
    <cfRule type="expression" dxfId="3643" priority="3058">
      <formula>$AW905="D"</formula>
    </cfRule>
    <cfRule type="expression" dxfId="3642" priority="3063">
      <formula>$AW905="D"</formula>
    </cfRule>
    <cfRule type="expression" dxfId="3641" priority="3065">
      <formula>$AW905="D"</formula>
    </cfRule>
  </conditionalFormatting>
  <conditionalFormatting sqref="O667:S667">
    <cfRule type="expression" dxfId="3640" priority="4025">
      <formula>$AW667="D"</formula>
    </cfRule>
    <cfRule type="expression" dxfId="3639" priority="4027">
      <formula>$AW667="D"</formula>
    </cfRule>
  </conditionalFormatting>
  <conditionalFormatting sqref="O713:S713">
    <cfRule type="expression" dxfId="3638" priority="3982">
      <formula>$AW713="D"</formula>
    </cfRule>
    <cfRule type="expression" dxfId="3637" priority="3984">
      <formula>$AW713="D"</formula>
    </cfRule>
  </conditionalFormatting>
  <conditionalFormatting sqref="O725:S725">
    <cfRule type="expression" dxfId="3636" priority="3882">
      <formula>$AW725="D"</formula>
    </cfRule>
    <cfRule type="expression" dxfId="3635" priority="3884">
      <formula>$AW725="D"</formula>
    </cfRule>
  </conditionalFormatting>
  <conditionalFormatting sqref="O728:S728">
    <cfRule type="expression" dxfId="3634" priority="3868">
      <formula>$AW728="D"</formula>
    </cfRule>
    <cfRule type="expression" dxfId="3633" priority="3870">
      <formula>$AW728="D"</formula>
    </cfRule>
  </conditionalFormatting>
  <conditionalFormatting sqref="O819:S819">
    <cfRule type="expression" dxfId="3632" priority="3425">
      <formula>$AW819="D"</formula>
    </cfRule>
  </conditionalFormatting>
  <conditionalFormatting sqref="P181:P182 Q3:Q227">
    <cfRule type="cellIs" dxfId="3631" priority="5674" operator="equal">
      <formula>"F"</formula>
    </cfRule>
  </conditionalFormatting>
  <conditionalFormatting sqref="P184:P185">
    <cfRule type="cellIs" dxfId="3630" priority="5663" operator="equal">
      <formula>"F"</formula>
    </cfRule>
  </conditionalFormatting>
  <conditionalFormatting sqref="P188">
    <cfRule type="cellIs" dxfId="3629" priority="5651" operator="equal">
      <formula>"F"</formula>
    </cfRule>
  </conditionalFormatting>
  <conditionalFormatting sqref="P194:P195">
    <cfRule type="cellIs" dxfId="3628" priority="5641" operator="equal">
      <formula>"F"</formula>
    </cfRule>
  </conditionalFormatting>
  <conditionalFormatting sqref="P202:P204">
    <cfRule type="cellIs" dxfId="3627" priority="5627" operator="equal">
      <formula>"F"</formula>
    </cfRule>
  </conditionalFormatting>
  <conditionalFormatting sqref="P208:P209">
    <cfRule type="cellIs" dxfId="3626" priority="5598" operator="equal">
      <formula>"F"</formula>
    </cfRule>
  </conditionalFormatting>
  <conditionalFormatting sqref="P213:P214">
    <cfRule type="cellIs" dxfId="3625" priority="5584" operator="equal">
      <formula>"F"</formula>
    </cfRule>
  </conditionalFormatting>
  <conditionalFormatting sqref="P222">
    <cfRule type="cellIs" dxfId="3624" priority="5563" operator="equal">
      <formula>"F"</formula>
    </cfRule>
  </conditionalFormatting>
  <conditionalFormatting sqref="P227">
    <cfRule type="cellIs" dxfId="3623" priority="5552" operator="equal">
      <formula>"F"</formula>
    </cfRule>
  </conditionalFormatting>
  <conditionalFormatting sqref="P236">
    <cfRule type="cellIs" dxfId="3622" priority="5542" operator="equal">
      <formula>"F"</formula>
    </cfRule>
  </conditionalFormatting>
  <conditionalFormatting sqref="P249">
    <cfRule type="cellIs" dxfId="3621" priority="5519" operator="equal">
      <formula>"F"</formula>
    </cfRule>
  </conditionalFormatting>
  <conditionalFormatting sqref="P251">
    <cfRule type="cellIs" dxfId="3620" priority="5515" operator="equal">
      <formula>"F"</formula>
    </cfRule>
  </conditionalFormatting>
  <conditionalFormatting sqref="P265">
    <cfRule type="cellIs" dxfId="3619" priority="5480" operator="equal">
      <formula>"F"</formula>
    </cfRule>
  </conditionalFormatting>
  <conditionalFormatting sqref="P267">
    <cfRule type="cellIs" dxfId="3618" priority="5475" operator="equal">
      <formula>"F"</formula>
    </cfRule>
  </conditionalFormatting>
  <conditionalFormatting sqref="P279">
    <cfRule type="cellIs" dxfId="3617" priority="5450" operator="equal">
      <formula>"F"</formula>
    </cfRule>
  </conditionalFormatting>
  <conditionalFormatting sqref="P281:P282">
    <cfRule type="cellIs" dxfId="3616" priority="5446" operator="equal">
      <formula>"F"</formula>
    </cfRule>
  </conditionalFormatting>
  <conditionalFormatting sqref="P292:P293">
    <cfRule type="cellIs" dxfId="3615" priority="5418" operator="equal">
      <formula>"F"</formula>
    </cfRule>
    <cfRule type="cellIs" dxfId="3614" priority="5428" operator="equal">
      <formula>"F"</formula>
    </cfRule>
  </conditionalFormatting>
  <conditionalFormatting sqref="P303:P304">
    <cfRule type="cellIs" dxfId="3613" priority="5368" operator="equal">
      <formula>"F"</formula>
    </cfRule>
  </conditionalFormatting>
  <conditionalFormatting sqref="P312">
    <cfRule type="cellIs" dxfId="3612" priority="5323" operator="equal">
      <formula>"F"</formula>
    </cfRule>
  </conditionalFormatting>
  <conditionalFormatting sqref="P319">
    <cfRule type="cellIs" dxfId="3611" priority="5288" operator="equal">
      <formula>"F"</formula>
    </cfRule>
  </conditionalFormatting>
  <conditionalFormatting sqref="P323:P324">
    <cfRule type="cellIs" dxfId="3610" priority="5267" operator="equal">
      <formula>"F"</formula>
    </cfRule>
  </conditionalFormatting>
  <conditionalFormatting sqref="P336">
    <cfRule type="cellIs" dxfId="3609" priority="5201" operator="equal">
      <formula>"F"</formula>
    </cfRule>
  </conditionalFormatting>
  <conditionalFormatting sqref="P338">
    <cfRule type="cellIs" dxfId="3608" priority="5173" operator="equal">
      <formula>"F"</formula>
    </cfRule>
  </conditionalFormatting>
  <conditionalFormatting sqref="P364">
    <cfRule type="cellIs" dxfId="3607" priority="5104" operator="equal">
      <formula>"F"</formula>
    </cfRule>
  </conditionalFormatting>
  <conditionalFormatting sqref="P366">
    <cfRule type="cellIs" dxfId="3606" priority="5085" operator="equal">
      <formula>"F"</formula>
    </cfRule>
  </conditionalFormatting>
  <conditionalFormatting sqref="P373">
    <cfRule type="cellIs" dxfId="3605" priority="5050" operator="equal">
      <formula>"F"</formula>
    </cfRule>
  </conditionalFormatting>
  <conditionalFormatting sqref="P379">
    <cfRule type="cellIs" dxfId="3604" priority="5031" operator="equal">
      <formula>"F"</formula>
    </cfRule>
  </conditionalFormatting>
  <conditionalFormatting sqref="P382">
    <cfRule type="cellIs" dxfId="3603" priority="5004" operator="equal">
      <formula>"F"</formula>
    </cfRule>
  </conditionalFormatting>
  <conditionalFormatting sqref="P386">
    <cfRule type="cellIs" dxfId="3602" priority="4981" operator="equal">
      <formula>"F"</formula>
    </cfRule>
  </conditionalFormatting>
  <conditionalFormatting sqref="P387">
    <cfRule type="cellIs" dxfId="3601" priority="4952" operator="equal">
      <formula>"F"</formula>
    </cfRule>
  </conditionalFormatting>
  <conditionalFormatting sqref="P389">
    <cfRule type="cellIs" dxfId="3600" priority="4922" operator="equal">
      <formula>"F"</formula>
    </cfRule>
  </conditionalFormatting>
  <conditionalFormatting sqref="P393">
    <cfRule type="cellIs" dxfId="3599" priority="4892" operator="equal">
      <formula>"F"</formula>
    </cfRule>
  </conditionalFormatting>
  <conditionalFormatting sqref="P399">
    <cfRule type="cellIs" dxfId="3598" priority="4770" operator="equal">
      <formula>"F"</formula>
    </cfRule>
  </conditionalFormatting>
  <conditionalFormatting sqref="P399:P400">
    <cfRule type="cellIs" dxfId="3597" priority="4866" operator="equal">
      <formula>"F"</formula>
    </cfRule>
  </conditionalFormatting>
  <conditionalFormatting sqref="P400">
    <cfRule type="cellIs" dxfId="3596" priority="4742" operator="equal">
      <formula>"F"</formula>
    </cfRule>
  </conditionalFormatting>
  <conditionalFormatting sqref="P401">
    <cfRule type="cellIs" dxfId="3595" priority="4831" operator="equal">
      <formula>"F"</formula>
    </cfRule>
  </conditionalFormatting>
  <conditionalFormatting sqref="P412">
    <cfRule type="cellIs" dxfId="3594" priority="4802" operator="equal">
      <formula>"F"</formula>
    </cfRule>
  </conditionalFormatting>
  <conditionalFormatting sqref="P424">
    <cfRule type="cellIs" dxfId="3593" priority="4685" operator="equal">
      <formula>"F"</formula>
    </cfRule>
    <cfRule type="cellIs" dxfId="3592" priority="4716" operator="equal">
      <formula>"F"</formula>
    </cfRule>
  </conditionalFormatting>
  <conditionalFormatting sqref="P427">
    <cfRule type="cellIs" dxfId="3591" priority="4631" operator="equal">
      <formula>"F"</formula>
    </cfRule>
    <cfRule type="cellIs" dxfId="3590" priority="4662" operator="equal">
      <formula>"F"</formula>
    </cfRule>
  </conditionalFormatting>
  <conditionalFormatting sqref="P430">
    <cfRule type="cellIs" dxfId="3589" priority="4577" operator="equal">
      <formula>"F"</formula>
    </cfRule>
    <cfRule type="cellIs" dxfId="3588" priority="4608" operator="equal">
      <formula>"F"</formula>
    </cfRule>
  </conditionalFormatting>
  <conditionalFormatting sqref="P437">
    <cfRule type="cellIs" dxfId="3587" priority="4554" operator="equal">
      <formula>"F"</formula>
    </cfRule>
  </conditionalFormatting>
  <conditionalFormatting sqref="P447">
    <cfRule type="cellIs" dxfId="3586" priority="4501" operator="equal">
      <formula>"F"</formula>
    </cfRule>
    <cfRule type="cellIs" dxfId="3585" priority="4532" operator="equal">
      <formula>"F"</formula>
    </cfRule>
  </conditionalFormatting>
  <conditionalFormatting sqref="P457">
    <cfRule type="cellIs" dxfId="3584" priority="4480" operator="equal">
      <formula>"F"</formula>
    </cfRule>
  </conditionalFormatting>
  <conditionalFormatting sqref="P464">
    <cfRule type="cellIs" dxfId="3583" priority="4463" operator="equal">
      <formula>"F"</formula>
    </cfRule>
  </conditionalFormatting>
  <conditionalFormatting sqref="P471">
    <cfRule type="cellIs" dxfId="3582" priority="4434" operator="equal">
      <formula>"F"</formula>
    </cfRule>
  </conditionalFormatting>
  <conditionalFormatting sqref="P490">
    <cfRule type="cellIs" dxfId="3581" priority="4393" operator="equal">
      <formula>"F"</formula>
    </cfRule>
  </conditionalFormatting>
  <conditionalFormatting sqref="P497">
    <cfRule type="cellIs" dxfId="3580" priority="4358" operator="equal">
      <formula>"F"</formula>
    </cfRule>
    <cfRule type="cellIs" dxfId="3579" priority="4369" operator="equal">
      <formula>"F"</formula>
    </cfRule>
  </conditionalFormatting>
  <conditionalFormatting sqref="P501">
    <cfRule type="cellIs" dxfId="3578" priority="4334" operator="equal">
      <formula>"F"</formula>
    </cfRule>
    <cfRule type="cellIs" dxfId="3577" priority="4343" operator="equal">
      <formula>"F"</formula>
    </cfRule>
  </conditionalFormatting>
  <conditionalFormatting sqref="P512:P513">
    <cfRule type="cellIs" dxfId="3576" priority="4304" operator="equal">
      <formula>"F"</formula>
    </cfRule>
    <cfRule type="cellIs" dxfId="3575" priority="4313" operator="equal">
      <formula>"F"</formula>
    </cfRule>
  </conditionalFormatting>
  <conditionalFormatting sqref="P518">
    <cfRule type="cellIs" dxfId="3574" priority="4282" operator="equal">
      <formula>"F"</formula>
    </cfRule>
  </conditionalFormatting>
  <conditionalFormatting sqref="P538">
    <cfRule type="cellIs" dxfId="3573" priority="4232" operator="equal">
      <formula>"F"</formula>
    </cfRule>
  </conditionalFormatting>
  <conditionalFormatting sqref="P553">
    <cfRule type="cellIs" dxfId="3572" priority="4223" operator="equal">
      <formula>"F"</formula>
    </cfRule>
  </conditionalFormatting>
  <conditionalFormatting sqref="P566">
    <cfRule type="cellIs" dxfId="3571" priority="4208" operator="equal">
      <formula>"F"</formula>
    </cfRule>
  </conditionalFormatting>
  <conditionalFormatting sqref="P592">
    <cfRule type="cellIs" dxfId="3570" priority="4187" operator="equal">
      <formula>"F"</formula>
    </cfRule>
  </conditionalFormatting>
  <conditionalFormatting sqref="P626:P627">
    <cfRule type="cellIs" dxfId="3569" priority="4140" operator="equal">
      <formula>"F"</formula>
    </cfRule>
  </conditionalFormatting>
  <conditionalFormatting sqref="P630">
    <cfRule type="cellIs" dxfId="3568" priority="4132" operator="equal">
      <formula>"F"</formula>
    </cfRule>
  </conditionalFormatting>
  <conditionalFormatting sqref="P632:P634">
    <cfRule type="cellIs" dxfId="3567" priority="4092" operator="equal">
      <formula>"F"</formula>
    </cfRule>
  </conditionalFormatting>
  <conditionalFormatting sqref="P644">
    <cfRule type="cellIs" dxfId="3566" priority="4070" operator="equal">
      <formula>"F"</formula>
    </cfRule>
  </conditionalFormatting>
  <conditionalFormatting sqref="P655">
    <cfRule type="cellIs" dxfId="3565" priority="4055" operator="equal">
      <formula>"F"</formula>
    </cfRule>
  </conditionalFormatting>
  <conditionalFormatting sqref="P667">
    <cfRule type="cellIs" dxfId="3564" priority="4023" operator="equal">
      <formula>"F"</formula>
    </cfRule>
  </conditionalFormatting>
  <conditionalFormatting sqref="P713">
    <cfRule type="cellIs" dxfId="3563" priority="3980" operator="equal">
      <formula>"F"</formula>
    </cfRule>
  </conditionalFormatting>
  <conditionalFormatting sqref="P725">
    <cfRule type="cellIs" dxfId="3562" priority="3880" operator="equal">
      <formula>"F"</formula>
    </cfRule>
  </conditionalFormatting>
  <conditionalFormatting sqref="P728">
    <cfRule type="cellIs" dxfId="3561" priority="3866" operator="equal">
      <formula>"F"</formula>
    </cfRule>
  </conditionalFormatting>
  <conditionalFormatting sqref="P819">
    <cfRule type="cellIs" dxfId="3560" priority="3519" operator="equal">
      <formula>"F"</formula>
    </cfRule>
  </conditionalFormatting>
  <conditionalFormatting sqref="P863">
    <cfRule type="expression" dxfId="3559" priority="3259">
      <formula>$AW863="D"</formula>
    </cfRule>
    <cfRule type="cellIs" dxfId="3558" priority="3260" operator="equal">
      <formula>"F"</formula>
    </cfRule>
  </conditionalFormatting>
  <conditionalFormatting sqref="P917">
    <cfRule type="expression" dxfId="3557" priority="2984">
      <formula>$AW917="D"</formula>
    </cfRule>
    <cfRule type="cellIs" dxfId="3556" priority="2985" operator="equal">
      <formula>"F"</formula>
    </cfRule>
  </conditionalFormatting>
  <conditionalFormatting sqref="P941">
    <cfRule type="expression" dxfId="3555" priority="2712">
      <formula>$AW941="D"</formula>
    </cfRule>
    <cfRule type="cellIs" dxfId="3554" priority="2713" operator="equal">
      <formula>"F"</formula>
    </cfRule>
  </conditionalFormatting>
  <conditionalFormatting sqref="P983">
    <cfRule type="expression" dxfId="3553" priority="2289">
      <formula>$AW983="D"</formula>
    </cfRule>
    <cfRule type="cellIs" dxfId="3552" priority="2290" operator="equal">
      <formula>"F"</formula>
    </cfRule>
  </conditionalFormatting>
  <conditionalFormatting sqref="P987">
    <cfRule type="expression" dxfId="3551" priority="2249">
      <formula>$AW987="D"</formula>
    </cfRule>
    <cfRule type="cellIs" dxfId="3550" priority="2250" operator="equal">
      <formula>"F"</formula>
    </cfRule>
  </conditionalFormatting>
  <conditionalFormatting sqref="P1001">
    <cfRule type="expression" dxfId="3549" priority="2208">
      <formula>$AW1001="D"</formula>
    </cfRule>
    <cfRule type="cellIs" dxfId="3548" priority="2209" operator="equal">
      <formula>"F"</formula>
    </cfRule>
  </conditionalFormatting>
  <conditionalFormatting sqref="P1020">
    <cfRule type="expression" dxfId="3547" priority="2013">
      <formula>$AW1020="D"</formula>
    </cfRule>
    <cfRule type="cellIs" dxfId="3546" priority="2014" operator="equal">
      <formula>"F"</formula>
    </cfRule>
  </conditionalFormatting>
  <conditionalFormatting sqref="P1041:P1042">
    <cfRule type="expression" dxfId="3545" priority="1846">
      <formula>$AW1041="D"</formula>
    </cfRule>
    <cfRule type="cellIs" dxfId="3544" priority="1847" operator="equal">
      <formula>"F"</formula>
    </cfRule>
  </conditionalFormatting>
  <conditionalFormatting sqref="P1082">
    <cfRule type="expression" dxfId="3543" priority="1478">
      <formula>$AW1082="D"</formula>
    </cfRule>
    <cfRule type="cellIs" dxfId="3542" priority="1479" operator="equal">
      <formula>"F"</formula>
    </cfRule>
  </conditionalFormatting>
  <conditionalFormatting sqref="P537:Q537">
    <cfRule type="cellIs" dxfId="3541" priority="4270" operator="equal">
      <formula>"F"</formula>
    </cfRule>
  </conditionalFormatting>
  <conditionalFormatting sqref="P555:Q555">
    <cfRule type="cellIs" dxfId="3540" priority="4216" operator="equal">
      <formula>"F"</formula>
    </cfRule>
  </conditionalFormatting>
  <conditionalFormatting sqref="P570:Q570">
    <cfRule type="cellIs" dxfId="3539" priority="4200" operator="equal">
      <formula>"F"</formula>
    </cfRule>
  </conditionalFormatting>
  <conditionalFormatting sqref="P620:Q620">
    <cfRule type="cellIs" dxfId="3538" priority="4172" operator="equal">
      <formula>"F"</formula>
    </cfRule>
  </conditionalFormatting>
  <conditionalFormatting sqref="P631:Q631">
    <cfRule type="cellIs" dxfId="3537" priority="4125" operator="equal">
      <formula>"F"</formula>
    </cfRule>
  </conditionalFormatting>
  <conditionalFormatting sqref="P667:Q667">
    <cfRule type="cellIs" dxfId="3536" priority="4029" operator="equal">
      <formula>"F"</formula>
    </cfRule>
  </conditionalFormatting>
  <conditionalFormatting sqref="P713:Q713">
    <cfRule type="cellIs" dxfId="3535" priority="3986" operator="equal">
      <formula>"F"</formula>
    </cfRule>
  </conditionalFormatting>
  <conditionalFormatting sqref="P715:Q715">
    <cfRule type="cellIs" dxfId="3534" priority="3976" operator="equal">
      <formula>"F"</formula>
    </cfRule>
  </conditionalFormatting>
  <conditionalFormatting sqref="P716:Q716">
    <cfRule type="cellIs" dxfId="3533" priority="3952" operator="equal">
      <formula>"F"</formula>
    </cfRule>
  </conditionalFormatting>
  <conditionalFormatting sqref="P724:Q724">
    <cfRule type="cellIs" dxfId="3532" priority="3912" operator="equal">
      <formula>"F"</formula>
    </cfRule>
  </conditionalFormatting>
  <conditionalFormatting sqref="P725:Q725">
    <cfRule type="cellIs" dxfId="3531" priority="3886" operator="equal">
      <formula>"F"</formula>
    </cfRule>
  </conditionalFormatting>
  <conditionalFormatting sqref="P728:Q728">
    <cfRule type="cellIs" dxfId="3530" priority="3872" operator="equal">
      <formula>"F"</formula>
    </cfRule>
  </conditionalFormatting>
  <conditionalFormatting sqref="P729:Q729">
    <cfRule type="cellIs" dxfId="3529" priority="3860" operator="equal">
      <formula>"F"</formula>
    </cfRule>
  </conditionalFormatting>
  <conditionalFormatting sqref="P756:Q758">
    <cfRule type="cellIs" dxfId="3528" priority="3818" operator="equal">
      <formula>"F"</formula>
    </cfRule>
  </conditionalFormatting>
  <conditionalFormatting sqref="P763:Q763">
    <cfRule type="cellIs" dxfId="3527" priority="3808" operator="equal">
      <formula>"F"</formula>
    </cfRule>
  </conditionalFormatting>
  <conditionalFormatting sqref="P766:Q766">
    <cfRule type="cellIs" dxfId="3526" priority="3797" operator="equal">
      <formula>"F"</formula>
    </cfRule>
  </conditionalFormatting>
  <conditionalFormatting sqref="P772:Q772">
    <cfRule type="cellIs" dxfId="3525" priority="3786" operator="equal">
      <formula>"F"</formula>
    </cfRule>
  </conditionalFormatting>
  <conditionalFormatting sqref="P775:Q777">
    <cfRule type="cellIs" dxfId="3524" priority="3754" operator="equal">
      <formula>"F"</formula>
    </cfRule>
  </conditionalFormatting>
  <conditionalFormatting sqref="P779:Q783">
    <cfRule type="cellIs" dxfId="3523" priority="3703" operator="equal">
      <formula>"F"</formula>
    </cfRule>
  </conditionalFormatting>
  <conditionalFormatting sqref="P789:Q791">
    <cfRule type="cellIs" dxfId="3522" priority="3671" operator="equal">
      <formula>"F"</formula>
    </cfRule>
  </conditionalFormatting>
  <conditionalFormatting sqref="P800:Q804">
    <cfRule type="cellIs" dxfId="3521" priority="3579" operator="equal">
      <formula>"F"</formula>
    </cfRule>
  </conditionalFormatting>
  <conditionalFormatting sqref="P852:Q852">
    <cfRule type="cellIs" dxfId="3520" priority="3379" operator="equal">
      <formula>"F"</formula>
    </cfRule>
  </conditionalFormatting>
  <conditionalFormatting sqref="P860:Q860">
    <cfRule type="cellIs" dxfId="3519" priority="3329" operator="equal">
      <formula>"F"</formula>
    </cfRule>
  </conditionalFormatting>
  <conditionalFormatting sqref="P861:Q861">
    <cfRule type="cellIs" dxfId="3518" priority="3305" operator="equal">
      <formula>"F"</formula>
    </cfRule>
  </conditionalFormatting>
  <conditionalFormatting sqref="P862:Q862">
    <cfRule type="cellIs" dxfId="3517" priority="3281" operator="equal">
      <formula>"F"</formula>
    </cfRule>
  </conditionalFormatting>
  <conditionalFormatting sqref="P868:Q868">
    <cfRule type="cellIs" dxfId="3516" priority="3227" operator="equal">
      <formula>"F"</formula>
    </cfRule>
  </conditionalFormatting>
  <conditionalFormatting sqref="P905:Q905">
    <cfRule type="cellIs" dxfId="3515" priority="3075" operator="equal">
      <formula>"F"</formula>
    </cfRule>
  </conditionalFormatting>
  <conditionalFormatting sqref="P537:R537">
    <cfRule type="cellIs" dxfId="3514" priority="4240" operator="equal">
      <formula>"F"</formula>
    </cfRule>
    <cfRule type="cellIs" dxfId="3513" priority="4242" operator="equal">
      <formula>"F"</formula>
    </cfRule>
    <cfRule type="cellIs" dxfId="3512" priority="4248" operator="equal">
      <formula>"F"</formula>
    </cfRule>
    <cfRule type="cellIs" dxfId="3511" priority="4250" operator="equal">
      <formula>"F"</formula>
    </cfRule>
  </conditionalFormatting>
  <conditionalFormatting sqref="P620:R620">
    <cfRule type="cellIs" dxfId="3510" priority="4153" operator="equal">
      <formula>"F"</formula>
    </cfRule>
    <cfRule type="cellIs" dxfId="3509" priority="4155" operator="equal">
      <formula>"F"</formula>
    </cfRule>
    <cfRule type="cellIs" dxfId="3508" priority="4160" operator="equal">
      <formula>"F"</formula>
    </cfRule>
    <cfRule type="cellIs" dxfId="3507" priority="4162" operator="equal">
      <formula>"F"</formula>
    </cfRule>
  </conditionalFormatting>
  <conditionalFormatting sqref="P631:R631">
    <cfRule type="cellIs" dxfId="3506" priority="4107" operator="equal">
      <formula>"F"</formula>
    </cfRule>
    <cfRule type="cellIs" dxfId="3505" priority="4109" operator="equal">
      <formula>"F"</formula>
    </cfRule>
    <cfRule type="cellIs" dxfId="3504" priority="4114" operator="equal">
      <formula>"F"</formula>
    </cfRule>
    <cfRule type="cellIs" dxfId="3503" priority="4116" operator="equal">
      <formula>"F"</formula>
    </cfRule>
  </conditionalFormatting>
  <conditionalFormatting sqref="P715:R715">
    <cfRule type="cellIs" dxfId="3502" priority="3958" operator="equal">
      <formula>"F"</formula>
    </cfRule>
    <cfRule type="cellIs" dxfId="3501" priority="3960" operator="equal">
      <formula>"F"</formula>
    </cfRule>
    <cfRule type="cellIs" dxfId="3500" priority="3965" operator="equal">
      <formula>"F"</formula>
    </cfRule>
    <cfRule type="cellIs" dxfId="3499" priority="3967" operator="equal">
      <formula>"F"</formula>
    </cfRule>
  </conditionalFormatting>
  <conditionalFormatting sqref="P716:R716">
    <cfRule type="cellIs" dxfId="3498" priority="3934" operator="equal">
      <formula>"F"</formula>
    </cfRule>
    <cfRule type="cellIs" dxfId="3497" priority="3936" operator="equal">
      <formula>"F"</formula>
    </cfRule>
    <cfRule type="cellIs" dxfId="3496" priority="3941" operator="equal">
      <formula>"F"</formula>
    </cfRule>
    <cfRule type="cellIs" dxfId="3495" priority="3943" operator="equal">
      <formula>"F"</formula>
    </cfRule>
  </conditionalFormatting>
  <conditionalFormatting sqref="P724:R724">
    <cfRule type="cellIs" dxfId="3494" priority="3894" operator="equal">
      <formula>"F"</formula>
    </cfRule>
    <cfRule type="cellIs" dxfId="3493" priority="3896" operator="equal">
      <formula>"F"</formula>
    </cfRule>
    <cfRule type="cellIs" dxfId="3492" priority="3901" operator="equal">
      <formula>"F"</formula>
    </cfRule>
    <cfRule type="cellIs" dxfId="3491" priority="3903" operator="equal">
      <formula>"F"</formula>
    </cfRule>
  </conditionalFormatting>
  <conditionalFormatting sqref="P729:R729">
    <cfRule type="cellIs" dxfId="3490" priority="3842" operator="equal">
      <formula>"F"</formula>
    </cfRule>
    <cfRule type="cellIs" dxfId="3489" priority="3844" operator="equal">
      <formula>"F"</formula>
    </cfRule>
    <cfRule type="cellIs" dxfId="3488" priority="3849" operator="equal">
      <formula>"F"</formula>
    </cfRule>
    <cfRule type="cellIs" dxfId="3487" priority="3851" operator="equal">
      <formula>"F"</formula>
    </cfRule>
  </conditionalFormatting>
  <conditionalFormatting sqref="P852:R852">
    <cfRule type="cellIs" dxfId="3486" priority="3361" operator="equal">
      <formula>"F"</formula>
    </cfRule>
    <cfRule type="cellIs" dxfId="3485" priority="3363" operator="equal">
      <formula>"F"</formula>
    </cfRule>
    <cfRule type="cellIs" dxfId="3484" priority="3368" operator="equal">
      <formula>"F"</formula>
    </cfRule>
    <cfRule type="cellIs" dxfId="3483" priority="3370" operator="equal">
      <formula>"F"</formula>
    </cfRule>
  </conditionalFormatting>
  <conditionalFormatting sqref="P860:R860">
    <cfRule type="cellIs" dxfId="3482" priority="3313" operator="equal">
      <formula>"F"</formula>
    </cfRule>
    <cfRule type="cellIs" dxfId="3481" priority="3318" operator="equal">
      <formula>"F"</formula>
    </cfRule>
    <cfRule type="cellIs" dxfId="3480" priority="3320" operator="equal">
      <formula>"F"</formula>
    </cfRule>
  </conditionalFormatting>
  <conditionalFormatting sqref="P860:R861">
    <cfRule type="cellIs" dxfId="3479" priority="3296" operator="equal">
      <formula>"F"</formula>
    </cfRule>
  </conditionalFormatting>
  <conditionalFormatting sqref="P861:R861">
    <cfRule type="cellIs" dxfId="3478" priority="3289" operator="equal">
      <formula>"F"</formula>
    </cfRule>
    <cfRule type="cellIs" dxfId="3477" priority="3294" operator="equal">
      <formula>"F"</formula>
    </cfRule>
  </conditionalFormatting>
  <conditionalFormatting sqref="P861:R862">
    <cfRule type="cellIs" dxfId="3476" priority="3272" operator="equal">
      <formula>"F"</formula>
    </cfRule>
  </conditionalFormatting>
  <conditionalFormatting sqref="P862:R862">
    <cfRule type="cellIs" dxfId="3475" priority="3263" operator="equal">
      <formula>"F"</formula>
    </cfRule>
    <cfRule type="cellIs" dxfId="3474" priority="3265" operator="equal">
      <formula>"F"</formula>
    </cfRule>
    <cfRule type="cellIs" dxfId="3473" priority="3270" operator="equal">
      <formula>"F"</formula>
    </cfRule>
  </conditionalFormatting>
  <conditionalFormatting sqref="P868:R868">
    <cfRule type="cellIs" dxfId="3472" priority="3209" operator="equal">
      <formula>"F"</formula>
    </cfRule>
    <cfRule type="cellIs" dxfId="3471" priority="3211" operator="equal">
      <formula>"F"</formula>
    </cfRule>
    <cfRule type="cellIs" dxfId="3470" priority="3216" operator="equal">
      <formula>"F"</formula>
    </cfRule>
    <cfRule type="cellIs" dxfId="3469" priority="3218" operator="equal">
      <formula>"F"</formula>
    </cfRule>
  </conditionalFormatting>
  <conditionalFormatting sqref="P905:R905">
    <cfRule type="cellIs" dxfId="3468" priority="3057" operator="equal">
      <formula>"F"</formula>
    </cfRule>
    <cfRule type="cellIs" dxfId="3467" priority="3059" operator="equal">
      <formula>"F"</formula>
    </cfRule>
    <cfRule type="cellIs" dxfId="3466" priority="3064" operator="equal">
      <formula>"F"</formula>
    </cfRule>
    <cfRule type="cellIs" dxfId="3465" priority="3066" operator="equal">
      <formula>"F"</formula>
    </cfRule>
  </conditionalFormatting>
  <conditionalFormatting sqref="P174:P176 P228:R230">
    <cfRule type="cellIs" dxfId="3464" priority="5701" operator="equal">
      <formula>"F"</formula>
    </cfRule>
  </conditionalFormatting>
  <conditionalFormatting sqref="Q3:Q792 Q794:Q1183 Q1194:Q1234">
    <cfRule type="cellIs" dxfId="3463" priority="6181" operator="equal">
      <formula>"F"</formula>
    </cfRule>
  </conditionalFormatting>
  <conditionalFormatting sqref="Q778">
    <cfRule type="cellIs" dxfId="3462" priority="3555" operator="equal">
      <formula>"F"</formula>
    </cfRule>
  </conditionalFormatting>
  <conditionalFormatting sqref="Q811">
    <cfRule type="cellIs" dxfId="3461" priority="3553" operator="equal">
      <formula>"F"</formula>
    </cfRule>
  </conditionalFormatting>
  <conditionalFormatting sqref="Q815">
    <cfRule type="cellIs" dxfId="3460" priority="3542" operator="equal">
      <formula>"F"</formula>
    </cfRule>
  </conditionalFormatting>
  <conditionalFormatting sqref="Q833">
    <cfRule type="cellIs" dxfId="3459" priority="3426" operator="equal">
      <formula>"F"</formula>
    </cfRule>
  </conditionalFormatting>
  <conditionalFormatting sqref="Q209:R209">
    <cfRule type="cellIs" dxfId="3458" priority="5607" operator="equal">
      <formula>"F"</formula>
    </cfRule>
  </conditionalFormatting>
  <conditionalFormatting sqref="Q222:R222">
    <cfRule type="cellIs" dxfId="3457" priority="5569" operator="equal">
      <formula>"F"</formula>
    </cfRule>
  </conditionalFormatting>
  <conditionalFormatting sqref="Q227:R227">
    <cfRule type="cellIs" dxfId="3456" priority="5558" operator="equal">
      <formula>"F"</formula>
    </cfRule>
  </conditionalFormatting>
  <conditionalFormatting sqref="Q249:R249">
    <cfRule type="cellIs" dxfId="3455" priority="5525" operator="equal">
      <formula>"F"</formula>
    </cfRule>
  </conditionalFormatting>
  <conditionalFormatting sqref="Q279:R279">
    <cfRule type="cellIs" dxfId="3454" priority="5456" operator="equal">
      <formula>"F"</formula>
    </cfRule>
  </conditionalFormatting>
  <conditionalFormatting sqref="Q292:R292">
    <cfRule type="cellIs" dxfId="3453" priority="5424" operator="equal">
      <formula>"F"</formula>
    </cfRule>
    <cfRule type="cellIs" dxfId="3452" priority="5433" operator="equal">
      <formula>"F"</formula>
    </cfRule>
  </conditionalFormatting>
  <conditionalFormatting sqref="Q293:R293">
    <cfRule type="cellIs" dxfId="3451" priority="5401" operator="equal">
      <formula>"F"</formula>
    </cfRule>
    <cfRule type="cellIs" dxfId="3450" priority="5406" operator="equal">
      <formula>"F"</formula>
    </cfRule>
  </conditionalFormatting>
  <conditionalFormatting sqref="Q303:R303">
    <cfRule type="cellIs" dxfId="3449" priority="5365" operator="equal">
      <formula>"F"</formula>
    </cfRule>
  </conditionalFormatting>
  <conditionalFormatting sqref="Q303:R304">
    <cfRule type="cellIs" dxfId="3448" priority="5355" operator="equal">
      <formula>"F"</formula>
    </cfRule>
  </conditionalFormatting>
  <conditionalFormatting sqref="Q304:R304">
    <cfRule type="cellIs" dxfId="3447" priority="5350" operator="equal">
      <formula>"F"</formula>
    </cfRule>
  </conditionalFormatting>
  <conditionalFormatting sqref="Q312:R312">
    <cfRule type="cellIs" dxfId="3446" priority="5315" operator="equal">
      <formula>"F"</formula>
    </cfRule>
    <cfRule type="cellIs" dxfId="3445" priority="5320" operator="equal">
      <formula>"F"</formula>
    </cfRule>
  </conditionalFormatting>
  <conditionalFormatting sqref="Q319:R319">
    <cfRule type="cellIs" dxfId="3444" priority="5280" operator="equal">
      <formula>"F"</formula>
    </cfRule>
    <cfRule type="cellIs" dxfId="3443" priority="5285" operator="equal">
      <formula>"F"</formula>
    </cfRule>
  </conditionalFormatting>
  <conditionalFormatting sqref="Q323:R323">
    <cfRule type="cellIs" dxfId="3442" priority="5264" operator="equal">
      <formula>"F"</formula>
    </cfRule>
  </conditionalFormatting>
  <conditionalFormatting sqref="Q323:R324">
    <cfRule type="cellIs" dxfId="3441" priority="5253" operator="equal">
      <formula>"F"</formula>
    </cfRule>
  </conditionalFormatting>
  <conditionalFormatting sqref="Q324:R324">
    <cfRule type="cellIs" dxfId="3440" priority="5248" operator="equal">
      <formula>"F"</formula>
    </cfRule>
  </conditionalFormatting>
  <conditionalFormatting sqref="Q336:R336">
    <cfRule type="cellIs" dxfId="3439" priority="5193" operator="equal">
      <formula>"F"</formula>
    </cfRule>
    <cfRule type="cellIs" dxfId="3438" priority="5198" operator="equal">
      <formula>"F"</formula>
    </cfRule>
  </conditionalFormatting>
  <conditionalFormatting sqref="Q338:R338">
    <cfRule type="cellIs" dxfId="3437" priority="5165" operator="equal">
      <formula>"F"</formula>
    </cfRule>
    <cfRule type="cellIs" dxfId="3436" priority="5170" operator="equal">
      <formula>"F"</formula>
    </cfRule>
  </conditionalFormatting>
  <conditionalFormatting sqref="Q364:R364">
    <cfRule type="cellIs" dxfId="3435" priority="5098" operator="equal">
      <formula>"F"</formula>
    </cfRule>
    <cfRule type="cellIs" dxfId="3434" priority="5101" operator="equal">
      <formula>"F"</formula>
    </cfRule>
  </conditionalFormatting>
  <conditionalFormatting sqref="Q366:R366">
    <cfRule type="cellIs" dxfId="3433" priority="5077" operator="equal">
      <formula>"F"</formula>
    </cfRule>
    <cfRule type="cellIs" dxfId="3432" priority="5082" operator="equal">
      <formula>"F"</formula>
    </cfRule>
  </conditionalFormatting>
  <conditionalFormatting sqref="Q373:R373">
    <cfRule type="cellIs" dxfId="3431" priority="5044" operator="equal">
      <formula>"F"</formula>
    </cfRule>
    <cfRule type="cellIs" dxfId="3430" priority="5047" operator="equal">
      <formula>"F"</formula>
    </cfRule>
  </conditionalFormatting>
  <conditionalFormatting sqref="Q379:R379">
    <cfRule type="cellIs" dxfId="3429" priority="5023" operator="equal">
      <formula>"F"</formula>
    </cfRule>
    <cfRule type="cellIs" dxfId="3428" priority="5028" operator="equal">
      <formula>"F"</formula>
    </cfRule>
  </conditionalFormatting>
  <conditionalFormatting sqref="Q382:R382">
    <cfRule type="cellIs" dxfId="3427" priority="4998" operator="equal">
      <formula>"F"</formula>
    </cfRule>
    <cfRule type="cellIs" dxfId="3426" priority="5001" operator="equal">
      <formula>"F"</formula>
    </cfRule>
  </conditionalFormatting>
  <conditionalFormatting sqref="Q386:R386">
    <cfRule type="cellIs" dxfId="3425" priority="4978" operator="equal">
      <formula>"F"</formula>
    </cfRule>
  </conditionalFormatting>
  <conditionalFormatting sqref="Q386:R387">
    <cfRule type="cellIs" dxfId="3424" priority="4949" operator="equal">
      <formula>"F"</formula>
    </cfRule>
  </conditionalFormatting>
  <conditionalFormatting sqref="Q387:R387">
    <cfRule type="cellIs" dxfId="3423" priority="4946" operator="equal">
      <formula>"F"</formula>
    </cfRule>
  </conditionalFormatting>
  <conditionalFormatting sqref="Q389:R389">
    <cfRule type="cellIs" dxfId="3422" priority="4916" operator="equal">
      <formula>"F"</formula>
    </cfRule>
    <cfRule type="cellIs" dxfId="3421" priority="4919" operator="equal">
      <formula>"F"</formula>
    </cfRule>
  </conditionalFormatting>
  <conditionalFormatting sqref="Q393:R393">
    <cfRule type="cellIs" dxfId="3420" priority="4886" operator="equal">
      <formula>"F"</formula>
    </cfRule>
    <cfRule type="cellIs" dxfId="3419" priority="4889" operator="equal">
      <formula>"F"</formula>
    </cfRule>
  </conditionalFormatting>
  <conditionalFormatting sqref="Q399:R399">
    <cfRule type="cellIs" dxfId="3418" priority="4863" operator="equal">
      <formula>"F"</formula>
    </cfRule>
  </conditionalFormatting>
  <conditionalFormatting sqref="Q399:R400">
    <cfRule type="cellIs" dxfId="3417" priority="4849" operator="equal">
      <formula>"F"</formula>
    </cfRule>
  </conditionalFormatting>
  <conditionalFormatting sqref="Q399:R401">
    <cfRule type="cellIs" dxfId="3416" priority="4739" operator="equal">
      <formula>"F"</formula>
    </cfRule>
    <cfRule type="cellIs" dxfId="3415" priority="4767" operator="equal">
      <formula>"F"</formula>
    </cfRule>
  </conditionalFormatting>
  <conditionalFormatting sqref="Q400:R400">
    <cfRule type="cellIs" dxfId="3414" priority="4736" operator="equal">
      <formula>"F"</formula>
    </cfRule>
  </conditionalFormatting>
  <conditionalFormatting sqref="Q412:R412">
    <cfRule type="cellIs" dxfId="3413" priority="4796" operator="equal">
      <formula>"F"</formula>
    </cfRule>
    <cfRule type="cellIs" dxfId="3412" priority="4799" operator="equal">
      <formula>"F"</formula>
    </cfRule>
  </conditionalFormatting>
  <conditionalFormatting sqref="Q424:R424">
    <cfRule type="cellIs" dxfId="3411" priority="4679" operator="equal">
      <formula>"F"</formula>
    </cfRule>
    <cfRule type="cellIs" dxfId="3410" priority="4682" operator="equal">
      <formula>"F"</formula>
    </cfRule>
    <cfRule type="cellIs" dxfId="3409" priority="4705" operator="equal">
      <formula>"F"</formula>
    </cfRule>
    <cfRule type="cellIs" dxfId="3408" priority="4708" operator="equal">
      <formula>"F"</formula>
    </cfRule>
  </conditionalFormatting>
  <conditionalFormatting sqref="Q427:R427">
    <cfRule type="cellIs" dxfId="3407" priority="4625" operator="equal">
      <formula>"F"</formula>
    </cfRule>
    <cfRule type="cellIs" dxfId="3406" priority="4628" operator="equal">
      <formula>"F"</formula>
    </cfRule>
    <cfRule type="cellIs" dxfId="3405" priority="4651" operator="equal">
      <formula>"F"</formula>
    </cfRule>
    <cfRule type="cellIs" dxfId="3404" priority="4654" operator="equal">
      <formula>"F"</formula>
    </cfRule>
  </conditionalFormatting>
  <conditionalFormatting sqref="Q430:R430">
    <cfRule type="cellIs" dxfId="3403" priority="4571" operator="equal">
      <formula>"F"</formula>
    </cfRule>
    <cfRule type="cellIs" dxfId="3402" priority="4574" operator="equal">
      <formula>"F"</formula>
    </cfRule>
    <cfRule type="cellIs" dxfId="3401" priority="4597" operator="equal">
      <formula>"F"</formula>
    </cfRule>
    <cfRule type="cellIs" dxfId="3400" priority="4600" operator="equal">
      <formula>"F"</formula>
    </cfRule>
  </conditionalFormatting>
  <conditionalFormatting sqref="Q437:R437">
    <cfRule type="cellIs" dxfId="3399" priority="4546" operator="equal">
      <formula>"F"</formula>
    </cfRule>
    <cfRule type="cellIs" dxfId="3398" priority="4551" operator="equal">
      <formula>"F"</formula>
    </cfRule>
  </conditionalFormatting>
  <conditionalFormatting sqref="Q447:R447">
    <cfRule type="cellIs" dxfId="3397" priority="4495" operator="equal">
      <formula>"F"</formula>
    </cfRule>
    <cfRule type="cellIs" dxfId="3396" priority="4498" operator="equal">
      <formula>"F"</formula>
    </cfRule>
    <cfRule type="cellIs" dxfId="3395" priority="4521" operator="equal">
      <formula>"F"</formula>
    </cfRule>
    <cfRule type="cellIs" dxfId="3394" priority="4524" operator="equal">
      <formula>"F"</formula>
    </cfRule>
  </conditionalFormatting>
  <conditionalFormatting sqref="Q457:R457">
    <cfRule type="cellIs" dxfId="3393" priority="4472" operator="equal">
      <formula>"F"</formula>
    </cfRule>
    <cfRule type="cellIs" dxfId="3392" priority="4477" operator="equal">
      <formula>"F"</formula>
    </cfRule>
  </conditionalFormatting>
  <conditionalFormatting sqref="Q464:R464">
    <cfRule type="cellIs" dxfId="3391" priority="4457" operator="equal">
      <formula>"F"</formula>
    </cfRule>
    <cfRule type="cellIs" dxfId="3390" priority="4461" operator="equal">
      <formula>"F"</formula>
    </cfRule>
  </conditionalFormatting>
  <conditionalFormatting sqref="Q471:R471">
    <cfRule type="cellIs" dxfId="3389" priority="4428" operator="equal">
      <formula>"F"</formula>
    </cfRule>
    <cfRule type="cellIs" dxfId="3388" priority="4432" operator="equal">
      <formula>"F"</formula>
    </cfRule>
  </conditionalFormatting>
  <conditionalFormatting sqref="Q490:R490">
    <cfRule type="cellIs" dxfId="3387" priority="4387" operator="equal">
      <formula>"F"</formula>
    </cfRule>
    <cfRule type="cellIs" dxfId="3386" priority="4391" operator="equal">
      <formula>"F"</formula>
    </cfRule>
  </conditionalFormatting>
  <conditionalFormatting sqref="Q497:R497">
    <cfRule type="cellIs" dxfId="3385" priority="4355" operator="equal">
      <formula>"F"</formula>
    </cfRule>
    <cfRule type="cellIs" dxfId="3384" priority="4357" operator="equal">
      <formula>"F"</formula>
    </cfRule>
    <cfRule type="cellIs" dxfId="3383" priority="4365" operator="equal">
      <formula>"F"</formula>
    </cfRule>
    <cfRule type="cellIs" dxfId="3382" priority="4367" operator="equal">
      <formula>"F"</formula>
    </cfRule>
  </conditionalFormatting>
  <conditionalFormatting sqref="Q501:R501">
    <cfRule type="cellIs" dxfId="3381" priority="4331" operator="equal">
      <formula>"F"</formula>
    </cfRule>
    <cfRule type="cellIs" dxfId="3380" priority="4333" operator="equal">
      <formula>"F"</formula>
    </cfRule>
    <cfRule type="cellIs" dxfId="3379" priority="4339" operator="equal">
      <formula>"F"</formula>
    </cfRule>
    <cfRule type="cellIs" dxfId="3378" priority="4341" operator="equal">
      <formula>"F"</formula>
    </cfRule>
  </conditionalFormatting>
  <conditionalFormatting sqref="Q512:R512">
    <cfRule type="cellIs" dxfId="3377" priority="4303" operator="equal">
      <formula>"F"</formula>
    </cfRule>
    <cfRule type="cellIs" dxfId="3376" priority="4309" operator="equal">
      <formula>"F"</formula>
    </cfRule>
    <cfRule type="cellIs" dxfId="3375" priority="4311" operator="equal">
      <formula>"F"</formula>
    </cfRule>
  </conditionalFormatting>
  <conditionalFormatting sqref="Q512:R513">
    <cfRule type="cellIs" dxfId="3374" priority="4294" operator="equal">
      <formula>"F"</formula>
    </cfRule>
  </conditionalFormatting>
  <conditionalFormatting sqref="Q513:R513">
    <cfRule type="cellIs" dxfId="3373" priority="4287" operator="equal">
      <formula>"F"</formula>
    </cfRule>
    <cfRule type="cellIs" dxfId="3372" priority="4289" operator="equal">
      <formula>"F"</formula>
    </cfRule>
    <cfRule type="cellIs" dxfId="3371" priority="4292" operator="equal">
      <formula>"F"</formula>
    </cfRule>
  </conditionalFormatting>
  <conditionalFormatting sqref="Q518:R518">
    <cfRule type="cellIs" dxfId="3370" priority="4278" operator="equal">
      <formula>"F"</formula>
    </cfRule>
    <cfRule type="cellIs" dxfId="3369" priority="4280" operator="equal">
      <formula>"F"</formula>
    </cfRule>
  </conditionalFormatting>
  <conditionalFormatting sqref="Q538:R538">
    <cfRule type="cellIs" dxfId="3368" priority="4228" operator="equal">
      <formula>"F"</formula>
    </cfRule>
    <cfRule type="cellIs" dxfId="3367" priority="4230" operator="equal">
      <formula>"F"</formula>
    </cfRule>
  </conditionalFormatting>
  <conditionalFormatting sqref="Q553:R553">
    <cfRule type="cellIs" dxfId="3366" priority="4219" operator="equal">
      <formula>"F"</formula>
    </cfRule>
    <cfRule type="cellIs" dxfId="3365" priority="4221" operator="equal">
      <formula>"F"</formula>
    </cfRule>
  </conditionalFormatting>
  <conditionalFormatting sqref="Q566:R566">
    <cfRule type="cellIs" dxfId="3364" priority="4204" operator="equal">
      <formula>"F"</formula>
    </cfRule>
    <cfRule type="cellIs" dxfId="3363" priority="4206" operator="equal">
      <formula>"F"</formula>
    </cfRule>
  </conditionalFormatting>
  <conditionalFormatting sqref="Q592:R592">
    <cfRule type="cellIs" dxfId="3362" priority="4184" operator="equal">
      <formula>"F"</formula>
    </cfRule>
    <cfRule type="cellIs" dxfId="3361" priority="4186" operator="equal">
      <formula>"F"</formula>
    </cfRule>
  </conditionalFormatting>
  <conditionalFormatting sqref="Q626:R627">
    <cfRule type="cellIs" dxfId="3360" priority="4137" operator="equal">
      <formula>"F"</formula>
    </cfRule>
  </conditionalFormatting>
  <conditionalFormatting sqref="Q630:R630">
    <cfRule type="cellIs" dxfId="3359" priority="4129" operator="equal">
      <formula>"F"</formula>
    </cfRule>
  </conditionalFormatting>
  <conditionalFormatting sqref="Q632:R634">
    <cfRule type="cellIs" dxfId="3358" priority="4085" operator="equal">
      <formula>"F"</formula>
    </cfRule>
  </conditionalFormatting>
  <conditionalFormatting sqref="Q644:R644">
    <cfRule type="cellIs" dxfId="3357" priority="4067" operator="equal">
      <formula>"F"</formula>
    </cfRule>
    <cfRule type="cellIs" dxfId="3356" priority="4069" operator="equal">
      <formula>"F"</formula>
    </cfRule>
  </conditionalFormatting>
  <conditionalFormatting sqref="Q655:R655">
    <cfRule type="cellIs" dxfId="3355" priority="4052" operator="equal">
      <formula>"F"</formula>
    </cfRule>
    <cfRule type="cellIs" dxfId="3354" priority="4054" operator="equal">
      <formula>"F"</formula>
    </cfRule>
  </conditionalFormatting>
  <conditionalFormatting sqref="Q667:R667">
    <cfRule type="cellIs" dxfId="3353" priority="4039" operator="equal">
      <formula>"F"</formula>
    </cfRule>
  </conditionalFormatting>
  <conditionalFormatting sqref="Q713:R713">
    <cfRule type="cellIs" dxfId="3352" priority="3991" operator="equal">
      <formula>"F"</formula>
    </cfRule>
  </conditionalFormatting>
  <conditionalFormatting sqref="Q725:R725">
    <cfRule type="cellIs" dxfId="3351" priority="3891" operator="equal">
      <formula>"F"</formula>
    </cfRule>
  </conditionalFormatting>
  <conditionalFormatting sqref="Q728:R728">
    <cfRule type="cellIs" dxfId="3350" priority="3877" operator="equal">
      <formula>"F"</formula>
    </cfRule>
  </conditionalFormatting>
  <conditionalFormatting sqref="Q667:S667">
    <cfRule type="cellIs" dxfId="3349" priority="4026" operator="equal">
      <formula>"F"</formula>
    </cfRule>
    <cfRule type="cellIs" dxfId="3348" priority="4028" operator="equal">
      <formula>"F"</formula>
    </cfRule>
  </conditionalFormatting>
  <conditionalFormatting sqref="Q713:S713">
    <cfRule type="cellIs" dxfId="3347" priority="3983" operator="equal">
      <formula>"F"</formula>
    </cfRule>
    <cfRule type="cellIs" dxfId="3346" priority="3985" operator="equal">
      <formula>"F"</formula>
    </cfRule>
  </conditionalFormatting>
  <conditionalFormatting sqref="Q725:S725">
    <cfRule type="cellIs" dxfId="3345" priority="3883" operator="equal">
      <formula>"F"</formula>
    </cfRule>
    <cfRule type="cellIs" dxfId="3344" priority="3885" operator="equal">
      <formula>"F"</formula>
    </cfRule>
  </conditionalFormatting>
  <conditionalFormatting sqref="Q728:S728">
    <cfRule type="cellIs" dxfId="3343" priority="3869" operator="equal">
      <formula>"F"</formula>
    </cfRule>
    <cfRule type="cellIs" dxfId="3342" priority="3871" operator="equal">
      <formula>"F"</formula>
    </cfRule>
  </conditionalFormatting>
  <conditionalFormatting sqref="R537">
    <cfRule type="cellIs" dxfId="3341" priority="4237" operator="equal">
      <formula>"F"</formula>
    </cfRule>
  </conditionalFormatting>
  <conditionalFormatting sqref="R555">
    <cfRule type="cellIs" dxfId="3340" priority="4213" operator="equal">
      <formula>"F"</formula>
    </cfRule>
  </conditionalFormatting>
  <conditionalFormatting sqref="R570">
    <cfRule type="cellIs" dxfId="3339" priority="4192" operator="equal">
      <formula>"F"</formula>
    </cfRule>
  </conditionalFormatting>
  <conditionalFormatting sqref="R620">
    <cfRule type="cellIs" dxfId="3338" priority="4149" operator="equal">
      <formula>"F"</formula>
    </cfRule>
  </conditionalFormatting>
  <conditionalFormatting sqref="R631">
    <cfRule type="cellIs" dxfId="3337" priority="4104" operator="equal">
      <formula>"F"</formula>
    </cfRule>
  </conditionalFormatting>
  <conditionalFormatting sqref="R715:R716">
    <cfRule type="cellIs" dxfId="3336" priority="3956" operator="equal">
      <formula>"F"</formula>
    </cfRule>
  </conditionalFormatting>
  <conditionalFormatting sqref="R724">
    <cfRule type="cellIs" dxfId="3335" priority="3915" operator="equal">
      <formula>"F"</formula>
    </cfRule>
  </conditionalFormatting>
  <conditionalFormatting sqref="R729">
    <cfRule type="cellIs" dxfId="3334" priority="3863" operator="equal">
      <formula>"F"</formula>
    </cfRule>
  </conditionalFormatting>
  <conditionalFormatting sqref="R756:R758">
    <cfRule type="cellIs" dxfId="3333" priority="3828" operator="equal">
      <formula>"F"</formula>
    </cfRule>
  </conditionalFormatting>
  <conditionalFormatting sqref="R763">
    <cfRule type="cellIs" dxfId="3332" priority="3809" operator="equal">
      <formula>"F"</formula>
    </cfRule>
  </conditionalFormatting>
  <conditionalFormatting sqref="R766">
    <cfRule type="cellIs" dxfId="3331" priority="3798" operator="equal">
      <formula>"F"</formula>
    </cfRule>
  </conditionalFormatting>
  <conditionalFormatting sqref="R772">
    <cfRule type="cellIs" dxfId="3330" priority="3787" operator="equal">
      <formula>"F"</formula>
    </cfRule>
  </conditionalFormatting>
  <conditionalFormatting sqref="R775:R777">
    <cfRule type="cellIs" dxfId="3329" priority="3765" operator="equal">
      <formula>"F"</formula>
    </cfRule>
  </conditionalFormatting>
  <conditionalFormatting sqref="R779:R783">
    <cfRule type="cellIs" dxfId="3328" priority="3746" operator="equal">
      <formula>"F"</formula>
    </cfRule>
  </conditionalFormatting>
  <conditionalFormatting sqref="R789:R791">
    <cfRule type="cellIs" dxfId="3327" priority="3695" operator="equal">
      <formula>"F"</formula>
    </cfRule>
  </conditionalFormatting>
  <conditionalFormatting sqref="R793">
    <cfRule type="cellIs" dxfId="3326" priority="3663" operator="equal">
      <formula>"F"</formula>
    </cfRule>
  </conditionalFormatting>
  <conditionalFormatting sqref="R796">
    <cfRule type="cellIs" dxfId="3325" priority="3633" operator="equal">
      <formula>"F"</formula>
    </cfRule>
  </conditionalFormatting>
  <conditionalFormatting sqref="R800:R804">
    <cfRule type="cellIs" dxfId="3324" priority="3622" operator="equal">
      <formula>"F"</formula>
    </cfRule>
  </conditionalFormatting>
  <conditionalFormatting sqref="R852">
    <cfRule type="cellIs" dxfId="3323" priority="3382" operator="equal">
      <formula>"F"</formula>
    </cfRule>
  </conditionalFormatting>
  <conditionalFormatting sqref="R860:R862">
    <cfRule type="cellIs" dxfId="3322" priority="3332" operator="equal">
      <formula>"F"</formula>
    </cfRule>
  </conditionalFormatting>
  <conditionalFormatting sqref="R868">
    <cfRule type="cellIs" dxfId="3321" priority="3228" operator="equal">
      <formula>"F"</formula>
    </cfRule>
  </conditionalFormatting>
  <conditionalFormatting sqref="R905">
    <cfRule type="cellIs" dxfId="3320" priority="3076" operator="equal">
      <formula>"F"</formula>
    </cfRule>
  </conditionalFormatting>
  <conditionalFormatting sqref="S537:T537">
    <cfRule type="cellIs" dxfId="3319" priority="4244" operator="equal">
      <formula>"B"</formula>
    </cfRule>
    <cfRule type="cellIs" dxfId="3318" priority="4245" operator="equal">
      <formula>"S"</formula>
    </cfRule>
  </conditionalFormatting>
  <conditionalFormatting sqref="S620:T620">
    <cfRule type="cellIs" dxfId="3317" priority="4157" operator="equal">
      <formula>"B"</formula>
    </cfRule>
    <cfRule type="cellIs" dxfId="3316" priority="4158" operator="equal">
      <formula>"S"</formula>
    </cfRule>
  </conditionalFormatting>
  <conditionalFormatting sqref="S631:T631">
    <cfRule type="cellIs" dxfId="3315" priority="4111" operator="equal">
      <formula>"B"</formula>
    </cfRule>
    <cfRule type="cellIs" dxfId="3314" priority="4112" operator="equal">
      <formula>"S"</formula>
    </cfRule>
  </conditionalFormatting>
  <conditionalFormatting sqref="S715:T716">
    <cfRule type="cellIs" dxfId="3313" priority="3938" operator="equal">
      <formula>"B"</formula>
    </cfRule>
    <cfRule type="cellIs" dxfId="3312" priority="3939" operator="equal">
      <formula>"S"</formula>
    </cfRule>
  </conditionalFormatting>
  <conditionalFormatting sqref="S724:T724">
    <cfRule type="cellIs" dxfId="3311" priority="3898" operator="equal">
      <formula>"B"</formula>
    </cfRule>
    <cfRule type="cellIs" dxfId="3310" priority="3899" operator="equal">
      <formula>"S"</formula>
    </cfRule>
  </conditionalFormatting>
  <conditionalFormatting sqref="S729:T729">
    <cfRule type="cellIs" dxfId="3309" priority="3846" operator="equal">
      <formula>"B"</formula>
    </cfRule>
    <cfRule type="cellIs" dxfId="3308" priority="3847" operator="equal">
      <formula>"S"</formula>
    </cfRule>
  </conditionalFormatting>
  <conditionalFormatting sqref="S852:T852">
    <cfRule type="cellIs" dxfId="3307" priority="3365" operator="equal">
      <formula>"B"</formula>
    </cfRule>
    <cfRule type="cellIs" dxfId="3306" priority="3366" operator="equal">
      <formula>"S"</formula>
    </cfRule>
  </conditionalFormatting>
  <conditionalFormatting sqref="S860:T862">
    <cfRule type="cellIs" dxfId="3305" priority="3267" operator="equal">
      <formula>"B"</formula>
    </cfRule>
    <cfRule type="cellIs" dxfId="3304" priority="3268" operator="equal">
      <formula>"S"</formula>
    </cfRule>
  </conditionalFormatting>
  <conditionalFormatting sqref="S868:T868">
    <cfRule type="cellIs" dxfId="3303" priority="3213" operator="equal">
      <formula>"B"</formula>
    </cfRule>
    <cfRule type="cellIs" dxfId="3302" priority="3214" operator="equal">
      <formula>"S"</formula>
    </cfRule>
  </conditionalFormatting>
  <conditionalFormatting sqref="S905:T905">
    <cfRule type="cellIs" dxfId="3301" priority="3061" operator="equal">
      <formula>"B"</formula>
    </cfRule>
    <cfRule type="cellIs" dxfId="3300" priority="3062" operator="equal">
      <formula>"S"</formula>
    </cfRule>
  </conditionalFormatting>
  <conditionalFormatting sqref="T181:T182">
    <cfRule type="cellIs" dxfId="3299" priority="5675" operator="equal">
      <formula>"B"</formula>
    </cfRule>
    <cfRule type="cellIs" dxfId="3298" priority="5676" operator="equal">
      <formula>"S"</formula>
    </cfRule>
  </conditionalFormatting>
  <conditionalFormatting sqref="T184:T185">
    <cfRule type="cellIs" dxfId="3297" priority="5664" operator="equal">
      <formula>"B"</formula>
    </cfRule>
    <cfRule type="cellIs" dxfId="3296" priority="5665" operator="equal">
      <formula>"S"</formula>
    </cfRule>
  </conditionalFormatting>
  <conditionalFormatting sqref="T188">
    <cfRule type="cellIs" dxfId="3295" priority="5652" operator="equal">
      <formula>"B"</formula>
    </cfRule>
    <cfRule type="cellIs" dxfId="3294" priority="5653" operator="equal">
      <formula>"S"</formula>
    </cfRule>
  </conditionalFormatting>
  <conditionalFormatting sqref="T194:T195">
    <cfRule type="cellIs" dxfId="3293" priority="5642" operator="equal">
      <formula>"B"</formula>
    </cfRule>
    <cfRule type="cellIs" dxfId="3292" priority="5643" operator="equal">
      <formula>"S"</formula>
    </cfRule>
  </conditionalFormatting>
  <conditionalFormatting sqref="T202:T204">
    <cfRule type="cellIs" dxfId="3291" priority="5628" operator="equal">
      <formula>"B"</formula>
    </cfRule>
    <cfRule type="cellIs" dxfId="3290" priority="5629" operator="equal">
      <formula>"S"</formula>
    </cfRule>
  </conditionalFormatting>
  <conditionalFormatting sqref="T208:T209">
    <cfRule type="cellIs" dxfId="3289" priority="5599" operator="equal">
      <formula>"B"</formula>
    </cfRule>
    <cfRule type="cellIs" dxfId="3288" priority="5600" operator="equal">
      <formula>"S"</formula>
    </cfRule>
  </conditionalFormatting>
  <conditionalFormatting sqref="T213:T214">
    <cfRule type="cellIs" dxfId="3287" priority="5585" operator="equal">
      <formula>"B"</formula>
    </cfRule>
    <cfRule type="cellIs" dxfId="3286" priority="5586" operator="equal">
      <formula>"S"</formula>
    </cfRule>
  </conditionalFormatting>
  <conditionalFormatting sqref="T222">
    <cfRule type="cellIs" dxfId="3285" priority="5564" operator="equal">
      <formula>"B"</formula>
    </cfRule>
    <cfRule type="cellIs" dxfId="3284" priority="5565" operator="equal">
      <formula>"S"</formula>
    </cfRule>
  </conditionalFormatting>
  <conditionalFormatting sqref="T227">
    <cfRule type="cellIs" dxfId="3283" priority="5553" operator="equal">
      <formula>"B"</formula>
    </cfRule>
    <cfRule type="cellIs" dxfId="3282" priority="5554" operator="equal">
      <formula>"S"</formula>
    </cfRule>
  </conditionalFormatting>
  <conditionalFormatting sqref="T236">
    <cfRule type="cellIs" dxfId="3281" priority="5543" operator="equal">
      <formula>"B"</formula>
    </cfRule>
    <cfRule type="cellIs" dxfId="3280" priority="5544" operator="equal">
      <formula>"S"</formula>
    </cfRule>
  </conditionalFormatting>
  <conditionalFormatting sqref="T249">
    <cfRule type="cellIs" dxfId="3279" priority="5520" operator="equal">
      <formula>"B"</formula>
    </cfRule>
    <cfRule type="cellIs" dxfId="3278" priority="5521" operator="equal">
      <formula>"S"</formula>
    </cfRule>
  </conditionalFormatting>
  <conditionalFormatting sqref="T251">
    <cfRule type="cellIs" dxfId="3277" priority="5516" operator="equal">
      <formula>"B"</formula>
    </cfRule>
    <cfRule type="cellIs" dxfId="3276" priority="5517" operator="equal">
      <formula>"S"</formula>
    </cfRule>
  </conditionalFormatting>
  <conditionalFormatting sqref="T265">
    <cfRule type="cellIs" dxfId="3275" priority="5481" operator="equal">
      <formula>"B"</formula>
    </cfRule>
    <cfRule type="cellIs" dxfId="3274" priority="5482" operator="equal">
      <formula>"S"</formula>
    </cfRule>
  </conditionalFormatting>
  <conditionalFormatting sqref="T267">
    <cfRule type="cellIs" dxfId="3273" priority="5476" operator="equal">
      <formula>"B"</formula>
    </cfRule>
    <cfRule type="cellIs" dxfId="3272" priority="5477" operator="equal">
      <formula>"S"</formula>
    </cfRule>
  </conditionalFormatting>
  <conditionalFormatting sqref="T279">
    <cfRule type="cellIs" dxfId="3271" priority="5451" operator="equal">
      <formula>"B"</formula>
    </cfRule>
    <cfRule type="cellIs" dxfId="3270" priority="5452" operator="equal">
      <formula>"S"</formula>
    </cfRule>
  </conditionalFormatting>
  <conditionalFormatting sqref="T281:T282">
    <cfRule type="cellIs" dxfId="3269" priority="5447" operator="equal">
      <formula>"B"</formula>
    </cfRule>
    <cfRule type="cellIs" dxfId="3268" priority="5448" operator="equal">
      <formula>"S"</formula>
    </cfRule>
  </conditionalFormatting>
  <conditionalFormatting sqref="T292:T293">
    <cfRule type="cellIs" dxfId="3267" priority="5419" operator="equal">
      <formula>"B"</formula>
    </cfRule>
    <cfRule type="cellIs" dxfId="3266" priority="5420" operator="equal">
      <formula>"S"</formula>
    </cfRule>
  </conditionalFormatting>
  <conditionalFormatting sqref="T303:T304">
    <cfRule type="cellIs" dxfId="3265" priority="5369" operator="equal">
      <formula>"B"</formula>
    </cfRule>
    <cfRule type="cellIs" dxfId="3264" priority="5370" operator="equal">
      <formula>"S"</formula>
    </cfRule>
  </conditionalFormatting>
  <conditionalFormatting sqref="T312">
    <cfRule type="cellIs" dxfId="3263" priority="5324" operator="equal">
      <formula>"B"</formula>
    </cfRule>
    <cfRule type="cellIs" dxfId="3262" priority="5325" operator="equal">
      <formula>"S"</formula>
    </cfRule>
  </conditionalFormatting>
  <conditionalFormatting sqref="T319">
    <cfRule type="cellIs" dxfId="3261" priority="5289" operator="equal">
      <formula>"B"</formula>
    </cfRule>
    <cfRule type="cellIs" dxfId="3260" priority="5290" operator="equal">
      <formula>"S"</formula>
    </cfRule>
  </conditionalFormatting>
  <conditionalFormatting sqref="T323:T324">
    <cfRule type="cellIs" dxfId="3259" priority="5268" operator="equal">
      <formula>"B"</formula>
    </cfRule>
    <cfRule type="cellIs" dxfId="3258" priority="5269" operator="equal">
      <formula>"S"</formula>
    </cfRule>
  </conditionalFormatting>
  <conditionalFormatting sqref="T336">
    <cfRule type="cellIs" dxfId="3257" priority="5202" operator="equal">
      <formula>"B"</formula>
    </cfRule>
    <cfRule type="cellIs" dxfId="3256" priority="5203" operator="equal">
      <formula>"S"</formula>
    </cfRule>
  </conditionalFormatting>
  <conditionalFormatting sqref="T338">
    <cfRule type="cellIs" dxfId="3255" priority="5174" operator="equal">
      <formula>"B"</formula>
    </cfRule>
    <cfRule type="cellIs" dxfId="3254" priority="5175" operator="equal">
      <formula>"S"</formula>
    </cfRule>
  </conditionalFormatting>
  <conditionalFormatting sqref="T364">
    <cfRule type="cellIs" dxfId="3253" priority="5105" operator="equal">
      <formula>"B"</formula>
    </cfRule>
    <cfRule type="cellIs" dxfId="3252" priority="5106" operator="equal">
      <formula>"S"</formula>
    </cfRule>
  </conditionalFormatting>
  <conditionalFormatting sqref="T366">
    <cfRule type="cellIs" dxfId="3251" priority="5086" operator="equal">
      <formula>"B"</formula>
    </cfRule>
    <cfRule type="cellIs" dxfId="3250" priority="5087" operator="equal">
      <formula>"S"</formula>
    </cfRule>
  </conditionalFormatting>
  <conditionalFormatting sqref="T373">
    <cfRule type="cellIs" dxfId="3249" priority="5051" operator="equal">
      <formula>"B"</formula>
    </cfRule>
    <cfRule type="cellIs" dxfId="3248" priority="5052" operator="equal">
      <formula>"S"</formula>
    </cfRule>
  </conditionalFormatting>
  <conditionalFormatting sqref="T379">
    <cfRule type="cellIs" dxfId="3247" priority="5032" operator="equal">
      <formula>"B"</formula>
    </cfRule>
    <cfRule type="cellIs" dxfId="3246" priority="5033" operator="equal">
      <formula>"S"</formula>
    </cfRule>
  </conditionalFormatting>
  <conditionalFormatting sqref="T382">
    <cfRule type="cellIs" dxfId="3245" priority="5005" operator="equal">
      <formula>"B"</formula>
    </cfRule>
    <cfRule type="cellIs" dxfId="3244" priority="5006" operator="equal">
      <formula>"S"</formula>
    </cfRule>
  </conditionalFormatting>
  <conditionalFormatting sqref="T386:T387">
    <cfRule type="cellIs" dxfId="3243" priority="4953" operator="equal">
      <formula>"B"</formula>
    </cfRule>
    <cfRule type="cellIs" dxfId="3242" priority="4954" operator="equal">
      <formula>"S"</formula>
    </cfRule>
  </conditionalFormatting>
  <conditionalFormatting sqref="T389">
    <cfRule type="cellIs" dxfId="3241" priority="4923" operator="equal">
      <formula>"B"</formula>
    </cfRule>
    <cfRule type="cellIs" dxfId="3240" priority="4924" operator="equal">
      <formula>"S"</formula>
    </cfRule>
  </conditionalFormatting>
  <conditionalFormatting sqref="T393">
    <cfRule type="cellIs" dxfId="3239" priority="4893" operator="equal">
      <formula>"B"</formula>
    </cfRule>
    <cfRule type="cellIs" dxfId="3238" priority="4894" operator="equal">
      <formula>"S"</formula>
    </cfRule>
  </conditionalFormatting>
  <conditionalFormatting sqref="T399:T401">
    <cfRule type="cellIs" dxfId="3237" priority="4743" operator="equal">
      <formula>"B"</formula>
    </cfRule>
    <cfRule type="cellIs" dxfId="3236" priority="4744" operator="equal">
      <formula>"S"</formula>
    </cfRule>
  </conditionalFormatting>
  <conditionalFormatting sqref="T412">
    <cfRule type="cellIs" dxfId="3235" priority="4803" operator="equal">
      <formula>"B"</formula>
    </cfRule>
    <cfRule type="cellIs" dxfId="3234" priority="4804" operator="equal">
      <formula>"S"</formula>
    </cfRule>
  </conditionalFormatting>
  <conditionalFormatting sqref="T424">
    <cfRule type="cellIs" dxfId="3233" priority="4686" operator="equal">
      <formula>"B"</formula>
    </cfRule>
    <cfRule type="cellIs" dxfId="3232" priority="4687" operator="equal">
      <formula>"S"</formula>
    </cfRule>
  </conditionalFormatting>
  <conditionalFormatting sqref="T427">
    <cfRule type="cellIs" dxfId="3231" priority="4632" operator="equal">
      <formula>"B"</formula>
    </cfRule>
    <cfRule type="cellIs" dxfId="3230" priority="4633" operator="equal">
      <formula>"S"</formula>
    </cfRule>
  </conditionalFormatting>
  <conditionalFormatting sqref="T430">
    <cfRule type="cellIs" dxfId="3229" priority="4578" operator="equal">
      <formula>"B"</formula>
    </cfRule>
    <cfRule type="cellIs" dxfId="3228" priority="4579" operator="equal">
      <formula>"S"</formula>
    </cfRule>
  </conditionalFormatting>
  <conditionalFormatting sqref="T437">
    <cfRule type="cellIs" dxfId="3227" priority="4555" operator="equal">
      <formula>"B"</formula>
    </cfRule>
    <cfRule type="cellIs" dxfId="3226" priority="4556" operator="equal">
      <formula>"S"</formula>
    </cfRule>
  </conditionalFormatting>
  <conditionalFormatting sqref="T447">
    <cfRule type="cellIs" dxfId="3225" priority="4502" operator="equal">
      <formula>"B"</formula>
    </cfRule>
    <cfRule type="cellIs" dxfId="3224" priority="4503" operator="equal">
      <formula>"S"</formula>
    </cfRule>
  </conditionalFormatting>
  <conditionalFormatting sqref="T457">
    <cfRule type="cellIs" dxfId="3223" priority="4481" operator="equal">
      <formula>"B"</formula>
    </cfRule>
    <cfRule type="cellIs" dxfId="3222" priority="4482" operator="equal">
      <formula>"S"</formula>
    </cfRule>
  </conditionalFormatting>
  <conditionalFormatting sqref="T464">
    <cfRule type="cellIs" dxfId="3221" priority="4464" operator="equal">
      <formula>"B"</formula>
    </cfRule>
    <cfRule type="cellIs" dxfId="3220" priority="4465" operator="equal">
      <formula>"S"</formula>
    </cfRule>
  </conditionalFormatting>
  <conditionalFormatting sqref="T471">
    <cfRule type="cellIs" dxfId="3219" priority="4435" operator="equal">
      <formula>"B"</formula>
    </cfRule>
    <cfRule type="cellIs" dxfId="3218" priority="4436" operator="equal">
      <formula>"S"</formula>
    </cfRule>
  </conditionalFormatting>
  <conditionalFormatting sqref="T490">
    <cfRule type="cellIs" dxfId="3217" priority="4394" operator="equal">
      <formula>"B"</formula>
    </cfRule>
    <cfRule type="cellIs" dxfId="3216" priority="4395" operator="equal">
      <formula>"S"</formula>
    </cfRule>
  </conditionalFormatting>
  <conditionalFormatting sqref="T497">
    <cfRule type="cellIs" dxfId="3215" priority="4359" operator="equal">
      <formula>"B"</formula>
    </cfRule>
    <cfRule type="cellIs" dxfId="3214" priority="4360" operator="equal">
      <formula>"S"</formula>
    </cfRule>
  </conditionalFormatting>
  <conditionalFormatting sqref="T501">
    <cfRule type="cellIs" dxfId="3213" priority="4335" operator="equal">
      <formula>"B"</formula>
    </cfRule>
    <cfRule type="cellIs" dxfId="3212" priority="4336" operator="equal">
      <formula>"S"</formula>
    </cfRule>
  </conditionalFormatting>
  <conditionalFormatting sqref="T512:T513">
    <cfRule type="cellIs" dxfId="3211" priority="4305" operator="equal">
      <formula>"B"</formula>
    </cfRule>
    <cfRule type="cellIs" dxfId="3210" priority="4306" operator="equal">
      <formula>"S"</formula>
    </cfRule>
  </conditionalFormatting>
  <conditionalFormatting sqref="T518">
    <cfRule type="cellIs" dxfId="3209" priority="4283" operator="equal">
      <formula>"B"</formula>
    </cfRule>
    <cfRule type="cellIs" dxfId="3208" priority="4284" operator="equal">
      <formula>"S"</formula>
    </cfRule>
  </conditionalFormatting>
  <conditionalFormatting sqref="T538">
    <cfRule type="cellIs" dxfId="3207" priority="4233" operator="equal">
      <formula>"B"</formula>
    </cfRule>
    <cfRule type="cellIs" dxfId="3206" priority="4234" operator="equal">
      <formula>"S"</formula>
    </cfRule>
  </conditionalFormatting>
  <conditionalFormatting sqref="T553">
    <cfRule type="cellIs" dxfId="3205" priority="4224" operator="equal">
      <formula>"B"</formula>
    </cfRule>
    <cfRule type="cellIs" dxfId="3204" priority="4225" operator="equal">
      <formula>"S"</formula>
    </cfRule>
  </conditionalFormatting>
  <conditionalFormatting sqref="T555">
    <cfRule type="cellIs" dxfId="3203" priority="4214" operator="equal">
      <formula>"S"</formula>
    </cfRule>
    <cfRule type="cellIs" dxfId="3202" priority="4215" operator="equal">
      <formula>"B"</formula>
    </cfRule>
  </conditionalFormatting>
  <conditionalFormatting sqref="T566">
    <cfRule type="cellIs" dxfId="3201" priority="4209" operator="equal">
      <formula>"B"</formula>
    </cfRule>
    <cfRule type="cellIs" dxfId="3200" priority="4210" operator="equal">
      <formula>"S"</formula>
    </cfRule>
  </conditionalFormatting>
  <conditionalFormatting sqref="T570">
    <cfRule type="cellIs" dxfId="3199" priority="4198" operator="equal">
      <formula>"S"</formula>
    </cfRule>
    <cfRule type="cellIs" dxfId="3198" priority="4199" operator="equal">
      <formula>"B"</formula>
    </cfRule>
  </conditionalFormatting>
  <conditionalFormatting sqref="T592">
    <cfRule type="cellIs" dxfId="3197" priority="4188" operator="equal">
      <formula>"B"</formula>
    </cfRule>
    <cfRule type="cellIs" dxfId="3196" priority="4189" operator="equal">
      <formula>"S"</formula>
    </cfRule>
  </conditionalFormatting>
  <conditionalFormatting sqref="T626:T627">
    <cfRule type="cellIs" dxfId="3195" priority="4138" operator="equal">
      <formula>"S"</formula>
    </cfRule>
    <cfRule type="cellIs" dxfId="3194" priority="4139" operator="equal">
      <formula>"B"</formula>
    </cfRule>
  </conditionalFormatting>
  <conditionalFormatting sqref="T630:T631 U2:X2">
    <cfRule type="cellIs" dxfId="3193" priority="4131" operator="equal">
      <formula>"B"</formula>
    </cfRule>
  </conditionalFormatting>
  <conditionalFormatting sqref="T630:T634">
    <cfRule type="cellIs" dxfId="3192" priority="4090" operator="equal">
      <formula>"S"</formula>
    </cfRule>
  </conditionalFormatting>
  <conditionalFormatting sqref="T632:T634">
    <cfRule type="cellIs" dxfId="3191" priority="4091" operator="equal">
      <formula>"B"</formula>
    </cfRule>
  </conditionalFormatting>
  <conditionalFormatting sqref="T644">
    <cfRule type="cellIs" dxfId="3190" priority="4071" operator="equal">
      <formula>"B"</formula>
    </cfRule>
    <cfRule type="cellIs" dxfId="3189" priority="4072" operator="equal">
      <formula>"S"</formula>
    </cfRule>
  </conditionalFormatting>
  <conditionalFormatting sqref="T655">
    <cfRule type="cellIs" dxfId="3188" priority="4056" operator="equal">
      <formula>"B"</formula>
    </cfRule>
    <cfRule type="cellIs" dxfId="3187" priority="4057" operator="equal">
      <formula>"S"</formula>
    </cfRule>
  </conditionalFormatting>
  <conditionalFormatting sqref="T667">
    <cfRule type="cellIs" dxfId="3186" priority="4021" operator="equal">
      <formula>"S"</formula>
    </cfRule>
    <cfRule type="cellIs" dxfId="3185" priority="4022" operator="equal">
      <formula>"B"</formula>
    </cfRule>
    <cfRule type="cellIs" dxfId="3184" priority="4035" operator="equal">
      <formula>"B"</formula>
    </cfRule>
    <cfRule type="cellIs" dxfId="3183" priority="4036" operator="equal">
      <formula>"S"</formula>
    </cfRule>
  </conditionalFormatting>
  <conditionalFormatting sqref="T713">
    <cfRule type="cellIs" dxfId="3182" priority="3978" operator="equal">
      <formula>"S"</formula>
    </cfRule>
    <cfRule type="cellIs" dxfId="3181" priority="3979" operator="equal">
      <formula>"B"</formula>
    </cfRule>
    <cfRule type="cellIs" dxfId="3180" priority="3987" operator="equal">
      <formula>"B"</formula>
    </cfRule>
    <cfRule type="cellIs" dxfId="3179" priority="3988" operator="equal">
      <formula>"S"</formula>
    </cfRule>
  </conditionalFormatting>
  <conditionalFormatting sqref="T724:T725">
    <cfRule type="cellIs" dxfId="3178" priority="3878" operator="equal">
      <formula>"S"</formula>
    </cfRule>
  </conditionalFormatting>
  <conditionalFormatting sqref="T725">
    <cfRule type="cellIs" dxfId="3177" priority="3879" operator="equal">
      <formula>"B"</formula>
    </cfRule>
    <cfRule type="cellIs" dxfId="3176" priority="3887" operator="equal">
      <formula>"B"</formula>
    </cfRule>
    <cfRule type="cellIs" dxfId="3175" priority="3888" operator="equal">
      <formula>"S"</formula>
    </cfRule>
  </conditionalFormatting>
  <conditionalFormatting sqref="T728">
    <cfRule type="cellIs" dxfId="3174" priority="3873" operator="equal">
      <formula>"B"</formula>
    </cfRule>
    <cfRule type="cellIs" dxfId="3173" priority="3874" operator="equal">
      <formula>"S"</formula>
    </cfRule>
  </conditionalFormatting>
  <conditionalFormatting sqref="T728:T729">
    <cfRule type="cellIs" dxfId="3172" priority="3864" operator="equal">
      <formula>"S"</formula>
    </cfRule>
    <cfRule type="cellIs" dxfId="3171" priority="3865" operator="equal">
      <formula>"B"</formula>
    </cfRule>
  </conditionalFormatting>
  <conditionalFormatting sqref="T819">
    <cfRule type="cellIs" dxfId="3170" priority="3517" operator="equal">
      <formula>"S"</formula>
    </cfRule>
    <cfRule type="cellIs" dxfId="3169" priority="3518" operator="equal">
      <formula>"B"</formula>
    </cfRule>
    <cfRule type="cellIs" dxfId="3168" priority="3526" operator="equal">
      <formula>"B"</formula>
    </cfRule>
    <cfRule type="cellIs" dxfId="3167" priority="3527" operator="equal">
      <formula>"S"</formula>
    </cfRule>
  </conditionalFormatting>
  <conditionalFormatting sqref="U3:U1183 U1194:U1234">
    <cfRule type="containsText" dxfId="3166" priority="2510" operator="containsText" text="S">
      <formula>NOT(ISERROR(SEARCH("S",U3)))</formula>
    </cfRule>
    <cfRule type="containsText" dxfId="3165" priority="2511" operator="containsText" text="B">
      <formula>NOT(ISERROR(SEARCH("B",U3)))</formula>
    </cfRule>
  </conditionalFormatting>
  <conditionalFormatting sqref="U2:X2">
    <cfRule type="cellIs" dxfId="3164" priority="4130" operator="equal">
      <formula>"S"</formula>
    </cfRule>
  </conditionalFormatting>
  <conditionalFormatting sqref="U962:Y963 Y997:Z997 U3:X961 U964:X1183 U1194:X1234">
    <cfRule type="expression" dxfId="3163" priority="2508">
      <formula>$AW3="L"</formula>
    </cfRule>
    <cfRule type="expression" dxfId="3162" priority="2509">
      <formula>$AW3="W"</formula>
    </cfRule>
  </conditionalFormatting>
  <conditionalFormatting sqref="U962:Y963 Y997:Z997 U3:X961 U964:X1183 U1194:X1234">
    <cfRule type="expression" dxfId="3161" priority="2507">
      <formula>$AW3="D"</formula>
    </cfRule>
  </conditionalFormatting>
  <conditionalFormatting sqref="Y140">
    <cfRule type="expression" dxfId="3160" priority="5795">
      <formula>$AW140="D"</formula>
    </cfRule>
  </conditionalFormatting>
  <conditionalFormatting sqref="Y210:Y211">
    <cfRule type="expression" dxfId="3159" priority="5591">
      <formula>$AW210="D"</formula>
    </cfRule>
  </conditionalFormatting>
  <conditionalFormatting sqref="Y234:Y235">
    <cfRule type="expression" dxfId="3158" priority="5548">
      <formula>$AW234="D"</formula>
    </cfRule>
  </conditionalFormatting>
  <conditionalFormatting sqref="Y260">
    <cfRule type="expression" dxfId="3157" priority="5491">
      <formula>$AW260="D"</formula>
    </cfRule>
  </conditionalFormatting>
  <conditionalFormatting sqref="Y315:Y316">
    <cfRule type="cellIs" dxfId="3156" priority="5302" operator="equal">
      <formula>"B"</formula>
    </cfRule>
    <cfRule type="cellIs" dxfId="3155" priority="5303" operator="equal">
      <formula>"S"</formula>
    </cfRule>
  </conditionalFormatting>
  <conditionalFormatting sqref="Y327">
    <cfRule type="cellIs" dxfId="3154" priority="5236" operator="equal">
      <formula>"B"</formula>
    </cfRule>
    <cfRule type="cellIs" dxfId="3153" priority="5237" operator="equal">
      <formula>"S"</formula>
    </cfRule>
  </conditionalFormatting>
  <conditionalFormatting sqref="Y329:Y331">
    <cfRule type="cellIs" dxfId="3152" priority="5231" operator="equal">
      <formula>"B"</formula>
    </cfRule>
    <cfRule type="cellIs" dxfId="3151" priority="5232" operator="equal">
      <formula>"S"</formula>
    </cfRule>
  </conditionalFormatting>
  <conditionalFormatting sqref="Y334:Y335">
    <cfRule type="cellIs" dxfId="3150" priority="5213" operator="equal">
      <formula>"B"</formula>
    </cfRule>
    <cfRule type="cellIs" dxfId="3149" priority="5214" operator="equal">
      <formula>"S"</formula>
    </cfRule>
  </conditionalFormatting>
  <conditionalFormatting sqref="Y337:Y339">
    <cfRule type="cellIs" dxfId="3148" priority="5187" operator="equal">
      <formula>"B"</formula>
    </cfRule>
    <cfRule type="cellIs" dxfId="3147" priority="5188" operator="equal">
      <formula>"S"</formula>
    </cfRule>
  </conditionalFormatting>
  <conditionalFormatting sqref="Y340:Y346">
    <cfRule type="cellIs" dxfId="3146" priority="5149" operator="equal">
      <formula>"B"</formula>
    </cfRule>
    <cfRule type="cellIs" dxfId="3145" priority="5150" operator="equal">
      <formula>"S"</formula>
    </cfRule>
  </conditionalFormatting>
  <conditionalFormatting sqref="Y353">
    <cfRule type="expression" dxfId="3144" priority="5466">
      <formula>$AW353="D"</formula>
    </cfRule>
  </conditionalFormatting>
  <conditionalFormatting sqref="Y364">
    <cfRule type="cellIs" dxfId="3143" priority="5118" operator="equal">
      <formula>"B"</formula>
    </cfRule>
    <cfRule type="cellIs" dxfId="3142" priority="5119" operator="equal">
      <formula>"S"</formula>
    </cfRule>
  </conditionalFormatting>
  <conditionalFormatting sqref="Y373">
    <cfRule type="cellIs" dxfId="3141" priority="5064" operator="equal">
      <formula>"B"</formula>
    </cfRule>
    <cfRule type="cellIs" dxfId="3140" priority="5065" operator="equal">
      <formula>"S"</formula>
    </cfRule>
  </conditionalFormatting>
  <conditionalFormatting sqref="Y382:Y383">
    <cfRule type="cellIs" dxfId="3139" priority="5018" operator="equal">
      <formula>"B"</formula>
    </cfRule>
    <cfRule type="cellIs" dxfId="3138" priority="5019" operator="equal">
      <formula>"S"</formula>
    </cfRule>
  </conditionalFormatting>
  <conditionalFormatting sqref="Y387">
    <cfRule type="expression" dxfId="3137" priority="4787">
      <formula>$AW387="D"</formula>
    </cfRule>
  </conditionalFormatting>
  <conditionalFormatting sqref="Y387:Y388">
    <cfRule type="cellIs" dxfId="3136" priority="4966" operator="equal">
      <formula>"B"</formula>
    </cfRule>
    <cfRule type="cellIs" dxfId="3135" priority="4967" operator="equal">
      <formula>"S"</formula>
    </cfRule>
  </conditionalFormatting>
  <conditionalFormatting sqref="Y388:Y389">
    <cfRule type="cellIs" dxfId="3134" priority="4936" operator="equal">
      <formula>"B"</formula>
    </cfRule>
    <cfRule type="cellIs" dxfId="3133" priority="4937" operator="equal">
      <formula>"S"</formula>
    </cfRule>
  </conditionalFormatting>
  <conditionalFormatting sqref="Y393">
    <cfRule type="cellIs" dxfId="3132" priority="4906" operator="equal">
      <formula>"B"</formula>
    </cfRule>
    <cfRule type="cellIs" dxfId="3131" priority="4907" operator="equal">
      <formula>"S"</formula>
    </cfRule>
  </conditionalFormatting>
  <conditionalFormatting sqref="Y399:Y400">
    <cfRule type="expression" dxfId="3130" priority="4728">
      <formula>$AW399="D"</formula>
    </cfRule>
    <cfRule type="cellIs" dxfId="3129" priority="4756" operator="equal">
      <formula>"B"</formula>
    </cfRule>
    <cfRule type="cellIs" dxfId="3128" priority="4757" operator="equal">
      <formula>"S"</formula>
    </cfRule>
    <cfRule type="cellIs" dxfId="3127" priority="4880" operator="equal">
      <formula>"B"</formula>
    </cfRule>
    <cfRule type="cellIs" dxfId="3126" priority="4881" operator="equal">
      <formula>"S"</formula>
    </cfRule>
  </conditionalFormatting>
  <conditionalFormatting sqref="Y412">
    <cfRule type="cellIs" dxfId="3125" priority="4816" operator="equal">
      <formula>"B"</formula>
    </cfRule>
    <cfRule type="cellIs" dxfId="3124" priority="4817" operator="equal">
      <formula>"S"</formula>
    </cfRule>
  </conditionalFormatting>
  <conditionalFormatting sqref="Y424">
    <cfRule type="expression" dxfId="3123" priority="4674">
      <formula>$AW424="D"</formula>
    </cfRule>
    <cfRule type="cellIs" dxfId="3122" priority="4699" operator="equal">
      <formula>"B"</formula>
    </cfRule>
    <cfRule type="cellIs" dxfId="3121" priority="4700" operator="equal">
      <formula>"S"</formula>
    </cfRule>
    <cfRule type="cellIs" dxfId="3120" priority="4725" operator="equal">
      <formula>"B"</formula>
    </cfRule>
    <cfRule type="cellIs" dxfId="3119" priority="4726" operator="equal">
      <formula>"S"</formula>
    </cfRule>
  </conditionalFormatting>
  <conditionalFormatting sqref="Y427">
    <cfRule type="expression" dxfId="3118" priority="4620">
      <formula>$AW427="D"</formula>
    </cfRule>
    <cfRule type="cellIs" dxfId="3117" priority="4645" operator="equal">
      <formula>"B"</formula>
    </cfRule>
    <cfRule type="cellIs" dxfId="3116" priority="4646" operator="equal">
      <formula>"S"</formula>
    </cfRule>
    <cfRule type="cellIs" dxfId="3115" priority="4671" operator="equal">
      <formula>"B"</formula>
    </cfRule>
    <cfRule type="cellIs" dxfId="3114" priority="4672" operator="equal">
      <formula>"S"</formula>
    </cfRule>
  </conditionalFormatting>
  <conditionalFormatting sqref="Y430">
    <cfRule type="expression" dxfId="3113" priority="4564">
      <formula>$AW430="D"</formula>
    </cfRule>
    <cfRule type="cellIs" dxfId="3112" priority="4591" operator="equal">
      <formula>"B"</formula>
    </cfRule>
    <cfRule type="cellIs" dxfId="3111" priority="4592" operator="equal">
      <formula>"S"</formula>
    </cfRule>
    <cfRule type="cellIs" dxfId="3110" priority="4617" operator="equal">
      <formula>"B"</formula>
    </cfRule>
    <cfRule type="cellIs" dxfId="3109" priority="4618" operator="equal">
      <formula>"S"</formula>
    </cfRule>
  </conditionalFormatting>
  <conditionalFormatting sqref="Y447">
    <cfRule type="expression" dxfId="3108" priority="4490">
      <formula>$AW447="D"</formula>
    </cfRule>
    <cfRule type="cellIs" dxfId="3107" priority="4515" operator="equal">
      <formula>"B"</formula>
    </cfRule>
    <cfRule type="cellIs" dxfId="3106" priority="4516" operator="equal">
      <formula>"S"</formula>
    </cfRule>
    <cfRule type="cellIs" dxfId="3105" priority="4541" operator="equal">
      <formula>"B"</formula>
    </cfRule>
    <cfRule type="cellIs" dxfId="3104" priority="4542" operator="equal">
      <formula>"S"</formula>
    </cfRule>
  </conditionalFormatting>
  <conditionalFormatting sqref="Y469">
    <cfRule type="cellIs" dxfId="3103" priority="4442" operator="equal">
      <formula>"B"</formula>
    </cfRule>
    <cfRule type="cellIs" dxfId="3102" priority="4443" operator="equal">
      <formula>"S"</formula>
    </cfRule>
  </conditionalFormatting>
  <conditionalFormatting sqref="Y475">
    <cfRule type="cellIs" dxfId="3101" priority="4416" operator="equal">
      <formula>"B"</formula>
    </cfRule>
    <cfRule type="cellIs" dxfId="3100" priority="4417" operator="equal">
      <formula>"S"</formula>
    </cfRule>
  </conditionalFormatting>
  <conditionalFormatting sqref="Y497:Y501">
    <cfRule type="expression" dxfId="3099" priority="4353">
      <formula>$AW497="D"</formula>
    </cfRule>
    <cfRule type="cellIs" dxfId="3098" priority="4361" operator="equal">
      <formula>"B"</formula>
    </cfRule>
    <cfRule type="cellIs" dxfId="3097" priority="4362" operator="equal">
      <formula>"S"</formula>
    </cfRule>
    <cfRule type="cellIs" dxfId="3096" priority="4372" operator="equal">
      <formula>"B"</formula>
    </cfRule>
    <cfRule type="cellIs" dxfId="3095" priority="4373" operator="equal">
      <formula>"S"</formula>
    </cfRule>
  </conditionalFormatting>
  <conditionalFormatting sqref="Y512:Y513">
    <cfRule type="expression" dxfId="3094" priority="4316">
      <formula>$AW512="D"</formula>
    </cfRule>
    <cfRule type="cellIs" dxfId="3093" priority="4317" operator="equal">
      <formula>"B"</formula>
    </cfRule>
    <cfRule type="cellIs" dxfId="3092" priority="4318" operator="equal">
      <formula>"S"</formula>
    </cfRule>
    <cfRule type="expression" dxfId="3091" priority="4324">
      <formula>$AW512="D"</formula>
    </cfRule>
    <cfRule type="cellIs" dxfId="3090" priority="4325" operator="equal">
      <formula>"B"</formula>
    </cfRule>
    <cfRule type="cellIs" dxfId="3089" priority="4326" operator="equal">
      <formula>"S"</formula>
    </cfRule>
  </conditionalFormatting>
  <conditionalFormatting sqref="Y536:Y537 Y723:Y734">
    <cfRule type="cellIs" dxfId="3088" priority="4264" operator="equal">
      <formula>"B"</formula>
    </cfRule>
    <cfRule type="cellIs" dxfId="3087" priority="4265" operator="equal">
      <formula>"S"</formula>
    </cfRule>
  </conditionalFormatting>
  <conditionalFormatting sqref="Y537 Y723:Y734">
    <cfRule type="expression" dxfId="3086" priority="4255">
      <formula>$AW537="D"</formula>
    </cfRule>
    <cfRule type="cellIs" dxfId="3085" priority="4256" operator="equal">
      <formula>"B"</formula>
    </cfRule>
    <cfRule type="cellIs" dxfId="3084" priority="4257" operator="equal">
      <formula>"S"</formula>
    </cfRule>
    <cfRule type="expression" dxfId="3083" priority="4263">
      <formula>$AW537="D"</formula>
    </cfRule>
  </conditionalFormatting>
  <conditionalFormatting sqref="Y537">
    <cfRule type="cellIs" dxfId="3082" priority="4235" operator="equal">
      <formula>"S"</formula>
    </cfRule>
    <cfRule type="cellIs" dxfId="3081" priority="4236" operator="equal">
      <formula>"B"</formula>
    </cfRule>
  </conditionalFormatting>
  <conditionalFormatting sqref="Y544">
    <cfRule type="expression" dxfId="3080" priority="5123">
      <formula>$AW544="D"</formula>
    </cfRule>
  </conditionalFormatting>
  <conditionalFormatting sqref="Y555">
    <cfRule type="cellIs" dxfId="3079" priority="4211" operator="equal">
      <formula>"S"</formula>
    </cfRule>
    <cfRule type="cellIs" dxfId="3078" priority="4212" operator="equal">
      <formula>"B"</formula>
    </cfRule>
  </conditionalFormatting>
  <conditionalFormatting sqref="Y570">
    <cfRule type="cellIs" dxfId="3077" priority="4190" operator="equal">
      <formula>"S"</formula>
    </cfRule>
    <cfRule type="cellIs" dxfId="3076" priority="4191" operator="equal">
      <formula>"B"</formula>
    </cfRule>
  </conditionalFormatting>
  <conditionalFormatting sqref="Y620">
    <cfRule type="cellIs" dxfId="3075" priority="4147" operator="equal">
      <formula>"S"</formula>
    </cfRule>
    <cfRule type="cellIs" dxfId="3074" priority="4148" operator="equal">
      <formula>"B"</formula>
    </cfRule>
    <cfRule type="expression" dxfId="3073" priority="4164">
      <formula>$AW620="D"</formula>
    </cfRule>
    <cfRule type="cellIs" dxfId="3072" priority="4166" operator="equal">
      <formula>"B"</formula>
    </cfRule>
    <cfRule type="cellIs" dxfId="3071" priority="4167" operator="equal">
      <formula>"S"</formula>
    </cfRule>
    <cfRule type="expression" dxfId="3070" priority="4169">
      <formula>$AW620="D"</formula>
    </cfRule>
    <cfRule type="cellIs" dxfId="3069" priority="4170" operator="equal">
      <formula>"B"</formula>
    </cfRule>
    <cfRule type="cellIs" dxfId="3068" priority="4171" operator="equal">
      <formula>"S"</formula>
    </cfRule>
  </conditionalFormatting>
  <conditionalFormatting sqref="Y626:Y629">
    <cfRule type="cellIs" dxfId="3067" priority="4135" operator="equal">
      <formula>"S"</formula>
    </cfRule>
    <cfRule type="cellIs" dxfId="3066" priority="4136" operator="equal">
      <formula>"B"</formula>
    </cfRule>
  </conditionalFormatting>
  <conditionalFormatting sqref="Y630">
    <cfRule type="cellIs" dxfId="3065" priority="4127" operator="equal">
      <formula>"S"</formula>
    </cfRule>
    <cfRule type="cellIs" dxfId="3064" priority="4128" operator="equal">
      <formula>"B"</formula>
    </cfRule>
  </conditionalFormatting>
  <conditionalFormatting sqref="Y631">
    <cfRule type="expression" dxfId="3063" priority="4118">
      <formula>$AW631="D"</formula>
    </cfRule>
    <cfRule type="cellIs" dxfId="3062" priority="4119" operator="equal">
      <formula>"B"</formula>
    </cfRule>
    <cfRule type="cellIs" dxfId="3061" priority="4120" operator="equal">
      <formula>"S"</formula>
    </cfRule>
    <cfRule type="expression" dxfId="3060" priority="4122">
      <formula>$AW631="D"</formula>
    </cfRule>
    <cfRule type="cellIs" dxfId="3059" priority="4123" operator="equal">
      <formula>"B"</formula>
    </cfRule>
    <cfRule type="cellIs" dxfId="3058" priority="4124" operator="equal">
      <formula>"S"</formula>
    </cfRule>
  </conditionalFormatting>
  <conditionalFormatting sqref="Y631:Y633">
    <cfRule type="cellIs" dxfId="3057" priority="4087" operator="equal">
      <formula>"S"</formula>
    </cfRule>
    <cfRule type="cellIs" dxfId="3056" priority="4088" operator="equal">
      <formula>"B"</formula>
    </cfRule>
  </conditionalFormatting>
  <conditionalFormatting sqref="Y634:Y643">
    <cfRule type="cellIs" dxfId="3055" priority="4083" operator="equal">
      <formula>"S"</formula>
    </cfRule>
    <cfRule type="cellIs" dxfId="3054" priority="4084" operator="equal">
      <formula>"B"</formula>
    </cfRule>
  </conditionalFormatting>
  <conditionalFormatting sqref="Y667">
    <cfRule type="cellIs" dxfId="3053" priority="4037" operator="equal">
      <formula>"S"</formula>
    </cfRule>
    <cfRule type="cellIs" dxfId="3052" priority="4038" operator="equal">
      <formula>"B"</formula>
    </cfRule>
  </conditionalFormatting>
  <conditionalFormatting sqref="Y713">
    <cfRule type="cellIs" dxfId="3051" priority="3989" operator="equal">
      <formula>"S"</formula>
    </cfRule>
    <cfRule type="cellIs" dxfId="3050" priority="3990" operator="equal">
      <formula>"B"</formula>
    </cfRule>
  </conditionalFormatting>
  <conditionalFormatting sqref="Y715">
    <cfRule type="expression" dxfId="3049" priority="3969">
      <formula>$AW715="D"</formula>
    </cfRule>
    <cfRule type="cellIs" dxfId="3048" priority="3970" operator="equal">
      <formula>"B"</formula>
    </cfRule>
    <cfRule type="cellIs" dxfId="3047" priority="3971" operator="equal">
      <formula>"S"</formula>
    </cfRule>
    <cfRule type="expression" dxfId="3046" priority="3973">
      <formula>$AW715="D"</formula>
    </cfRule>
    <cfRule type="cellIs" dxfId="3045" priority="3974" operator="equal">
      <formula>"B"</formula>
    </cfRule>
    <cfRule type="cellIs" dxfId="3044" priority="3975" operator="equal">
      <formula>"S"</formula>
    </cfRule>
  </conditionalFormatting>
  <conditionalFormatting sqref="Y715:Y719">
    <cfRule type="cellIs" dxfId="3043" priority="3954" operator="equal">
      <formula>"S"</formula>
    </cfRule>
    <cfRule type="cellIs" dxfId="3042" priority="3955" operator="equal">
      <formula>"B"</formula>
    </cfRule>
  </conditionalFormatting>
  <conditionalFormatting sqref="Y716:Y719">
    <cfRule type="expression" dxfId="3041" priority="3945">
      <formula>$AW716="D"</formula>
    </cfRule>
    <cfRule type="cellIs" dxfId="3040" priority="3946" operator="equal">
      <formula>"B"</formula>
    </cfRule>
    <cfRule type="cellIs" dxfId="3039" priority="3947" operator="equal">
      <formula>"S"</formula>
    </cfRule>
    <cfRule type="expression" dxfId="3038" priority="3949">
      <formula>$AW716="D"</formula>
    </cfRule>
    <cfRule type="cellIs" dxfId="3037" priority="3950" operator="equal">
      <formula>"B"</formula>
    </cfRule>
    <cfRule type="cellIs" dxfId="3036" priority="3951" operator="equal">
      <formula>"S"</formula>
    </cfRule>
  </conditionalFormatting>
  <conditionalFormatting sqref="Y723:Y734 T537 T620 T715:T716 T724 Y756:Y761 Y763 Y766 T756:T758 T763 T766">
    <cfRule type="cellIs" dxfId="3035" priority="4269" operator="equal">
      <formula>"B"</formula>
    </cfRule>
  </conditionalFormatting>
  <conditionalFormatting sqref="Y723:Y734 Y756:Y761 Y763 Y766 T537 T620 T715:T716 T756:T758 T763 T766">
    <cfRule type="cellIs" dxfId="3034" priority="4268" operator="equal">
      <formula>"S"</formula>
    </cfRule>
  </conditionalFormatting>
  <conditionalFormatting sqref="Y724">
    <cfRule type="expression" dxfId="3033" priority="3905">
      <formula>$AW724="D"</formula>
    </cfRule>
    <cfRule type="cellIs" dxfId="3032" priority="3906" operator="equal">
      <formula>"B"</formula>
    </cfRule>
    <cfRule type="cellIs" dxfId="3031" priority="3907" operator="equal">
      <formula>"S"</formula>
    </cfRule>
    <cfRule type="expression" dxfId="3030" priority="3909">
      <formula>$AW724="D"</formula>
    </cfRule>
    <cfRule type="cellIs" dxfId="3029" priority="3910" operator="equal">
      <formula>"B"</formula>
    </cfRule>
    <cfRule type="cellIs" dxfId="3028" priority="3911" operator="equal">
      <formula>"S"</formula>
    </cfRule>
    <cfRule type="cellIs" dxfId="3027" priority="3913" operator="equal">
      <formula>"S"</formula>
    </cfRule>
    <cfRule type="cellIs" dxfId="3026" priority="3914" operator="equal">
      <formula>"B"</formula>
    </cfRule>
  </conditionalFormatting>
  <conditionalFormatting sqref="Y725">
    <cfRule type="cellIs" dxfId="3025" priority="3889" operator="equal">
      <formula>"S"</formula>
    </cfRule>
    <cfRule type="cellIs" dxfId="3024" priority="3890" operator="equal">
      <formula>"B"</formula>
    </cfRule>
  </conditionalFormatting>
  <conditionalFormatting sqref="Y728:Y731">
    <cfRule type="cellIs" dxfId="3023" priority="3861" operator="equal">
      <formula>"S"</formula>
    </cfRule>
    <cfRule type="cellIs" dxfId="3022" priority="3862" operator="equal">
      <formula>"B"</formula>
    </cfRule>
  </conditionalFormatting>
  <conditionalFormatting sqref="Y729:Y731">
    <cfRule type="expression" dxfId="3021" priority="3853">
      <formula>$AW729="D"</formula>
    </cfRule>
    <cfRule type="cellIs" dxfId="3020" priority="3854" operator="equal">
      <formula>"B"</formula>
    </cfRule>
    <cfRule type="cellIs" dxfId="3019" priority="3855" operator="equal">
      <formula>"S"</formula>
    </cfRule>
    <cfRule type="expression" dxfId="3018" priority="3857">
      <formula>$AW729="D"</formula>
    </cfRule>
    <cfRule type="cellIs" dxfId="3017" priority="3858" operator="equal">
      <formula>"B"</formula>
    </cfRule>
    <cfRule type="cellIs" dxfId="3016" priority="3859" operator="equal">
      <formula>"S"</formula>
    </cfRule>
  </conditionalFormatting>
  <conditionalFormatting sqref="Y739">
    <cfRule type="expression" dxfId="3015" priority="4043">
      <formula>$AW739="D"</formula>
    </cfRule>
  </conditionalFormatting>
  <conditionalFormatting sqref="Y756">
    <cfRule type="expression" dxfId="3014" priority="3832">
      <formula>$AW756="D"</formula>
    </cfRule>
    <cfRule type="cellIs" dxfId="3013" priority="3833" operator="equal">
      <formula>"B"</formula>
    </cfRule>
    <cfRule type="cellIs" dxfId="3012" priority="3834" operator="equal">
      <formula>"S"</formula>
    </cfRule>
  </conditionalFormatting>
  <conditionalFormatting sqref="Y756:Y757">
    <cfRule type="expression" dxfId="3011" priority="3822">
      <formula>$AW756="D"</formula>
    </cfRule>
    <cfRule type="cellIs" dxfId="3010" priority="3823" operator="equal">
      <formula>"B"</formula>
    </cfRule>
    <cfRule type="cellIs" dxfId="3009" priority="3824" operator="equal">
      <formula>"S"</formula>
    </cfRule>
  </conditionalFormatting>
  <conditionalFormatting sqref="Y757:Y761">
    <cfRule type="expression" dxfId="3008" priority="3813">
      <formula>$AW757="D"</formula>
    </cfRule>
    <cfRule type="cellIs" dxfId="3007" priority="3814" operator="equal">
      <formula>"B"</formula>
    </cfRule>
    <cfRule type="cellIs" dxfId="3006" priority="3815" operator="equal">
      <formula>"S"</formula>
    </cfRule>
  </conditionalFormatting>
  <conditionalFormatting sqref="Y758:Y761">
    <cfRule type="expression" dxfId="3005" priority="3810">
      <formula>$AW758="D"</formula>
    </cfRule>
    <cfRule type="cellIs" dxfId="3004" priority="3811" operator="equal">
      <formula>"B"</formula>
    </cfRule>
    <cfRule type="cellIs" dxfId="3003" priority="3812" operator="equal">
      <formula>"S"</formula>
    </cfRule>
  </conditionalFormatting>
  <conditionalFormatting sqref="Y763">
    <cfRule type="expression" dxfId="3002" priority="3801">
      <formula>$AW763="D"</formula>
    </cfRule>
    <cfRule type="cellIs" dxfId="3001" priority="3802" operator="equal">
      <formula>"B"</formula>
    </cfRule>
    <cfRule type="cellIs" dxfId="3000" priority="3803" operator="equal">
      <formula>"S"</formula>
    </cfRule>
    <cfRule type="expression" dxfId="2999" priority="3804">
      <formula>$AW763="D"</formula>
    </cfRule>
    <cfRule type="cellIs" dxfId="2998" priority="3805" operator="equal">
      <formula>"B"</formula>
    </cfRule>
    <cfRule type="cellIs" dxfId="2997" priority="3806" operator="equal">
      <formula>"S"</formula>
    </cfRule>
  </conditionalFormatting>
  <conditionalFormatting sqref="Y766">
    <cfRule type="expression" dxfId="2996" priority="3790">
      <formula>$AW766="D"</formula>
    </cfRule>
    <cfRule type="cellIs" dxfId="2995" priority="3791" operator="equal">
      <formula>"B"</formula>
    </cfRule>
    <cfRule type="cellIs" dxfId="2994" priority="3792" operator="equal">
      <formula>"S"</formula>
    </cfRule>
    <cfRule type="expression" dxfId="2993" priority="3793">
      <formula>$AW766="D"</formula>
    </cfRule>
    <cfRule type="cellIs" dxfId="2992" priority="3794" operator="equal">
      <formula>"B"</formula>
    </cfRule>
    <cfRule type="cellIs" dxfId="2991" priority="3795" operator="equal">
      <formula>"S"</formula>
    </cfRule>
  </conditionalFormatting>
  <conditionalFormatting sqref="Y772:Y775 T772">
    <cfRule type="cellIs" dxfId="2990" priority="3788" operator="equal">
      <formula>"S"</formula>
    </cfRule>
    <cfRule type="cellIs" dxfId="2989" priority="3789" operator="equal">
      <formula>"B"</formula>
    </cfRule>
  </conditionalFormatting>
  <conditionalFormatting sqref="Y772:Y775">
    <cfRule type="expression" dxfId="2988" priority="3779">
      <formula>$AW772="D"</formula>
    </cfRule>
    <cfRule type="cellIs" dxfId="2987" priority="3780" operator="equal">
      <formula>"B"</formula>
    </cfRule>
    <cfRule type="cellIs" dxfId="2986" priority="3781" operator="equal">
      <formula>"S"</formula>
    </cfRule>
    <cfRule type="expression" dxfId="2985" priority="3782">
      <formula>$AW772="D"</formula>
    </cfRule>
    <cfRule type="cellIs" dxfId="2984" priority="3783" operator="equal">
      <formula>"B"</formula>
    </cfRule>
    <cfRule type="cellIs" dxfId="2983" priority="3784" operator="equal">
      <formula>"S"</formula>
    </cfRule>
  </conditionalFormatting>
  <conditionalFormatting sqref="Y775">
    <cfRule type="expression" dxfId="2982" priority="3771">
      <formula>$AW775="D"</formula>
    </cfRule>
    <cfRule type="cellIs" dxfId="2981" priority="3772" operator="equal">
      <formula>"B"</formula>
    </cfRule>
    <cfRule type="cellIs" dxfId="2980" priority="3773" operator="equal">
      <formula>"S"</formula>
    </cfRule>
    <cfRule type="cellIs" dxfId="2979" priority="3777" operator="equal">
      <formula>"S"</formula>
    </cfRule>
    <cfRule type="cellIs" dxfId="2978" priority="3778" operator="equal">
      <formula>"B"</formula>
    </cfRule>
  </conditionalFormatting>
  <conditionalFormatting sqref="Y775:Y776">
    <cfRule type="expression" dxfId="2977" priority="3760">
      <formula>$AW775="D"</formula>
    </cfRule>
    <cfRule type="cellIs" dxfId="2976" priority="3761" operator="equal">
      <formula>"B"</formula>
    </cfRule>
    <cfRule type="cellIs" dxfId="2975" priority="3762" operator="equal">
      <formula>"S"</formula>
    </cfRule>
  </conditionalFormatting>
  <conditionalFormatting sqref="Y776">
    <cfRule type="cellIs" dxfId="2974" priority="3766" operator="equal">
      <formula>"S"</formula>
    </cfRule>
    <cfRule type="cellIs" dxfId="2973" priority="3767" operator="equal">
      <formula>"B"</formula>
    </cfRule>
  </conditionalFormatting>
  <conditionalFormatting sqref="Y776:Y778">
    <cfRule type="expression" dxfId="2972" priority="3750">
      <formula>$AW776="D"</formula>
    </cfRule>
    <cfRule type="cellIs" dxfId="2971" priority="3751" operator="equal">
      <formula>"B"</formula>
    </cfRule>
    <cfRule type="cellIs" dxfId="2970" priority="3752" operator="equal">
      <formula>"S"</formula>
    </cfRule>
  </conditionalFormatting>
  <conditionalFormatting sqref="Y777:Y778 T775:T777">
    <cfRule type="cellIs" dxfId="2969" priority="3755" operator="equal">
      <formula>"S"</formula>
    </cfRule>
    <cfRule type="cellIs" dxfId="2968" priority="3756" operator="equal">
      <formula>"B"</formula>
    </cfRule>
  </conditionalFormatting>
  <conditionalFormatting sqref="Y777:Y779">
    <cfRule type="expression" dxfId="2967" priority="3739">
      <formula>$AW777="D"</formula>
    </cfRule>
    <cfRule type="cellIs" dxfId="2966" priority="3740" operator="equal">
      <formula>"B"</formula>
    </cfRule>
    <cfRule type="cellIs" dxfId="2965" priority="3741" operator="equal">
      <formula>"S"</formula>
    </cfRule>
  </conditionalFormatting>
  <conditionalFormatting sqref="Y779">
    <cfRule type="cellIs" dxfId="2964" priority="3744" operator="equal">
      <formula>"S"</formula>
    </cfRule>
    <cfRule type="cellIs" dxfId="2963" priority="3745" operator="equal">
      <formula>"B"</formula>
    </cfRule>
  </conditionalFormatting>
  <conditionalFormatting sqref="Y779:Y780">
    <cfRule type="expression" dxfId="2962" priority="3729">
      <formula>$AW779="D"</formula>
    </cfRule>
    <cfRule type="cellIs" dxfId="2961" priority="3730" operator="equal">
      <formula>"B"</formula>
    </cfRule>
    <cfRule type="cellIs" dxfId="2960" priority="3731" operator="equal">
      <formula>"S"</formula>
    </cfRule>
  </conditionalFormatting>
  <conditionalFormatting sqref="Y780">
    <cfRule type="cellIs" dxfId="2959" priority="3734" operator="equal">
      <formula>"S"</formula>
    </cfRule>
    <cfRule type="cellIs" dxfId="2958" priority="3735" operator="equal">
      <formula>"B"</formula>
    </cfRule>
  </conditionalFormatting>
  <conditionalFormatting sqref="Y780:Y781">
    <cfRule type="expression" dxfId="2957" priority="3719">
      <formula>$AW780="D"</formula>
    </cfRule>
    <cfRule type="cellIs" dxfId="2956" priority="3720" operator="equal">
      <formula>"B"</formula>
    </cfRule>
    <cfRule type="cellIs" dxfId="2955" priority="3721" operator="equal">
      <formula>"S"</formula>
    </cfRule>
  </conditionalFormatting>
  <conditionalFormatting sqref="Y781">
    <cfRule type="cellIs" dxfId="2954" priority="3724" operator="equal">
      <formula>"S"</formula>
    </cfRule>
    <cfRule type="cellIs" dxfId="2953" priority="3725" operator="equal">
      <formula>"B"</formula>
    </cfRule>
  </conditionalFormatting>
  <conditionalFormatting sqref="Y781:Y782">
    <cfRule type="expression" dxfId="2952" priority="3709">
      <formula>$AW781="D"</formula>
    </cfRule>
    <cfRule type="cellIs" dxfId="2951" priority="3710" operator="equal">
      <formula>"B"</formula>
    </cfRule>
    <cfRule type="cellIs" dxfId="2950" priority="3711" operator="equal">
      <formula>"S"</formula>
    </cfRule>
  </conditionalFormatting>
  <conditionalFormatting sqref="Y782">
    <cfRule type="cellIs" dxfId="2949" priority="3714" operator="equal">
      <formula>"S"</formula>
    </cfRule>
    <cfRule type="cellIs" dxfId="2948" priority="3715" operator="equal">
      <formula>"B"</formula>
    </cfRule>
  </conditionalFormatting>
  <conditionalFormatting sqref="Y782:Y783">
    <cfRule type="expression" dxfId="2947" priority="3699">
      <formula>$AW782="D"</formula>
    </cfRule>
    <cfRule type="cellIs" dxfId="2946" priority="3700" operator="equal">
      <formula>"B"</formula>
    </cfRule>
    <cfRule type="cellIs" dxfId="2945" priority="3701" operator="equal">
      <formula>"S"</formula>
    </cfRule>
  </conditionalFormatting>
  <conditionalFormatting sqref="Y783 T779:T783">
    <cfRule type="cellIs" dxfId="2944" priority="3704" operator="equal">
      <formula>"S"</formula>
    </cfRule>
    <cfRule type="cellIs" dxfId="2943" priority="3705" operator="equal">
      <formula>"B"</formula>
    </cfRule>
  </conditionalFormatting>
  <conditionalFormatting sqref="Y783">
    <cfRule type="expression" dxfId="2942" priority="3696">
      <formula>$AW783="D"</formula>
    </cfRule>
    <cfRule type="cellIs" dxfId="2941" priority="3697" operator="equal">
      <formula>"B"</formula>
    </cfRule>
    <cfRule type="cellIs" dxfId="2940" priority="3698" operator="equal">
      <formula>"S"</formula>
    </cfRule>
  </conditionalFormatting>
  <conditionalFormatting sqref="Y789">
    <cfRule type="expression" dxfId="2939" priority="3687">
      <formula>$AW789="D"</formula>
    </cfRule>
    <cfRule type="cellIs" dxfId="2938" priority="3688" operator="equal">
      <formula>"B"</formula>
    </cfRule>
    <cfRule type="cellIs" dxfId="2937" priority="3689" operator="equal">
      <formula>"S"</formula>
    </cfRule>
    <cfRule type="cellIs" dxfId="2936" priority="3692" operator="equal">
      <formula>"S"</formula>
    </cfRule>
    <cfRule type="cellIs" dxfId="2935" priority="3694" operator="equal">
      <formula>"B"</formula>
    </cfRule>
  </conditionalFormatting>
  <conditionalFormatting sqref="Y789:Y790">
    <cfRule type="expression" dxfId="2934" priority="3677">
      <formula>$AW789="D"</formula>
    </cfRule>
    <cfRule type="cellIs" dxfId="2933" priority="3678" operator="equal">
      <formula>"B"</formula>
    </cfRule>
    <cfRule type="cellIs" dxfId="2932" priority="3679" operator="equal">
      <formula>"S"</formula>
    </cfRule>
  </conditionalFormatting>
  <conditionalFormatting sqref="Y790">
    <cfRule type="cellIs" dxfId="2931" priority="3682" operator="equal">
      <formula>"S"</formula>
    </cfRule>
    <cfRule type="cellIs" dxfId="2930" priority="3683" operator="equal">
      <formula>"B"</formula>
    </cfRule>
  </conditionalFormatting>
  <conditionalFormatting sqref="Y790:Y791">
    <cfRule type="expression" dxfId="2929" priority="3667">
      <formula>$AW790="D"</formula>
    </cfRule>
    <cfRule type="cellIs" dxfId="2928" priority="3668" operator="equal">
      <formula>"B"</formula>
    </cfRule>
    <cfRule type="cellIs" dxfId="2927" priority="3669" operator="equal">
      <formula>"S"</formula>
    </cfRule>
  </conditionalFormatting>
  <conditionalFormatting sqref="Y791 T789:T791">
    <cfRule type="cellIs" dxfId="2926" priority="3672" operator="equal">
      <formula>"S"</formula>
    </cfRule>
    <cfRule type="cellIs" dxfId="2925" priority="3673" operator="equal">
      <formula>"B"</formula>
    </cfRule>
  </conditionalFormatting>
  <conditionalFormatting sqref="Y791">
    <cfRule type="expression" dxfId="2924" priority="3664">
      <formula>$AW791="D"</formula>
    </cfRule>
    <cfRule type="cellIs" dxfId="2923" priority="3665" operator="equal">
      <formula>"B"</formula>
    </cfRule>
    <cfRule type="cellIs" dxfId="2922" priority="3666" operator="equal">
      <formula>"S"</formula>
    </cfRule>
  </conditionalFormatting>
  <conditionalFormatting sqref="Y793 T793">
    <cfRule type="cellIs" dxfId="2921" priority="3661" operator="equal">
      <formula>"S"</formula>
    </cfRule>
    <cfRule type="cellIs" dxfId="2920" priority="3662" operator="equal">
      <formula>"B"</formula>
    </cfRule>
  </conditionalFormatting>
  <conditionalFormatting sqref="Y793">
    <cfRule type="expression" dxfId="2919" priority="3653">
      <formula>$AW793="D"</formula>
    </cfRule>
    <cfRule type="cellIs" dxfId="2918" priority="3654" operator="equal">
      <formula>"B"</formula>
    </cfRule>
    <cfRule type="cellIs" dxfId="2917" priority="3655" operator="equal">
      <formula>"S"</formula>
    </cfRule>
    <cfRule type="expression" dxfId="2916" priority="3656">
      <formula>$AW793="D"</formula>
    </cfRule>
    <cfRule type="cellIs" dxfId="2915" priority="3657" operator="equal">
      <formula>"B"</formula>
    </cfRule>
    <cfRule type="cellIs" dxfId="2914" priority="3658" operator="equal">
      <formula>"S"</formula>
    </cfRule>
  </conditionalFormatting>
  <conditionalFormatting sqref="Y796:Y798 T796">
    <cfRule type="cellIs" dxfId="2913" priority="3631" operator="equal">
      <formula>"S"</formula>
    </cfRule>
    <cfRule type="cellIs" dxfId="2912" priority="3632" operator="equal">
      <formula>"B"</formula>
    </cfRule>
  </conditionalFormatting>
  <conditionalFormatting sqref="Y796:Y798">
    <cfRule type="expression" dxfId="2911" priority="3624">
      <formula>$AW796="D"</formula>
    </cfRule>
    <cfRule type="cellIs" dxfId="2910" priority="3625" operator="equal">
      <formula>"B"</formula>
    </cfRule>
    <cfRule type="cellIs" dxfId="2909" priority="3626" operator="equal">
      <formula>"S"</formula>
    </cfRule>
    <cfRule type="expression" dxfId="2908" priority="3627">
      <formula>$AW796="D"</formula>
    </cfRule>
    <cfRule type="cellIs" dxfId="2907" priority="3628" operator="equal">
      <formula>"B"</formula>
    </cfRule>
    <cfRule type="cellIs" dxfId="2906" priority="3629" operator="equal">
      <formula>"S"</formula>
    </cfRule>
  </conditionalFormatting>
  <conditionalFormatting sqref="Y800">
    <cfRule type="expression" dxfId="2905" priority="3615">
      <formula>$AW800="D"</formula>
    </cfRule>
    <cfRule type="cellIs" dxfId="2904" priority="3616" operator="equal">
      <formula>"B"</formula>
    </cfRule>
    <cfRule type="cellIs" dxfId="2903" priority="3617" operator="equal">
      <formula>"S"</formula>
    </cfRule>
    <cfRule type="cellIs" dxfId="2902" priority="3620" operator="equal">
      <formula>"S"</formula>
    </cfRule>
    <cfRule type="cellIs" dxfId="2901" priority="3621" operator="equal">
      <formula>"B"</formula>
    </cfRule>
  </conditionalFormatting>
  <conditionalFormatting sqref="Y800:Y801">
    <cfRule type="expression" dxfId="2900" priority="3605">
      <formula>$AW800="D"</formula>
    </cfRule>
    <cfRule type="cellIs" dxfId="2899" priority="3606" operator="equal">
      <formula>"B"</formula>
    </cfRule>
    <cfRule type="cellIs" dxfId="2898" priority="3607" operator="equal">
      <formula>"S"</formula>
    </cfRule>
  </conditionalFormatting>
  <conditionalFormatting sqref="Y801">
    <cfRule type="cellIs" dxfId="2897" priority="3610" operator="equal">
      <formula>"S"</formula>
    </cfRule>
    <cfRule type="cellIs" dxfId="2896" priority="3611" operator="equal">
      <formula>"B"</formula>
    </cfRule>
  </conditionalFormatting>
  <conditionalFormatting sqref="Y801:Y802">
    <cfRule type="expression" dxfId="2895" priority="3595">
      <formula>$AW801="D"</formula>
    </cfRule>
    <cfRule type="cellIs" dxfId="2894" priority="3596" operator="equal">
      <formula>"B"</formula>
    </cfRule>
    <cfRule type="cellIs" dxfId="2893" priority="3597" operator="equal">
      <formula>"S"</formula>
    </cfRule>
  </conditionalFormatting>
  <conditionalFormatting sqref="Y802">
    <cfRule type="cellIs" dxfId="2892" priority="3600" operator="equal">
      <formula>"S"</formula>
    </cfRule>
    <cfRule type="cellIs" dxfId="2891" priority="3601" operator="equal">
      <formula>"B"</formula>
    </cfRule>
  </conditionalFormatting>
  <conditionalFormatting sqref="Y802:Y819">
    <cfRule type="expression" dxfId="2890" priority="3585">
      <formula>$AW802="D"</formula>
    </cfRule>
    <cfRule type="cellIs" dxfId="2889" priority="3586" operator="equal">
      <formula>"B"</formula>
    </cfRule>
    <cfRule type="cellIs" dxfId="2888" priority="3587" operator="equal">
      <formula>"S"</formula>
    </cfRule>
  </conditionalFormatting>
  <conditionalFormatting sqref="Y803:Y804">
    <cfRule type="expression" dxfId="2887" priority="3575">
      <formula>$AW803="D"</formula>
    </cfRule>
    <cfRule type="cellIs" dxfId="2886" priority="3576" operator="equal">
      <formula>"B"</formula>
    </cfRule>
    <cfRule type="cellIs" dxfId="2885" priority="3577" operator="equal">
      <formula>"S"</formula>
    </cfRule>
  </conditionalFormatting>
  <conditionalFormatting sqref="Y803:Y819">
    <cfRule type="cellIs" dxfId="2884" priority="3590" operator="equal">
      <formula>"S"</formula>
    </cfRule>
    <cfRule type="cellIs" dxfId="2883" priority="3591" operator="equal">
      <formula>"B"</formula>
    </cfRule>
  </conditionalFormatting>
  <conditionalFormatting sqref="Y804 T800:T804">
    <cfRule type="cellIs" dxfId="2882" priority="3580" operator="equal">
      <formula>"S"</formula>
    </cfRule>
    <cfRule type="cellIs" dxfId="2881" priority="3581" operator="equal">
      <formula>"B"</formula>
    </cfRule>
  </conditionalFormatting>
  <conditionalFormatting sqref="Y804">
    <cfRule type="expression" dxfId="2880" priority="3572">
      <formula>$AW804="D"</formula>
    </cfRule>
    <cfRule type="cellIs" dxfId="2879" priority="3573" operator="equal">
      <formula>"B"</formula>
    </cfRule>
    <cfRule type="cellIs" dxfId="2878" priority="3574" operator="equal">
      <formula>"S"</formula>
    </cfRule>
  </conditionalFormatting>
  <conditionalFormatting sqref="Y804:Y819">
    <cfRule type="expression" dxfId="2877" priority="3582">
      <formula>$AW804="D"</formula>
    </cfRule>
    <cfRule type="cellIs" dxfId="2876" priority="3583" operator="equal">
      <formula>"B"</formula>
    </cfRule>
    <cfRule type="cellIs" dxfId="2875" priority="3584" operator="equal">
      <formula>"S"</formula>
    </cfRule>
  </conditionalFormatting>
  <conditionalFormatting sqref="Y819">
    <cfRule type="cellIs" dxfId="2874" priority="3528" operator="equal">
      <formula>"S"</formula>
    </cfRule>
    <cfRule type="cellIs" dxfId="2873" priority="3529" operator="equal">
      <formula>"B"</formula>
    </cfRule>
    <cfRule type="expression" dxfId="2872" priority="3531">
      <formula>$AW819="D"</formula>
    </cfRule>
    <cfRule type="cellIs" dxfId="2871" priority="3532" operator="equal">
      <formula>"B"</formula>
    </cfRule>
    <cfRule type="cellIs" dxfId="2870" priority="3533" operator="equal">
      <formula>"S"</formula>
    </cfRule>
    <cfRule type="expression" dxfId="2869" priority="3534">
      <formula>$AW819="D"</formula>
    </cfRule>
    <cfRule type="cellIs" dxfId="2868" priority="3535" operator="equal">
      <formula>"B"</formula>
    </cfRule>
    <cfRule type="cellIs" dxfId="2867" priority="3536" operator="equal">
      <formula>"S"</formula>
    </cfRule>
    <cfRule type="cellIs" dxfId="2866" priority="3537" operator="equal">
      <formula>"S"</formula>
    </cfRule>
    <cfRule type="cellIs" dxfId="2865" priority="3538" operator="equal">
      <formula>"B"</formula>
    </cfRule>
  </conditionalFormatting>
  <conditionalFormatting sqref="Y822:Y823">
    <cfRule type="expression" dxfId="2864" priority="3466">
      <formula>$AW822="D"</formula>
    </cfRule>
    <cfRule type="cellIs" dxfId="2863" priority="3467" operator="equal">
      <formula>"B"</formula>
    </cfRule>
    <cfRule type="cellIs" dxfId="2862" priority="3468" operator="equal">
      <formula>"S"</formula>
    </cfRule>
    <cfRule type="expression" dxfId="2861" priority="3469">
      <formula>$AW822="D"</formula>
    </cfRule>
    <cfRule type="cellIs" dxfId="2860" priority="3470" operator="equal">
      <formula>"B"</formula>
    </cfRule>
    <cfRule type="cellIs" dxfId="2859" priority="3471" operator="equal">
      <formula>"S"</formula>
    </cfRule>
    <cfRule type="cellIs" dxfId="2858" priority="3472" operator="equal">
      <formula>"S"</formula>
    </cfRule>
    <cfRule type="cellIs" dxfId="2857" priority="3473" operator="equal">
      <formula>"B"</formula>
    </cfRule>
  </conditionalFormatting>
  <conditionalFormatting sqref="Y826:Y830">
    <cfRule type="expression" dxfId="2856" priority="3459">
      <formula>$AW826="D"</formula>
    </cfRule>
    <cfRule type="cellIs" dxfId="2855" priority="3460" operator="equal">
      <formula>"B"</formula>
    </cfRule>
    <cfRule type="cellIs" dxfId="2854" priority="3461" operator="equal">
      <formula>"S"</formula>
    </cfRule>
    <cfRule type="cellIs" dxfId="2853" priority="3462" operator="equal">
      <formula>"S"</formula>
    </cfRule>
    <cfRule type="cellIs" dxfId="2852" priority="3463" operator="equal">
      <formula>"B"</formula>
    </cfRule>
  </conditionalFormatting>
  <conditionalFormatting sqref="Y826:Y842">
    <cfRule type="expression" dxfId="2851" priority="3432">
      <formula>$AW826="D"</formula>
    </cfRule>
    <cfRule type="cellIs" dxfId="2850" priority="3433" operator="equal">
      <formula>"B"</formula>
    </cfRule>
    <cfRule type="cellIs" dxfId="2849" priority="3434" operator="equal">
      <formula>"S"</formula>
    </cfRule>
  </conditionalFormatting>
  <conditionalFormatting sqref="Y831:Y842">
    <cfRule type="expression" dxfId="2848" priority="3429">
      <formula>$AW831="D"</formula>
    </cfRule>
    <cfRule type="cellIs" dxfId="2847" priority="3430" operator="equal">
      <formula>"B"</formula>
    </cfRule>
    <cfRule type="cellIs" dxfId="2846" priority="3431" operator="equal">
      <formula>"S"</formula>
    </cfRule>
    <cfRule type="cellIs" dxfId="2845" priority="3435" operator="equal">
      <formula>"S"</formula>
    </cfRule>
    <cfRule type="cellIs" dxfId="2844" priority="3436" operator="equal">
      <formula>"B"</formula>
    </cfRule>
  </conditionalFormatting>
  <conditionalFormatting sqref="Y846:Y851">
    <cfRule type="cellIs" dxfId="2843" priority="3411" operator="equal">
      <formula>"B"</formula>
    </cfRule>
    <cfRule type="cellIs" dxfId="2842" priority="3412" operator="equal">
      <formula>"S"</formula>
    </cfRule>
    <cfRule type="expression" dxfId="2841" priority="3413">
      <formula>$AW846="D"</formula>
    </cfRule>
    <cfRule type="cellIs" dxfId="2840" priority="3414" operator="equal">
      <formula>"B"</formula>
    </cfRule>
    <cfRule type="cellIs" dxfId="2839" priority="3415" operator="equal">
      <formula>"S"</formula>
    </cfRule>
    <cfRule type="cellIs" dxfId="2838" priority="3416" operator="equal">
      <formula>"S"</formula>
    </cfRule>
    <cfRule type="cellIs" dxfId="2837" priority="3417" operator="equal">
      <formula>"B"</formula>
    </cfRule>
  </conditionalFormatting>
  <conditionalFormatting sqref="Y846:Y858">
    <cfRule type="expression" dxfId="2836" priority="3386">
      <formula>$AW846="D"</formula>
    </cfRule>
  </conditionalFormatting>
  <conditionalFormatting sqref="Y852:Y858 T852">
    <cfRule type="cellIs" dxfId="2835" priority="3389" operator="equal">
      <formula>"S"</formula>
    </cfRule>
    <cfRule type="cellIs" dxfId="2834" priority="3390" operator="equal">
      <formula>"B"</formula>
    </cfRule>
  </conditionalFormatting>
  <conditionalFormatting sqref="Y852:Y858">
    <cfRule type="expression" dxfId="2833" priority="3372">
      <formula>$AW852="D"</formula>
    </cfRule>
    <cfRule type="cellIs" dxfId="2832" priority="3373" operator="equal">
      <formula>"B"</formula>
    </cfRule>
    <cfRule type="cellIs" dxfId="2831" priority="3374" operator="equal">
      <formula>"S"</formula>
    </cfRule>
    <cfRule type="expression" dxfId="2830" priority="3376">
      <formula>$AW852="D"</formula>
    </cfRule>
    <cfRule type="cellIs" dxfId="2829" priority="3377" operator="equal">
      <formula>"B"</formula>
    </cfRule>
    <cfRule type="cellIs" dxfId="2828" priority="3378" operator="equal">
      <formula>"S"</formula>
    </cfRule>
    <cfRule type="cellIs" dxfId="2827" priority="3380" operator="equal">
      <formula>"S"</formula>
    </cfRule>
    <cfRule type="cellIs" dxfId="2826" priority="3381" operator="equal">
      <formula>"B"</formula>
    </cfRule>
    <cfRule type="expression" dxfId="2825" priority="3383">
      <formula>$AW852="D"</formula>
    </cfRule>
    <cfRule type="cellIs" dxfId="2824" priority="3384" operator="equal">
      <formula>"B"</formula>
    </cfRule>
    <cfRule type="cellIs" dxfId="2823" priority="3385" operator="equal">
      <formula>"S"</formula>
    </cfRule>
    <cfRule type="cellIs" dxfId="2822" priority="3387" operator="equal">
      <formula>"B"</formula>
    </cfRule>
    <cfRule type="cellIs" dxfId="2821" priority="3388" operator="equal">
      <formula>"S"</formula>
    </cfRule>
  </conditionalFormatting>
  <conditionalFormatting sqref="Y860">
    <cfRule type="expression" dxfId="2820" priority="3326">
      <formula>$AW860="D"</formula>
    </cfRule>
    <cfRule type="cellIs" dxfId="2819" priority="3327" operator="equal">
      <formula>"B"</formula>
    </cfRule>
    <cfRule type="cellIs" dxfId="2818" priority="3328" operator="equal">
      <formula>"S"</formula>
    </cfRule>
    <cfRule type="cellIs" dxfId="2817" priority="3339" operator="equal">
      <formula>"S"</formula>
    </cfRule>
    <cfRule type="cellIs" dxfId="2816" priority="3340" operator="equal">
      <formula>"B"</formula>
    </cfRule>
  </conditionalFormatting>
  <conditionalFormatting sqref="Y860:Y861">
    <cfRule type="expression" dxfId="2815" priority="3302">
      <formula>$AW860="D"</formula>
    </cfRule>
    <cfRule type="cellIs" dxfId="2814" priority="3303" operator="equal">
      <formula>"B"</formula>
    </cfRule>
    <cfRule type="cellIs" dxfId="2813" priority="3304" operator="equal">
      <formula>"S"</formula>
    </cfRule>
  </conditionalFormatting>
  <conditionalFormatting sqref="Y860:Y877">
    <cfRule type="cellIs" dxfId="2812" priority="3330" operator="equal">
      <formula>"S"</formula>
    </cfRule>
    <cfRule type="cellIs" dxfId="2811" priority="3331" operator="equal">
      <formula>"B"</formula>
    </cfRule>
    <cfRule type="expression" dxfId="2810" priority="3333">
      <formula>$AW860="D"</formula>
    </cfRule>
    <cfRule type="cellIs" dxfId="2809" priority="3334" operator="equal">
      <formula>"B"</formula>
    </cfRule>
    <cfRule type="cellIs" dxfId="2808" priority="3335" operator="equal">
      <formula>"S"</formula>
    </cfRule>
    <cfRule type="expression" dxfId="2807" priority="3336">
      <formula>$AW860="D"</formula>
    </cfRule>
    <cfRule type="cellIs" dxfId="2806" priority="3337" operator="equal">
      <formula>"B"</formula>
    </cfRule>
    <cfRule type="cellIs" dxfId="2805" priority="3338" operator="equal">
      <formula>"S"</formula>
    </cfRule>
  </conditionalFormatting>
  <conditionalFormatting sqref="Y861">
    <cfRule type="cellIs" dxfId="2804" priority="3306" operator="equal">
      <formula>"S"</formula>
    </cfRule>
    <cfRule type="cellIs" dxfId="2803" priority="3307" operator="equal">
      <formula>"B"</formula>
    </cfRule>
  </conditionalFormatting>
  <conditionalFormatting sqref="Y861:Y867">
    <cfRule type="expression" dxfId="2802" priority="3278">
      <formula>$AW861="D"</formula>
    </cfRule>
    <cfRule type="cellIs" dxfId="2801" priority="3279" operator="equal">
      <formula>"B"</formula>
    </cfRule>
    <cfRule type="cellIs" dxfId="2800" priority="3280" operator="equal">
      <formula>"S"</formula>
    </cfRule>
  </conditionalFormatting>
  <conditionalFormatting sqref="Y862:Y867 T860:T862">
    <cfRule type="cellIs" dxfId="2799" priority="3282" operator="equal">
      <formula>"S"</formula>
    </cfRule>
    <cfRule type="cellIs" dxfId="2798" priority="3283" operator="equal">
      <formula>"B"</formula>
    </cfRule>
  </conditionalFormatting>
  <conditionalFormatting sqref="Y862:Y867">
    <cfRule type="expression" dxfId="2797" priority="3274">
      <formula>$AW862="D"</formula>
    </cfRule>
    <cfRule type="cellIs" dxfId="2796" priority="3275" operator="equal">
      <formula>"B"</formula>
    </cfRule>
    <cfRule type="cellIs" dxfId="2795" priority="3276" operator="equal">
      <formula>"S"</formula>
    </cfRule>
  </conditionalFormatting>
  <conditionalFormatting sqref="Y863:Y867">
    <cfRule type="cellIs" dxfId="2794" priority="3239" operator="equal">
      <formula>"S"</formula>
    </cfRule>
    <cfRule type="cellIs" dxfId="2793" priority="3240" operator="equal">
      <formula>"B"</formula>
    </cfRule>
    <cfRule type="expression" dxfId="2792" priority="3241">
      <formula>$AW863="D"</formula>
    </cfRule>
    <cfRule type="cellIs" dxfId="2791" priority="3242" operator="equal">
      <formula>"B"</formula>
    </cfRule>
    <cfRule type="cellIs" dxfId="2790" priority="3243" operator="equal">
      <formula>"S"</formula>
    </cfRule>
    <cfRule type="expression" dxfId="2789" priority="3244">
      <formula>$AW863="D"</formula>
    </cfRule>
    <cfRule type="cellIs" dxfId="2788" priority="3245" operator="equal">
      <formula>"B"</formula>
    </cfRule>
    <cfRule type="cellIs" dxfId="2787" priority="3246" operator="equal">
      <formula>"S"</formula>
    </cfRule>
    <cfRule type="cellIs" dxfId="2786" priority="3247" operator="equal">
      <formula>"S"</formula>
    </cfRule>
    <cfRule type="cellIs" dxfId="2785" priority="3248" operator="equal">
      <formula>"B"</formula>
    </cfRule>
    <cfRule type="expression" dxfId="2784" priority="3251">
      <formula>$AW863="D"</formula>
    </cfRule>
    <cfRule type="cellIs" dxfId="2783" priority="3252" operator="equal">
      <formula>"B"</formula>
    </cfRule>
    <cfRule type="cellIs" dxfId="2782" priority="3253" operator="equal">
      <formula>"S"</formula>
    </cfRule>
    <cfRule type="expression" dxfId="2781" priority="3254">
      <formula>$AW863="D"</formula>
    </cfRule>
    <cfRule type="cellIs" dxfId="2780" priority="3255" operator="equal">
      <formula>"B"</formula>
    </cfRule>
    <cfRule type="cellIs" dxfId="2779" priority="3256" operator="equal">
      <formula>"S"</formula>
    </cfRule>
    <cfRule type="cellIs" dxfId="2778" priority="3257" operator="equal">
      <formula>"S"</formula>
    </cfRule>
    <cfRule type="cellIs" dxfId="2777" priority="3258" operator="equal">
      <formula>"B"</formula>
    </cfRule>
  </conditionalFormatting>
  <conditionalFormatting sqref="Y868:Y877 T868">
    <cfRule type="cellIs" dxfId="2776" priority="3229" operator="equal">
      <formula>"S"</formula>
    </cfRule>
    <cfRule type="cellIs" dxfId="2775" priority="3230" operator="equal">
      <formula>"B"</formula>
    </cfRule>
  </conditionalFormatting>
  <conditionalFormatting sqref="Y868:Y877">
    <cfRule type="expression" dxfId="2774" priority="3220">
      <formula>$AW868="D"</formula>
    </cfRule>
    <cfRule type="cellIs" dxfId="2773" priority="3221" operator="equal">
      <formula>"B"</formula>
    </cfRule>
    <cfRule type="cellIs" dxfId="2772" priority="3222" operator="equal">
      <formula>"S"</formula>
    </cfRule>
    <cfRule type="expression" dxfId="2771" priority="3224">
      <formula>$AW868="D"</formula>
    </cfRule>
    <cfRule type="cellIs" dxfId="2770" priority="3225" operator="equal">
      <formula>"B"</formula>
    </cfRule>
    <cfRule type="cellIs" dxfId="2769" priority="3226" operator="equal">
      <formula>"S"</formula>
    </cfRule>
  </conditionalFormatting>
  <conditionalFormatting sqref="Y883:Y916">
    <cfRule type="expression" dxfId="2768" priority="3119">
      <formula>$AW883="D"</formula>
    </cfRule>
    <cfRule type="cellIs" dxfId="2767" priority="3120" operator="equal">
      <formula>"B"</formula>
    </cfRule>
    <cfRule type="cellIs" dxfId="2766" priority="3121" operator="equal">
      <formula>"S"</formula>
    </cfRule>
    <cfRule type="expression" dxfId="2765" priority="3122">
      <formula>$AW883="D"</formula>
    </cfRule>
    <cfRule type="cellIs" dxfId="2764" priority="3123" operator="equal">
      <formula>"B"</formula>
    </cfRule>
    <cfRule type="cellIs" dxfId="2763" priority="3124" operator="equal">
      <formula>"S"</formula>
    </cfRule>
    <cfRule type="cellIs" dxfId="2762" priority="3125" operator="equal">
      <formula>"S"</formula>
    </cfRule>
    <cfRule type="cellIs" dxfId="2761" priority="3126" operator="equal">
      <formula>"B"</formula>
    </cfRule>
    <cfRule type="expression" dxfId="2760" priority="3129">
      <formula>$AW883="D"</formula>
    </cfRule>
    <cfRule type="cellIs" dxfId="2759" priority="3130" operator="equal">
      <formula>"B"</formula>
    </cfRule>
    <cfRule type="cellIs" dxfId="2758" priority="3131" operator="equal">
      <formula>"S"</formula>
    </cfRule>
    <cfRule type="expression" dxfId="2757" priority="3132">
      <formula>$AW883="D"</formula>
    </cfRule>
    <cfRule type="cellIs" dxfId="2756" priority="3133" operator="equal">
      <formula>"B"</formula>
    </cfRule>
    <cfRule type="cellIs" dxfId="2755" priority="3134" operator="equal">
      <formula>"S"</formula>
    </cfRule>
  </conditionalFormatting>
  <conditionalFormatting sqref="Y884:Y916">
    <cfRule type="expression" dxfId="2754" priority="3100">
      <formula>$AW884="D"</formula>
    </cfRule>
    <cfRule type="cellIs" dxfId="2753" priority="3101" operator="equal">
      <formula>"B"</formula>
    </cfRule>
    <cfRule type="cellIs" dxfId="2752" priority="3102" operator="equal">
      <formula>"S"</formula>
    </cfRule>
    <cfRule type="expression" dxfId="2751" priority="3103">
      <formula>$AW884="D"</formula>
    </cfRule>
    <cfRule type="cellIs" dxfId="2750" priority="3104" operator="equal">
      <formula>"B"</formula>
    </cfRule>
    <cfRule type="cellIs" dxfId="2749" priority="3105" operator="equal">
      <formula>"S"</formula>
    </cfRule>
    <cfRule type="cellIs" dxfId="2748" priority="3106" operator="equal">
      <formula>"S"</formula>
    </cfRule>
    <cfRule type="cellIs" dxfId="2747" priority="3107" operator="equal">
      <formula>"B"</formula>
    </cfRule>
    <cfRule type="expression" dxfId="2746" priority="3110">
      <formula>$AW884="D"</formula>
    </cfRule>
    <cfRule type="cellIs" dxfId="2745" priority="3111" operator="equal">
      <formula>"B"</formula>
    </cfRule>
    <cfRule type="cellIs" dxfId="2744" priority="3112" operator="equal">
      <formula>"S"</formula>
    </cfRule>
    <cfRule type="expression" dxfId="2743" priority="3113">
      <formula>$AW884="D"</formula>
    </cfRule>
    <cfRule type="cellIs" dxfId="2742" priority="3114" operator="equal">
      <formula>"B"</formula>
    </cfRule>
    <cfRule type="cellIs" dxfId="2741" priority="3115" operator="equal">
      <formula>"S"</formula>
    </cfRule>
  </conditionalFormatting>
  <conditionalFormatting sqref="Y905:Y906 T905">
    <cfRule type="cellIs" dxfId="2740" priority="3077" operator="equal">
      <formula>"S"</formula>
    </cfRule>
    <cfRule type="cellIs" dxfId="2739" priority="3078" operator="equal">
      <formula>"B"</formula>
    </cfRule>
  </conditionalFormatting>
  <conditionalFormatting sqref="Y905:Y906">
    <cfRule type="expression" dxfId="2738" priority="3068">
      <formula>$AW905="D"</formula>
    </cfRule>
    <cfRule type="cellIs" dxfId="2737" priority="3069" operator="equal">
      <formula>"B"</formula>
    </cfRule>
    <cfRule type="cellIs" dxfId="2736" priority="3070" operator="equal">
      <formula>"S"</formula>
    </cfRule>
    <cfRule type="expression" dxfId="2735" priority="3072">
      <formula>$AW905="D"</formula>
    </cfRule>
    <cfRule type="cellIs" dxfId="2734" priority="3073" operator="equal">
      <formula>"B"</formula>
    </cfRule>
    <cfRule type="cellIs" dxfId="2733" priority="3074" operator="equal">
      <formula>"S"</formula>
    </cfRule>
    <cfRule type="cellIs" dxfId="2732" priority="3080" operator="equal">
      <formula>"S"</formula>
    </cfRule>
    <cfRule type="cellIs" dxfId="2731" priority="3081" operator="equal">
      <formula>"B"</formula>
    </cfRule>
    <cfRule type="expression" dxfId="2730" priority="3082">
      <formula>$AW905="D"</formula>
    </cfRule>
    <cfRule type="cellIs" dxfId="2729" priority="3083" operator="equal">
      <formula>"B"</formula>
    </cfRule>
    <cfRule type="cellIs" dxfId="2728" priority="3084" operator="equal">
      <formula>"S"</formula>
    </cfRule>
    <cfRule type="expression" dxfId="2727" priority="3085">
      <formula>$AW905="D"</formula>
    </cfRule>
    <cfRule type="cellIs" dxfId="2726" priority="3086" operator="equal">
      <formula>"B"</formula>
    </cfRule>
    <cfRule type="cellIs" dxfId="2725" priority="3087" operator="equal">
      <formula>"S"</formula>
    </cfRule>
  </conditionalFormatting>
  <conditionalFormatting sqref="Y917:Y922">
    <cfRule type="expression" dxfId="2724" priority="2970">
      <formula>$AW917="D"</formula>
    </cfRule>
    <cfRule type="cellIs" dxfId="2723" priority="2971" operator="equal">
      <formula>"B"</formula>
    </cfRule>
    <cfRule type="cellIs" dxfId="2722" priority="2972" operator="equal">
      <formula>"S"</formula>
    </cfRule>
    <cfRule type="cellIs" dxfId="2721" priority="2973" operator="equal">
      <formula>"S"</formula>
    </cfRule>
    <cfRule type="cellIs" dxfId="2720" priority="2974" operator="equal">
      <formula>"B"</formula>
    </cfRule>
    <cfRule type="expression" dxfId="2719" priority="2976">
      <formula>$AW917="D"</formula>
    </cfRule>
    <cfRule type="cellIs" dxfId="2718" priority="2977" operator="equal">
      <formula>"B"</formula>
    </cfRule>
    <cfRule type="cellIs" dxfId="2717" priority="2978" operator="equal">
      <formula>"S"</formula>
    </cfRule>
    <cfRule type="expression" dxfId="2716" priority="2979">
      <formula>$AW917="D"</formula>
    </cfRule>
    <cfRule type="cellIs" dxfId="2715" priority="2980" operator="equal">
      <formula>"B"</formula>
    </cfRule>
    <cfRule type="cellIs" dxfId="2714" priority="2981" operator="equal">
      <formula>"S"</formula>
    </cfRule>
    <cfRule type="cellIs" dxfId="2713" priority="2982" operator="equal">
      <formula>"S"</formula>
    </cfRule>
    <cfRule type="cellIs" dxfId="2712" priority="2983" operator="equal">
      <formula>"B"</formula>
    </cfRule>
    <cfRule type="expression" dxfId="2711" priority="2987">
      <formula>$AW917="D"</formula>
    </cfRule>
    <cfRule type="cellIs" dxfId="2710" priority="2988" operator="equal">
      <formula>"B"</formula>
    </cfRule>
    <cfRule type="cellIs" dxfId="2709" priority="2989" operator="equal">
      <formula>"S"</formula>
    </cfRule>
    <cfRule type="expression" dxfId="2708" priority="2991">
      <formula>$AW917="D"</formula>
    </cfRule>
    <cfRule type="cellIs" dxfId="2707" priority="2992" operator="equal">
      <formula>"B"</formula>
    </cfRule>
    <cfRule type="cellIs" dxfId="2706" priority="2993" operator="equal">
      <formula>"S"</formula>
    </cfRule>
    <cfRule type="cellIs" dxfId="2705" priority="2994" operator="equal">
      <formula>"S"</formula>
    </cfRule>
    <cfRule type="cellIs" dxfId="2704" priority="2995" operator="equal">
      <formula>"B"</formula>
    </cfRule>
    <cfRule type="cellIs" dxfId="2703" priority="2997" operator="equal">
      <formula>"S"</formula>
    </cfRule>
    <cfRule type="cellIs" dxfId="2702" priority="2998" operator="equal">
      <formula>"B"</formula>
    </cfRule>
    <cfRule type="expression" dxfId="2701" priority="2999">
      <formula>$AW917="D"</formula>
    </cfRule>
    <cfRule type="cellIs" dxfId="2700" priority="3000" operator="equal">
      <formula>"B"</formula>
    </cfRule>
    <cfRule type="cellIs" dxfId="2699" priority="3001" operator="equal">
      <formula>"S"</formula>
    </cfRule>
    <cfRule type="expression" dxfId="2698" priority="3002">
      <formula>$AW917="D"</formula>
    </cfRule>
    <cfRule type="cellIs" dxfId="2697" priority="3003" operator="equal">
      <formula>"B"</formula>
    </cfRule>
    <cfRule type="cellIs" dxfId="2696" priority="3004" operator="equal">
      <formula>"S"</formula>
    </cfRule>
  </conditionalFormatting>
  <conditionalFormatting sqref="Y917:Y924">
    <cfRule type="cellIs" dxfId="2695" priority="2949" operator="equal">
      <formula>"S"</formula>
    </cfRule>
    <cfRule type="cellIs" dxfId="2694" priority="2950" operator="equal">
      <formula>"B"</formula>
    </cfRule>
    <cfRule type="expression" dxfId="2693" priority="2956">
      <formula>$AW917="D"</formula>
    </cfRule>
    <cfRule type="cellIs" dxfId="2692" priority="2957" operator="equal">
      <formula>"B"</formula>
    </cfRule>
    <cfRule type="cellIs" dxfId="2691" priority="2958" operator="equal">
      <formula>"S"</formula>
    </cfRule>
  </conditionalFormatting>
  <conditionalFormatting sqref="Y923:Y924">
    <cfRule type="expression" dxfId="2690" priority="2930">
      <formula>$AW923="D"</formula>
    </cfRule>
    <cfRule type="cellIs" dxfId="2689" priority="2931" operator="equal">
      <formula>"B"</formula>
    </cfRule>
    <cfRule type="cellIs" dxfId="2688" priority="2932" operator="equal">
      <formula>"S"</formula>
    </cfRule>
    <cfRule type="cellIs" dxfId="2687" priority="2933" operator="equal">
      <formula>"S"</formula>
    </cfRule>
    <cfRule type="cellIs" dxfId="2686" priority="2934" operator="equal">
      <formula>"B"</formula>
    </cfRule>
    <cfRule type="expression" dxfId="2685" priority="2937">
      <formula>$AW923="D"</formula>
    </cfRule>
    <cfRule type="cellIs" dxfId="2684" priority="2938" operator="equal">
      <formula>"B"</formula>
    </cfRule>
    <cfRule type="cellIs" dxfId="2683" priority="2939" operator="equal">
      <formula>"S"</formula>
    </cfRule>
    <cfRule type="expression" dxfId="2682" priority="2940">
      <formula>$AW923="D"</formula>
    </cfRule>
    <cfRule type="cellIs" dxfId="2681" priority="2941" operator="equal">
      <formula>"B"</formula>
    </cfRule>
    <cfRule type="cellIs" dxfId="2680" priority="2942" operator="equal">
      <formula>"S"</formula>
    </cfRule>
    <cfRule type="expression" dxfId="2679" priority="2943">
      <formula>$AW923="D"</formula>
    </cfRule>
    <cfRule type="cellIs" dxfId="2678" priority="2944" operator="equal">
      <formula>"B"</formula>
    </cfRule>
    <cfRule type="cellIs" dxfId="2677" priority="2945" operator="equal">
      <formula>"S"</formula>
    </cfRule>
    <cfRule type="expression" dxfId="2676" priority="2946">
      <formula>$AW923="D"</formula>
    </cfRule>
    <cfRule type="cellIs" dxfId="2675" priority="2947" operator="equal">
      <formula>"B"</formula>
    </cfRule>
    <cfRule type="cellIs" dxfId="2674" priority="2948" operator="equal">
      <formula>"S"</formula>
    </cfRule>
    <cfRule type="expression" dxfId="2673" priority="2953">
      <formula>$AW923="D"</formula>
    </cfRule>
    <cfRule type="cellIs" dxfId="2672" priority="2954" operator="equal">
      <formula>"B"</formula>
    </cfRule>
    <cfRule type="cellIs" dxfId="2671" priority="2955" operator="equal">
      <formula>"S"</formula>
    </cfRule>
  </conditionalFormatting>
  <conditionalFormatting sqref="Y923:Y925">
    <cfRule type="expression" dxfId="2670" priority="2892">
      <formula>$AW923="D"</formula>
    </cfRule>
    <cfRule type="cellIs" dxfId="2669" priority="2893" operator="equal">
      <formula>"B"</formula>
    </cfRule>
    <cfRule type="cellIs" dxfId="2668" priority="2894" operator="equal">
      <formula>"S"</formula>
    </cfRule>
  </conditionalFormatting>
  <conditionalFormatting sqref="Y925">
    <cfRule type="expression" dxfId="2667" priority="2866">
      <formula>$AW925="D"</formula>
    </cfRule>
    <cfRule type="cellIs" dxfId="2666" priority="2867" operator="equal">
      <formula>"B"</formula>
    </cfRule>
    <cfRule type="cellIs" dxfId="2665" priority="2868" operator="equal">
      <formula>"S"</formula>
    </cfRule>
    <cfRule type="cellIs" dxfId="2664" priority="2869" operator="equal">
      <formula>"S"</formula>
    </cfRule>
    <cfRule type="cellIs" dxfId="2663" priority="2870" operator="equal">
      <formula>"B"</formula>
    </cfRule>
    <cfRule type="expression" dxfId="2662" priority="2871">
      <formula>$AW925="D"</formula>
    </cfRule>
    <cfRule type="cellIs" dxfId="2661" priority="2872" operator="equal">
      <formula>"B"</formula>
    </cfRule>
    <cfRule type="cellIs" dxfId="2660" priority="2873" operator="equal">
      <formula>"S"</formula>
    </cfRule>
    <cfRule type="expression" dxfId="2659" priority="2874">
      <formula>$AW925="D"</formula>
    </cfRule>
    <cfRule type="cellIs" dxfId="2658" priority="2875" operator="equal">
      <formula>"B"</formula>
    </cfRule>
    <cfRule type="cellIs" dxfId="2657" priority="2876" operator="equal">
      <formula>"S"</formula>
    </cfRule>
    <cfRule type="cellIs" dxfId="2656" priority="2877" operator="equal">
      <formula>"S"</formula>
    </cfRule>
    <cfRule type="cellIs" dxfId="2655" priority="2878" operator="equal">
      <formula>"B"</formula>
    </cfRule>
    <cfRule type="expression" dxfId="2654" priority="2879">
      <formula>$AW925="D"</formula>
    </cfRule>
    <cfRule type="cellIs" dxfId="2653" priority="2880" operator="equal">
      <formula>"B"</formula>
    </cfRule>
    <cfRule type="cellIs" dxfId="2652" priority="2881" operator="equal">
      <formula>"S"</formula>
    </cfRule>
    <cfRule type="expression" dxfId="2651" priority="2882">
      <formula>$AW925="D"</formula>
    </cfRule>
    <cfRule type="cellIs" dxfId="2650" priority="2883" operator="equal">
      <formula>"B"</formula>
    </cfRule>
    <cfRule type="cellIs" dxfId="2649" priority="2884" operator="equal">
      <formula>"S"</formula>
    </cfRule>
    <cfRule type="cellIs" dxfId="2648" priority="2885" operator="equal">
      <formula>"S"</formula>
    </cfRule>
    <cfRule type="cellIs" dxfId="2647" priority="2886" operator="equal">
      <formula>"B"</formula>
    </cfRule>
    <cfRule type="expression" dxfId="2646" priority="2889">
      <formula>$AW925="D"</formula>
    </cfRule>
    <cfRule type="cellIs" dxfId="2645" priority="2890" operator="equal">
      <formula>"B"</formula>
    </cfRule>
    <cfRule type="cellIs" dxfId="2644" priority="2891" operator="equal">
      <formula>"S"</formula>
    </cfRule>
  </conditionalFormatting>
  <conditionalFormatting sqref="Y925:Y926">
    <cfRule type="cellIs" dxfId="2643" priority="2848" operator="equal">
      <formula>"S"</formula>
    </cfRule>
    <cfRule type="cellIs" dxfId="2642" priority="2849" operator="equal">
      <formula>"B"</formula>
    </cfRule>
    <cfRule type="expression" dxfId="2641" priority="2853">
      <formula>$AW925="D"</formula>
    </cfRule>
    <cfRule type="cellIs" dxfId="2640" priority="2854" operator="equal">
      <formula>"B"</formula>
    </cfRule>
    <cfRule type="cellIs" dxfId="2639" priority="2855" operator="equal">
      <formula>"S"</formula>
    </cfRule>
  </conditionalFormatting>
  <conditionalFormatting sqref="Y926">
    <cfRule type="expression" dxfId="2638" priority="2823">
      <formula>$AW926="D"</formula>
    </cfRule>
    <cfRule type="cellIs" dxfId="2637" priority="2824" operator="equal">
      <formula>"B"</formula>
    </cfRule>
    <cfRule type="cellIs" dxfId="2636" priority="2825" operator="equal">
      <formula>"S"</formula>
    </cfRule>
    <cfRule type="cellIs" dxfId="2635" priority="2826" operator="equal">
      <formula>"S"</formula>
    </cfRule>
    <cfRule type="cellIs" dxfId="2634" priority="2827" operator="equal">
      <formula>"B"</formula>
    </cfRule>
    <cfRule type="expression" dxfId="2633" priority="2829">
      <formula>$AW926="D"</formula>
    </cfRule>
    <cfRule type="cellIs" dxfId="2632" priority="2830" operator="equal">
      <formula>"B"</formula>
    </cfRule>
    <cfRule type="cellIs" dxfId="2631" priority="2831" operator="equal">
      <formula>"S"</formula>
    </cfRule>
    <cfRule type="expression" dxfId="2630" priority="2832">
      <formula>$AW926="D"</formula>
    </cfRule>
    <cfRule type="cellIs" dxfId="2629" priority="2833" operator="equal">
      <formula>"B"</formula>
    </cfRule>
    <cfRule type="cellIs" dxfId="2628" priority="2834" operator="equal">
      <formula>"S"</formula>
    </cfRule>
    <cfRule type="cellIs" dxfId="2627" priority="2835" operator="equal">
      <formula>"S"</formula>
    </cfRule>
    <cfRule type="cellIs" dxfId="2626" priority="2836" operator="equal">
      <formula>"B"</formula>
    </cfRule>
    <cfRule type="expression" dxfId="2625" priority="2838">
      <formula>$AW926="D"</formula>
    </cfRule>
    <cfRule type="cellIs" dxfId="2624" priority="2839" operator="equal">
      <formula>"B"</formula>
    </cfRule>
    <cfRule type="cellIs" dxfId="2623" priority="2840" operator="equal">
      <formula>"S"</formula>
    </cfRule>
    <cfRule type="expression" dxfId="2622" priority="2842">
      <formula>$AW926="D"</formula>
    </cfRule>
    <cfRule type="cellIs" dxfId="2621" priority="2843" operator="equal">
      <formula>"B"</formula>
    </cfRule>
    <cfRule type="cellIs" dxfId="2620" priority="2844" operator="equal">
      <formula>"S"</formula>
    </cfRule>
    <cfRule type="cellIs" dxfId="2619" priority="2845" operator="equal">
      <formula>"S"</formula>
    </cfRule>
    <cfRule type="cellIs" dxfId="2618" priority="2846" operator="equal">
      <formula>"B"</formula>
    </cfRule>
    <cfRule type="expression" dxfId="2617" priority="2850">
      <formula>$AW926="D"</formula>
    </cfRule>
    <cfRule type="cellIs" dxfId="2616" priority="2851" operator="equal">
      <formula>"B"</formula>
    </cfRule>
    <cfRule type="cellIs" dxfId="2615" priority="2852" operator="equal">
      <formula>"S"</formula>
    </cfRule>
  </conditionalFormatting>
  <conditionalFormatting sqref="Y926:Y940">
    <cfRule type="cellIs" dxfId="2614" priority="2807" operator="equal">
      <formula>"S"</formula>
    </cfRule>
    <cfRule type="cellIs" dxfId="2613" priority="2808" operator="equal">
      <formula>"B"</formula>
    </cfRule>
    <cfRule type="expression" dxfId="2612" priority="2814">
      <formula>$AW926="D"</formula>
    </cfRule>
    <cfRule type="cellIs" dxfId="2611" priority="2815" operator="equal">
      <formula>"B"</formula>
    </cfRule>
    <cfRule type="cellIs" dxfId="2610" priority="2816" operator="equal">
      <formula>"S"</formula>
    </cfRule>
  </conditionalFormatting>
  <conditionalFormatting sqref="Y927:Y940">
    <cfRule type="expression" dxfId="2609" priority="2788">
      <formula>$AW927="D"</formula>
    </cfRule>
    <cfRule type="cellIs" dxfId="2608" priority="2789" operator="equal">
      <formula>"B"</formula>
    </cfRule>
    <cfRule type="cellIs" dxfId="2607" priority="2790" operator="equal">
      <formula>"S"</formula>
    </cfRule>
    <cfRule type="cellIs" dxfId="2606" priority="2791" operator="equal">
      <formula>"S"</formula>
    </cfRule>
    <cfRule type="cellIs" dxfId="2605" priority="2792" operator="equal">
      <formula>"B"</formula>
    </cfRule>
    <cfRule type="expression" dxfId="2604" priority="2795">
      <formula>$AW927="D"</formula>
    </cfRule>
    <cfRule type="cellIs" dxfId="2603" priority="2796" operator="equal">
      <formula>"B"</formula>
    </cfRule>
    <cfRule type="cellIs" dxfId="2602" priority="2797" operator="equal">
      <formula>"S"</formula>
    </cfRule>
    <cfRule type="expression" dxfId="2601" priority="2798">
      <formula>$AW927="D"</formula>
    </cfRule>
    <cfRule type="cellIs" dxfId="2600" priority="2799" operator="equal">
      <formula>"B"</formula>
    </cfRule>
    <cfRule type="cellIs" dxfId="2599" priority="2800" operator="equal">
      <formula>"S"</formula>
    </cfRule>
    <cfRule type="expression" dxfId="2598" priority="2801">
      <formula>$AW927="D"</formula>
    </cfRule>
    <cfRule type="cellIs" dxfId="2597" priority="2802" operator="equal">
      <formula>"B"</formula>
    </cfRule>
    <cfRule type="cellIs" dxfId="2596" priority="2803" operator="equal">
      <formula>"S"</formula>
    </cfRule>
    <cfRule type="expression" dxfId="2595" priority="2804">
      <formula>$AW927="D"</formula>
    </cfRule>
    <cfRule type="cellIs" dxfId="2594" priority="2805" operator="equal">
      <formula>"B"</formula>
    </cfRule>
    <cfRule type="cellIs" dxfId="2593" priority="2806" operator="equal">
      <formula>"S"</formula>
    </cfRule>
    <cfRule type="expression" dxfId="2592" priority="2811">
      <formula>$AW927="D"</formula>
    </cfRule>
    <cfRule type="cellIs" dxfId="2591" priority="2812" operator="equal">
      <formula>"B"</formula>
    </cfRule>
    <cfRule type="cellIs" dxfId="2590" priority="2813" operator="equal">
      <formula>"S"</formula>
    </cfRule>
  </conditionalFormatting>
  <conditionalFormatting sqref="Y927:Y943">
    <cfRule type="expression" dxfId="2589" priority="2730">
      <formula>$AW927="D"</formula>
    </cfRule>
    <cfRule type="cellIs" dxfId="2588" priority="2731" operator="equal">
      <formula>"B"</formula>
    </cfRule>
    <cfRule type="cellIs" dxfId="2587" priority="2732" operator="equal">
      <formula>"S"</formula>
    </cfRule>
  </conditionalFormatting>
  <conditionalFormatting sqref="Y941:Y943">
    <cfRule type="cellIs" dxfId="2586" priority="2693" operator="equal">
      <formula>"S"</formula>
    </cfRule>
    <cfRule type="cellIs" dxfId="2585" priority="2694" operator="equal">
      <formula>"B"</formula>
    </cfRule>
    <cfRule type="expression" dxfId="2584" priority="2695">
      <formula>$AW941="D"</formula>
    </cfRule>
    <cfRule type="cellIs" dxfId="2583" priority="2696" operator="equal">
      <formula>"B"</formula>
    </cfRule>
    <cfRule type="cellIs" dxfId="2582" priority="2697" operator="equal">
      <formula>"S"</formula>
    </cfRule>
    <cfRule type="expression" dxfId="2581" priority="2698">
      <formula>$AW941="D"</formula>
    </cfRule>
    <cfRule type="cellIs" dxfId="2580" priority="2699" operator="equal">
      <formula>"B"</formula>
    </cfRule>
    <cfRule type="cellIs" dxfId="2579" priority="2700" operator="equal">
      <formula>"S"</formula>
    </cfRule>
    <cfRule type="cellIs" dxfId="2578" priority="2701" operator="equal">
      <formula>"S"</formula>
    </cfRule>
    <cfRule type="cellIs" dxfId="2577" priority="2702" operator="equal">
      <formula>"B"</formula>
    </cfRule>
    <cfRule type="expression" dxfId="2576" priority="2704">
      <formula>$AW941="D"</formula>
    </cfRule>
    <cfRule type="cellIs" dxfId="2575" priority="2705" operator="equal">
      <formula>"B"</formula>
    </cfRule>
    <cfRule type="cellIs" dxfId="2574" priority="2706" operator="equal">
      <formula>"S"</formula>
    </cfRule>
    <cfRule type="expression" dxfId="2573" priority="2707">
      <formula>$AW941="D"</formula>
    </cfRule>
    <cfRule type="cellIs" dxfId="2572" priority="2708" operator="equal">
      <formula>"B"</formula>
    </cfRule>
    <cfRule type="cellIs" dxfId="2571" priority="2709" operator="equal">
      <formula>"S"</formula>
    </cfRule>
    <cfRule type="cellIs" dxfId="2570" priority="2710" operator="equal">
      <formula>"S"</formula>
    </cfRule>
    <cfRule type="cellIs" dxfId="2569" priority="2711" operator="equal">
      <formula>"B"</formula>
    </cfRule>
    <cfRule type="expression" dxfId="2568" priority="2715">
      <formula>$AW941="D"</formula>
    </cfRule>
    <cfRule type="cellIs" dxfId="2567" priority="2716" operator="equal">
      <formula>"B"</formula>
    </cfRule>
    <cfRule type="cellIs" dxfId="2566" priority="2717" operator="equal">
      <formula>"S"</formula>
    </cfRule>
    <cfRule type="expression" dxfId="2565" priority="2719">
      <formula>$AW941="D"</formula>
    </cfRule>
    <cfRule type="cellIs" dxfId="2564" priority="2720" operator="equal">
      <formula>"B"</formula>
    </cfRule>
    <cfRule type="cellIs" dxfId="2563" priority="2721" operator="equal">
      <formula>"S"</formula>
    </cfRule>
    <cfRule type="cellIs" dxfId="2562" priority="2722" operator="equal">
      <formula>"S"</formula>
    </cfRule>
    <cfRule type="cellIs" dxfId="2561" priority="2723" operator="equal">
      <formula>"B"</formula>
    </cfRule>
    <cfRule type="cellIs" dxfId="2560" priority="2725" operator="equal">
      <formula>"S"</formula>
    </cfRule>
    <cfRule type="cellIs" dxfId="2559" priority="2726" operator="equal">
      <formula>"B"</formula>
    </cfRule>
    <cfRule type="expression" dxfId="2558" priority="2727">
      <formula>$AW941="D"</formula>
    </cfRule>
    <cfRule type="cellIs" dxfId="2557" priority="2728" operator="equal">
      <formula>"B"</formula>
    </cfRule>
    <cfRule type="cellIs" dxfId="2556" priority="2729" operator="equal">
      <formula>"S"</formula>
    </cfRule>
  </conditionalFormatting>
  <conditionalFormatting sqref="Y942">
    <cfRule type="expression" dxfId="2555" priority="2650">
      <formula>$AW942="D"</formula>
    </cfRule>
    <cfRule type="cellIs" dxfId="2554" priority="2651" operator="equal">
      <formula>"B"</formula>
    </cfRule>
    <cfRule type="cellIs" dxfId="2553" priority="2652" operator="equal">
      <formula>"S"</formula>
    </cfRule>
    <cfRule type="expression" dxfId="2552" priority="2653">
      <formula>$AW942="D"</formula>
    </cfRule>
    <cfRule type="cellIs" dxfId="2551" priority="2654" operator="equal">
      <formula>"B"</formula>
    </cfRule>
    <cfRule type="cellIs" dxfId="2550" priority="2655" operator="equal">
      <formula>"S"</formula>
    </cfRule>
    <cfRule type="cellIs" dxfId="2549" priority="2656" operator="equal">
      <formula>"S"</formula>
    </cfRule>
    <cfRule type="cellIs" dxfId="2548" priority="2657" operator="equal">
      <formula>"B"</formula>
    </cfRule>
    <cfRule type="expression" dxfId="2547" priority="2660">
      <formula>$AW942="D"</formula>
    </cfRule>
    <cfRule type="cellIs" dxfId="2546" priority="2661" operator="equal">
      <formula>"B"</formula>
    </cfRule>
    <cfRule type="cellIs" dxfId="2545" priority="2662" operator="equal">
      <formula>"S"</formula>
    </cfRule>
    <cfRule type="expression" dxfId="2544" priority="2663">
      <formula>$AW942="D"</formula>
    </cfRule>
    <cfRule type="cellIs" dxfId="2543" priority="2664" operator="equal">
      <formula>"B"</formula>
    </cfRule>
    <cfRule type="cellIs" dxfId="2542" priority="2665" operator="equal">
      <formula>"S"</formula>
    </cfRule>
    <cfRule type="expression" dxfId="2541" priority="2666">
      <formula>$AW942="D"</formula>
    </cfRule>
    <cfRule type="cellIs" dxfId="2540" priority="2667" operator="equal">
      <formula>"B"</formula>
    </cfRule>
    <cfRule type="cellIs" dxfId="2539" priority="2668" operator="equal">
      <formula>"S"</formula>
    </cfRule>
    <cfRule type="expression" dxfId="2538" priority="2669">
      <formula>$AW942="D"</formula>
    </cfRule>
    <cfRule type="cellIs" dxfId="2537" priority="2670" operator="equal">
      <formula>"B"</formula>
    </cfRule>
    <cfRule type="cellIs" dxfId="2536" priority="2671" operator="equal">
      <formula>"S"</formula>
    </cfRule>
    <cfRule type="cellIs" dxfId="2535" priority="2672" operator="equal">
      <formula>"S"</formula>
    </cfRule>
    <cfRule type="cellIs" dxfId="2534" priority="2673" operator="equal">
      <formula>"B"</formula>
    </cfRule>
    <cfRule type="expression" dxfId="2533" priority="2676">
      <formula>$AW942="D"</formula>
    </cfRule>
    <cfRule type="cellIs" dxfId="2532" priority="2677" operator="equal">
      <formula>"B"</formula>
    </cfRule>
    <cfRule type="cellIs" dxfId="2531" priority="2678" operator="equal">
      <formula>"S"</formula>
    </cfRule>
    <cfRule type="expression" dxfId="2530" priority="2679">
      <formula>$AW942="D"</formula>
    </cfRule>
    <cfRule type="cellIs" dxfId="2529" priority="2680" operator="equal">
      <formula>"B"</formula>
    </cfRule>
    <cfRule type="cellIs" dxfId="2528" priority="2681" operator="equal">
      <formula>"S"</formula>
    </cfRule>
  </conditionalFormatting>
  <conditionalFormatting sqref="Y944:Y947">
    <cfRule type="expression" dxfId="2527" priority="2612">
      <formula>$AW944="D"</formula>
    </cfRule>
    <cfRule type="cellIs" dxfId="2526" priority="2613" operator="equal">
      <formula>"B"</formula>
    </cfRule>
    <cfRule type="cellIs" dxfId="2525" priority="2614" operator="equal">
      <formula>"S"</formula>
    </cfRule>
    <cfRule type="expression" dxfId="2524" priority="2615">
      <formula>$AW944="D"</formula>
    </cfRule>
    <cfRule type="cellIs" dxfId="2523" priority="2616" operator="equal">
      <formula>"B"</formula>
    </cfRule>
    <cfRule type="cellIs" dxfId="2522" priority="2617" operator="equal">
      <formula>"S"</formula>
    </cfRule>
    <cfRule type="cellIs" dxfId="2521" priority="2618" operator="equal">
      <formula>"S"</formula>
    </cfRule>
    <cfRule type="cellIs" dxfId="2520" priority="2619" operator="equal">
      <formula>"B"</formula>
    </cfRule>
    <cfRule type="expression" dxfId="2519" priority="2622">
      <formula>$AW944="D"</formula>
    </cfRule>
    <cfRule type="cellIs" dxfId="2518" priority="2623" operator="equal">
      <formula>"B"</formula>
    </cfRule>
    <cfRule type="cellIs" dxfId="2517" priority="2624" operator="equal">
      <formula>"S"</formula>
    </cfRule>
    <cfRule type="expression" dxfId="2516" priority="2625">
      <formula>$AW944="D"</formula>
    </cfRule>
    <cfRule type="cellIs" dxfId="2515" priority="2626" operator="equal">
      <formula>"B"</formula>
    </cfRule>
    <cfRule type="cellIs" dxfId="2514" priority="2627" operator="equal">
      <formula>"S"</formula>
    </cfRule>
    <cfRule type="expression" dxfId="2513" priority="2628">
      <formula>$AW944="D"</formula>
    </cfRule>
    <cfRule type="cellIs" dxfId="2512" priority="2629" operator="equal">
      <formula>"B"</formula>
    </cfRule>
    <cfRule type="cellIs" dxfId="2511" priority="2630" operator="equal">
      <formula>"S"</formula>
    </cfRule>
    <cfRule type="expression" dxfId="2510" priority="2631">
      <formula>$AW944="D"</formula>
    </cfRule>
    <cfRule type="cellIs" dxfId="2509" priority="2632" operator="equal">
      <formula>"B"</formula>
    </cfRule>
    <cfRule type="cellIs" dxfId="2508" priority="2633" operator="equal">
      <formula>"S"</formula>
    </cfRule>
    <cfRule type="cellIs" dxfId="2507" priority="2634" operator="equal">
      <formula>"S"</formula>
    </cfRule>
    <cfRule type="cellIs" dxfId="2506" priority="2635" operator="equal">
      <formula>"B"</formula>
    </cfRule>
    <cfRule type="expression" dxfId="2505" priority="2638">
      <formula>$AW944="D"</formula>
    </cfRule>
    <cfRule type="cellIs" dxfId="2504" priority="2639" operator="equal">
      <formula>"B"</formula>
    </cfRule>
    <cfRule type="cellIs" dxfId="2503" priority="2640" operator="equal">
      <formula>"S"</formula>
    </cfRule>
    <cfRule type="expression" dxfId="2502" priority="2641">
      <formula>$AW944="D"</formula>
    </cfRule>
    <cfRule type="cellIs" dxfId="2501" priority="2642" operator="equal">
      <formula>"B"</formula>
    </cfRule>
    <cfRule type="cellIs" dxfId="2500" priority="2643" operator="equal">
      <formula>"S"</formula>
    </cfRule>
  </conditionalFormatting>
  <conditionalFormatting sqref="Y950:Y966">
    <cfRule type="expression" dxfId="2499" priority="2568">
      <formula>$AW950="D"</formula>
    </cfRule>
    <cfRule type="cellIs" dxfId="2498" priority="2569" operator="equal">
      <formula>"B"</formula>
    </cfRule>
    <cfRule type="cellIs" dxfId="2497" priority="2570" operator="equal">
      <formula>"S"</formula>
    </cfRule>
    <cfRule type="expression" dxfId="2496" priority="2571">
      <formula>$AW950="D"</formula>
    </cfRule>
    <cfRule type="cellIs" dxfId="2495" priority="2572" operator="equal">
      <formula>"B"</formula>
    </cfRule>
    <cfRule type="cellIs" dxfId="2494" priority="2573" operator="equal">
      <formula>"S"</formula>
    </cfRule>
    <cfRule type="cellIs" dxfId="2493" priority="2574" operator="equal">
      <formula>"S"</formula>
    </cfRule>
    <cfRule type="cellIs" dxfId="2492" priority="2575" operator="equal">
      <formula>"B"</formula>
    </cfRule>
    <cfRule type="expression" dxfId="2491" priority="2578">
      <formula>$AW950="D"</formula>
    </cfRule>
    <cfRule type="cellIs" dxfId="2490" priority="2579" operator="equal">
      <formula>"B"</formula>
    </cfRule>
    <cfRule type="cellIs" dxfId="2489" priority="2580" operator="equal">
      <formula>"S"</formula>
    </cfRule>
    <cfRule type="expression" dxfId="2488" priority="2581">
      <formula>$AW950="D"</formula>
    </cfRule>
    <cfRule type="cellIs" dxfId="2487" priority="2582" operator="equal">
      <formula>"B"</formula>
    </cfRule>
    <cfRule type="cellIs" dxfId="2486" priority="2583" operator="equal">
      <formula>"S"</formula>
    </cfRule>
    <cfRule type="expression" dxfId="2485" priority="2584">
      <formula>$AW950="D"</formula>
    </cfRule>
    <cfRule type="cellIs" dxfId="2484" priority="2585" operator="equal">
      <formula>"B"</formula>
    </cfRule>
    <cfRule type="cellIs" dxfId="2483" priority="2586" operator="equal">
      <formula>"S"</formula>
    </cfRule>
    <cfRule type="expression" dxfId="2482" priority="2587">
      <formula>$AW950="D"</formula>
    </cfRule>
    <cfRule type="cellIs" dxfId="2481" priority="2588" operator="equal">
      <formula>"B"</formula>
    </cfRule>
    <cfRule type="cellIs" dxfId="2480" priority="2589" operator="equal">
      <formula>"S"</formula>
    </cfRule>
    <cfRule type="cellIs" dxfId="2479" priority="2590" operator="equal">
      <formula>"S"</formula>
    </cfRule>
    <cfRule type="cellIs" dxfId="2478" priority="2591" operator="equal">
      <formula>"B"</formula>
    </cfRule>
    <cfRule type="expression" dxfId="2477" priority="2594">
      <formula>$AW950="D"</formula>
    </cfRule>
    <cfRule type="cellIs" dxfId="2476" priority="2595" operator="equal">
      <formula>"B"</formula>
    </cfRule>
    <cfRule type="cellIs" dxfId="2475" priority="2596" operator="equal">
      <formula>"S"</formula>
    </cfRule>
    <cfRule type="expression" dxfId="2474" priority="2597">
      <formula>$AW950="D"</formula>
    </cfRule>
    <cfRule type="cellIs" dxfId="2473" priority="2598" operator="equal">
      <formula>"B"</formula>
    </cfRule>
    <cfRule type="cellIs" dxfId="2472" priority="2599" operator="equal">
      <formula>"S"</formula>
    </cfRule>
  </conditionalFormatting>
  <conditionalFormatting sqref="Y968:Y974">
    <cfRule type="expression" dxfId="2471" priority="2464">
      <formula>$AW968="D"</formula>
    </cfRule>
    <cfRule type="cellIs" dxfId="2470" priority="2465" operator="equal">
      <formula>"B"</formula>
    </cfRule>
    <cfRule type="cellIs" dxfId="2469" priority="2466" operator="equal">
      <formula>"S"</formula>
    </cfRule>
    <cfRule type="cellIs" dxfId="2468" priority="2467" operator="equal">
      <formula>"S"</formula>
    </cfRule>
    <cfRule type="cellIs" dxfId="2467" priority="2468" operator="equal">
      <formula>"B"</formula>
    </cfRule>
    <cfRule type="expression" dxfId="2466" priority="2471">
      <formula>$AW968="D"</formula>
    </cfRule>
    <cfRule type="cellIs" dxfId="2465" priority="2472" operator="equal">
      <formula>"B"</formula>
    </cfRule>
    <cfRule type="cellIs" dxfId="2464" priority="2473" operator="equal">
      <formula>"S"</formula>
    </cfRule>
    <cfRule type="expression" dxfId="2463" priority="2474">
      <formula>$AW968="D"</formula>
    </cfRule>
    <cfRule type="cellIs" dxfId="2462" priority="2475" operator="equal">
      <formula>"B"</formula>
    </cfRule>
    <cfRule type="cellIs" dxfId="2461" priority="2476" operator="equal">
      <formula>"S"</formula>
    </cfRule>
    <cfRule type="expression" dxfId="2460" priority="2477">
      <formula>$AW968="D"</formula>
    </cfRule>
    <cfRule type="cellIs" dxfId="2459" priority="2478" operator="equal">
      <formula>"B"</formula>
    </cfRule>
    <cfRule type="cellIs" dxfId="2458" priority="2479" operator="equal">
      <formula>"S"</formula>
    </cfRule>
    <cfRule type="expression" dxfId="2457" priority="2480">
      <formula>$AW968="D"</formula>
    </cfRule>
    <cfRule type="cellIs" dxfId="2456" priority="2481" operator="equal">
      <formula>"B"</formula>
    </cfRule>
    <cfRule type="cellIs" dxfId="2455" priority="2482" operator="equal">
      <formula>"S"</formula>
    </cfRule>
    <cfRule type="cellIs" dxfId="2454" priority="2483" operator="equal">
      <formula>"S"</formula>
    </cfRule>
    <cfRule type="cellIs" dxfId="2453" priority="2484" operator="equal">
      <formula>"B"</formula>
    </cfRule>
    <cfRule type="expression" dxfId="2452" priority="2487">
      <formula>$AW968="D"</formula>
    </cfRule>
    <cfRule type="cellIs" dxfId="2451" priority="2488" operator="equal">
      <formula>"B"</formula>
    </cfRule>
    <cfRule type="cellIs" dxfId="2450" priority="2489" operator="equal">
      <formula>"S"</formula>
    </cfRule>
    <cfRule type="expression" dxfId="2449" priority="2490">
      <formula>$AW968="D"</formula>
    </cfRule>
    <cfRule type="cellIs" dxfId="2448" priority="2491" operator="equal">
      <formula>"B"</formula>
    </cfRule>
    <cfRule type="cellIs" dxfId="2447" priority="2492" operator="equal">
      <formula>"S"</formula>
    </cfRule>
  </conditionalFormatting>
  <conditionalFormatting sqref="Y968:Y977">
    <cfRule type="expression" dxfId="2446" priority="2368">
      <formula>$AW968="D"</formula>
    </cfRule>
    <cfRule type="cellIs" dxfId="2445" priority="2369" operator="equal">
      <formula>"B"</formula>
    </cfRule>
    <cfRule type="cellIs" dxfId="2444" priority="2370" operator="equal">
      <formula>"S"</formula>
    </cfRule>
  </conditionalFormatting>
  <conditionalFormatting sqref="Y975:Y977">
    <cfRule type="expression" dxfId="2443" priority="2342">
      <formula>$AW975="D"</formula>
    </cfRule>
    <cfRule type="cellIs" dxfId="2442" priority="2343" operator="equal">
      <formula>"B"</formula>
    </cfRule>
    <cfRule type="cellIs" dxfId="2441" priority="2344" operator="equal">
      <formula>"S"</formula>
    </cfRule>
    <cfRule type="cellIs" dxfId="2440" priority="2345" operator="equal">
      <formula>"S"</formula>
    </cfRule>
    <cfRule type="cellIs" dxfId="2439" priority="2346" operator="equal">
      <formula>"B"</formula>
    </cfRule>
    <cfRule type="expression" dxfId="2438" priority="2349">
      <formula>$AW975="D"</formula>
    </cfRule>
    <cfRule type="cellIs" dxfId="2437" priority="2350" operator="equal">
      <formula>"B"</formula>
    </cfRule>
    <cfRule type="cellIs" dxfId="2436" priority="2351" operator="equal">
      <formula>"S"</formula>
    </cfRule>
    <cfRule type="expression" dxfId="2435" priority="2352">
      <formula>$AW975="D"</formula>
    </cfRule>
    <cfRule type="cellIs" dxfId="2434" priority="2353" operator="equal">
      <formula>"B"</formula>
    </cfRule>
    <cfRule type="cellIs" dxfId="2433" priority="2354" operator="equal">
      <formula>"S"</formula>
    </cfRule>
    <cfRule type="expression" dxfId="2432" priority="2355">
      <formula>$AW975="D"</formula>
    </cfRule>
    <cfRule type="cellIs" dxfId="2431" priority="2356" operator="equal">
      <formula>"B"</formula>
    </cfRule>
    <cfRule type="cellIs" dxfId="2430" priority="2357" operator="equal">
      <formula>"S"</formula>
    </cfRule>
    <cfRule type="expression" dxfId="2429" priority="2358">
      <formula>$AW975="D"</formula>
    </cfRule>
    <cfRule type="cellIs" dxfId="2428" priority="2359" operator="equal">
      <formula>"B"</formula>
    </cfRule>
    <cfRule type="cellIs" dxfId="2427" priority="2360" operator="equal">
      <formula>"S"</formula>
    </cfRule>
    <cfRule type="cellIs" dxfId="2426" priority="2361" operator="equal">
      <formula>"S"</formula>
    </cfRule>
    <cfRule type="cellIs" dxfId="2425" priority="2362" operator="equal">
      <formula>"B"</formula>
    </cfRule>
    <cfRule type="expression" dxfId="2424" priority="2365">
      <formula>$AW975="D"</formula>
    </cfRule>
    <cfRule type="cellIs" dxfId="2423" priority="2366" operator="equal">
      <formula>"B"</formula>
    </cfRule>
    <cfRule type="cellIs" dxfId="2422" priority="2367" operator="equal">
      <formula>"S"</formula>
    </cfRule>
  </conditionalFormatting>
  <conditionalFormatting sqref="Y975:Y985">
    <cfRule type="expression" dxfId="2421" priority="2326">
      <formula>$AW975="D"</formula>
    </cfRule>
    <cfRule type="cellIs" dxfId="2420" priority="2327" operator="equal">
      <formula>"B"</formula>
    </cfRule>
    <cfRule type="cellIs" dxfId="2419" priority="2328" operator="equal">
      <formula>"S"</formula>
    </cfRule>
  </conditionalFormatting>
  <conditionalFormatting sqref="Y978:Y985">
    <cfRule type="expression" dxfId="2418" priority="2297">
      <formula>$AW978="D"</formula>
    </cfRule>
    <cfRule type="cellIs" dxfId="2417" priority="2298" operator="equal">
      <formula>"B"</formula>
    </cfRule>
    <cfRule type="cellIs" dxfId="2416" priority="2299" operator="equal">
      <formula>"S"</formula>
    </cfRule>
    <cfRule type="expression" dxfId="2415" priority="2300">
      <formula>$AW978="D"</formula>
    </cfRule>
    <cfRule type="cellIs" dxfId="2414" priority="2301" operator="equal">
      <formula>"B"</formula>
    </cfRule>
    <cfRule type="cellIs" dxfId="2413" priority="2302" operator="equal">
      <formula>"S"</formula>
    </cfRule>
    <cfRule type="cellIs" dxfId="2412" priority="2303" operator="equal">
      <formula>"S"</formula>
    </cfRule>
    <cfRule type="cellIs" dxfId="2411" priority="2304" operator="equal">
      <formula>"B"</formula>
    </cfRule>
    <cfRule type="expression" dxfId="2410" priority="2307">
      <formula>$AW978="D"</formula>
    </cfRule>
    <cfRule type="cellIs" dxfId="2409" priority="2308" operator="equal">
      <formula>"B"</formula>
    </cfRule>
    <cfRule type="cellIs" dxfId="2408" priority="2309" operator="equal">
      <formula>"S"</formula>
    </cfRule>
    <cfRule type="expression" dxfId="2407" priority="2310">
      <formula>$AW978="D"</formula>
    </cfRule>
    <cfRule type="cellIs" dxfId="2406" priority="2311" operator="equal">
      <formula>"B"</formula>
    </cfRule>
    <cfRule type="cellIs" dxfId="2405" priority="2312" operator="equal">
      <formula>"S"</formula>
    </cfRule>
    <cfRule type="expression" dxfId="2404" priority="2313">
      <formula>$AW978="D"</formula>
    </cfRule>
    <cfRule type="cellIs" dxfId="2403" priority="2314" operator="equal">
      <formula>"B"</formula>
    </cfRule>
    <cfRule type="cellIs" dxfId="2402" priority="2315" operator="equal">
      <formula>"S"</formula>
    </cfRule>
    <cfRule type="expression" dxfId="2401" priority="2316">
      <formula>$AW978="D"</formula>
    </cfRule>
    <cfRule type="cellIs" dxfId="2400" priority="2317" operator="equal">
      <formula>"B"</formula>
    </cfRule>
    <cfRule type="cellIs" dxfId="2399" priority="2318" operator="equal">
      <formula>"S"</formula>
    </cfRule>
    <cfRule type="cellIs" dxfId="2398" priority="2319" operator="equal">
      <formula>"S"</formula>
    </cfRule>
    <cfRule type="cellIs" dxfId="2397" priority="2320" operator="equal">
      <formula>"B"</formula>
    </cfRule>
    <cfRule type="expression" dxfId="2396" priority="2323">
      <formula>$AW978="D"</formula>
    </cfRule>
    <cfRule type="cellIs" dxfId="2395" priority="2324" operator="equal">
      <formula>"B"</formula>
    </cfRule>
    <cfRule type="cellIs" dxfId="2394" priority="2325" operator="equal">
      <formula>"S"</formula>
    </cfRule>
  </conditionalFormatting>
  <conditionalFormatting sqref="Y987:Y996 Y998:Y1012">
    <cfRule type="cellIs" dxfId="2393" priority="2211" operator="equal">
      <formula>"S"</formula>
    </cfRule>
    <cfRule type="cellIs" dxfId="2392" priority="2212" operator="equal">
      <formula>"B"</formula>
    </cfRule>
    <cfRule type="expression" dxfId="2391" priority="2213">
      <formula>$AW987="D"</formula>
    </cfRule>
    <cfRule type="cellIs" dxfId="2390" priority="2214" operator="equal">
      <formula>"B"</formula>
    </cfRule>
    <cfRule type="cellIs" dxfId="2389" priority="2215" operator="equal">
      <formula>"S"</formula>
    </cfRule>
    <cfRule type="expression" dxfId="2388" priority="2216">
      <formula>$AW987="D"</formula>
    </cfRule>
    <cfRule type="cellIs" dxfId="2387" priority="2217" operator="equal">
      <formula>"B"</formula>
    </cfRule>
    <cfRule type="cellIs" dxfId="2386" priority="2218" operator="equal">
      <formula>"S"</formula>
    </cfRule>
    <cfRule type="cellIs" dxfId="2385" priority="2219" operator="equal">
      <formula>"S"</formula>
    </cfRule>
    <cfRule type="cellIs" dxfId="2384" priority="2220" operator="equal">
      <formula>"B"</formula>
    </cfRule>
    <cfRule type="expression" dxfId="2383" priority="2222">
      <formula>$AW987="D"</formula>
    </cfRule>
    <cfRule type="cellIs" dxfId="2382" priority="2223" operator="equal">
      <formula>"B"</formula>
    </cfRule>
    <cfRule type="cellIs" dxfId="2381" priority="2224" operator="equal">
      <formula>"S"</formula>
    </cfRule>
    <cfRule type="expression" dxfId="2380" priority="2225">
      <formula>$AW987="D"</formula>
    </cfRule>
    <cfRule type="cellIs" dxfId="2379" priority="2226" operator="equal">
      <formula>"B"</formula>
    </cfRule>
    <cfRule type="cellIs" dxfId="2378" priority="2227" operator="equal">
      <formula>"S"</formula>
    </cfRule>
    <cfRule type="cellIs" dxfId="2377" priority="2228" operator="equal">
      <formula>"S"</formula>
    </cfRule>
    <cfRule type="cellIs" dxfId="2376" priority="2229" operator="equal">
      <formula>"B"</formula>
    </cfRule>
    <cfRule type="expression" dxfId="2375" priority="2231">
      <formula>$AW987="D"</formula>
    </cfRule>
    <cfRule type="cellIs" dxfId="2374" priority="2232" operator="equal">
      <formula>"B"</formula>
    </cfRule>
    <cfRule type="cellIs" dxfId="2373" priority="2233" operator="equal">
      <formula>"S"</formula>
    </cfRule>
    <cfRule type="expression" dxfId="2372" priority="2235">
      <formula>$AW987="D"</formula>
    </cfRule>
    <cfRule type="cellIs" dxfId="2371" priority="2236" operator="equal">
      <formula>"B"</formula>
    </cfRule>
    <cfRule type="cellIs" dxfId="2370" priority="2237" operator="equal">
      <formula>"S"</formula>
    </cfRule>
    <cfRule type="cellIs" dxfId="2369" priority="2238" operator="equal">
      <formula>"S"</formula>
    </cfRule>
    <cfRule type="cellIs" dxfId="2368" priority="2239" operator="equal">
      <formula>"B"</formula>
    </cfRule>
    <cfRule type="cellIs" dxfId="2367" priority="2241" operator="equal">
      <formula>"S"</formula>
    </cfRule>
    <cfRule type="cellIs" dxfId="2366" priority="2242" operator="equal">
      <formula>"B"</formula>
    </cfRule>
    <cfRule type="expression" dxfId="2365" priority="2243">
      <formula>$AW987="D"</formula>
    </cfRule>
    <cfRule type="cellIs" dxfId="2364" priority="2244" operator="equal">
      <formula>"B"</formula>
    </cfRule>
    <cfRule type="cellIs" dxfId="2363" priority="2245" operator="equal">
      <formula>"S"</formula>
    </cfRule>
    <cfRule type="expression" dxfId="2362" priority="2246">
      <formula>$AW987="D"</formula>
    </cfRule>
    <cfRule type="cellIs" dxfId="2361" priority="2247" operator="equal">
      <formula>"B"</formula>
    </cfRule>
    <cfRule type="cellIs" dxfId="2360" priority="2248" operator="equal">
      <formula>"S"</formula>
    </cfRule>
    <cfRule type="expression" dxfId="2359" priority="2257">
      <formula>$AW987="D"</formula>
    </cfRule>
    <cfRule type="cellIs" dxfId="2358" priority="2258" operator="equal">
      <formula>"B"</formula>
    </cfRule>
    <cfRule type="cellIs" dxfId="2357" priority="2259" operator="equal">
      <formula>"S"</formula>
    </cfRule>
    <cfRule type="expression" dxfId="2356" priority="2260">
      <formula>$AW987="D"</formula>
    </cfRule>
    <cfRule type="cellIs" dxfId="2355" priority="2261" operator="equal">
      <formula>"B"</formula>
    </cfRule>
    <cfRule type="cellIs" dxfId="2354" priority="2262" operator="equal">
      <formula>"S"</formula>
    </cfRule>
    <cfRule type="cellIs" dxfId="2353" priority="2263" operator="equal">
      <formula>"S"</formula>
    </cfRule>
    <cfRule type="cellIs" dxfId="2352" priority="2264" operator="equal">
      <formula>"B"</formula>
    </cfRule>
    <cfRule type="expression" dxfId="2351" priority="2267">
      <formula>$AW987="D"</formula>
    </cfRule>
    <cfRule type="cellIs" dxfId="2350" priority="2268" operator="equal">
      <formula>"B"</formula>
    </cfRule>
    <cfRule type="cellIs" dxfId="2349" priority="2269" operator="equal">
      <formula>"S"</formula>
    </cfRule>
    <cfRule type="expression" dxfId="2348" priority="2270">
      <formula>$AW987="D"</formula>
    </cfRule>
    <cfRule type="cellIs" dxfId="2347" priority="2271" operator="equal">
      <formula>"B"</formula>
    </cfRule>
    <cfRule type="cellIs" dxfId="2346" priority="2272" operator="equal">
      <formula>"S"</formula>
    </cfRule>
    <cfRule type="expression" dxfId="2345" priority="2273">
      <formula>$AW987="D"</formula>
    </cfRule>
    <cfRule type="cellIs" dxfId="2344" priority="2274" operator="equal">
      <formula>"B"</formula>
    </cfRule>
    <cfRule type="cellIs" dxfId="2343" priority="2275" operator="equal">
      <formula>"S"</formula>
    </cfRule>
    <cfRule type="expression" dxfId="2342" priority="2276">
      <formula>$AW987="D"</formula>
    </cfRule>
    <cfRule type="cellIs" dxfId="2341" priority="2277" operator="equal">
      <formula>"B"</formula>
    </cfRule>
    <cfRule type="cellIs" dxfId="2340" priority="2278" operator="equal">
      <formula>"S"</formula>
    </cfRule>
    <cfRule type="cellIs" dxfId="2339" priority="2279" operator="equal">
      <formula>"S"</formula>
    </cfRule>
    <cfRule type="cellIs" dxfId="2338" priority="2280" operator="equal">
      <formula>"B"</formula>
    </cfRule>
    <cfRule type="expression" dxfId="2337" priority="2283">
      <formula>$AW987="D"</formula>
    </cfRule>
    <cfRule type="cellIs" dxfId="2336" priority="2284" operator="equal">
      <formula>"B"</formula>
    </cfRule>
    <cfRule type="cellIs" dxfId="2335" priority="2285" operator="equal">
      <formula>"S"</formula>
    </cfRule>
    <cfRule type="expression" dxfId="2334" priority="2286">
      <formula>$AW987="D"</formula>
    </cfRule>
    <cfRule type="cellIs" dxfId="2333" priority="2287" operator="equal">
      <formula>"B"</formula>
    </cfRule>
    <cfRule type="cellIs" dxfId="2332" priority="2288" operator="equal">
      <formula>"S"</formula>
    </cfRule>
  </conditionalFormatting>
  <conditionalFormatting sqref="Y1014:Y1015">
    <cfRule type="cellIs" dxfId="2331" priority="2060" operator="equal">
      <formula>"S"</formula>
    </cfRule>
    <cfRule type="cellIs" dxfId="2330" priority="2061" operator="equal">
      <formula>"B"</formula>
    </cfRule>
    <cfRule type="expression" dxfId="2329" priority="2062">
      <formula>$AW1014="D"</formula>
    </cfRule>
    <cfRule type="cellIs" dxfId="2328" priority="2063" operator="equal">
      <formula>"B"</formula>
    </cfRule>
    <cfRule type="cellIs" dxfId="2327" priority="2064" operator="equal">
      <formula>"S"</formula>
    </cfRule>
    <cfRule type="expression" dxfId="2326" priority="2065">
      <formula>$AW1014="D"</formula>
    </cfRule>
    <cfRule type="cellIs" dxfId="2325" priority="2066" operator="equal">
      <formula>"B"</formula>
    </cfRule>
    <cfRule type="cellIs" dxfId="2324" priority="2067" operator="equal">
      <formula>"S"</formula>
    </cfRule>
    <cfRule type="cellIs" dxfId="2323" priority="2068" operator="equal">
      <formula>"S"</formula>
    </cfRule>
    <cfRule type="cellIs" dxfId="2322" priority="2069" operator="equal">
      <formula>"B"</formula>
    </cfRule>
    <cfRule type="expression" dxfId="2321" priority="2071">
      <formula>$AW1014="D"</formula>
    </cfRule>
    <cfRule type="cellIs" dxfId="2320" priority="2072" operator="equal">
      <formula>"B"</formula>
    </cfRule>
    <cfRule type="cellIs" dxfId="2319" priority="2073" operator="equal">
      <formula>"S"</formula>
    </cfRule>
    <cfRule type="expression" dxfId="2318" priority="2074">
      <formula>$AW1014="D"</formula>
    </cfRule>
    <cfRule type="cellIs" dxfId="2317" priority="2075" operator="equal">
      <formula>"B"</formula>
    </cfRule>
    <cfRule type="cellIs" dxfId="2316" priority="2076" operator="equal">
      <formula>"S"</formula>
    </cfRule>
    <cfRule type="cellIs" dxfId="2315" priority="2077" operator="equal">
      <formula>"S"</formula>
    </cfRule>
    <cfRule type="cellIs" dxfId="2314" priority="2078" operator="equal">
      <formula>"B"</formula>
    </cfRule>
    <cfRule type="expression" dxfId="2313" priority="2080">
      <formula>$AW1014="D"</formula>
    </cfRule>
    <cfRule type="cellIs" dxfId="2312" priority="2081" operator="equal">
      <formula>"B"</formula>
    </cfRule>
    <cfRule type="cellIs" dxfId="2311" priority="2082" operator="equal">
      <formula>"S"</formula>
    </cfRule>
    <cfRule type="expression" dxfId="2310" priority="2084">
      <formula>$AW1014="D"</formula>
    </cfRule>
    <cfRule type="cellIs" dxfId="2309" priority="2085" operator="equal">
      <formula>"B"</formula>
    </cfRule>
    <cfRule type="cellIs" dxfId="2308" priority="2086" operator="equal">
      <formula>"S"</formula>
    </cfRule>
    <cfRule type="cellIs" dxfId="2307" priority="2087" operator="equal">
      <formula>"S"</formula>
    </cfRule>
    <cfRule type="cellIs" dxfId="2306" priority="2088" operator="equal">
      <formula>"B"</formula>
    </cfRule>
    <cfRule type="cellIs" dxfId="2305" priority="2090" operator="equal">
      <formula>"S"</formula>
    </cfRule>
    <cfRule type="cellIs" dxfId="2304" priority="2091" operator="equal">
      <formula>"B"</formula>
    </cfRule>
    <cfRule type="expression" dxfId="2303" priority="2092">
      <formula>$AW1014="D"</formula>
    </cfRule>
    <cfRule type="cellIs" dxfId="2302" priority="2093" operator="equal">
      <formula>"B"</formula>
    </cfRule>
    <cfRule type="cellIs" dxfId="2301" priority="2094" operator="equal">
      <formula>"S"</formula>
    </cfRule>
    <cfRule type="expression" dxfId="2300" priority="2095">
      <formula>$AW1014="D"</formula>
    </cfRule>
    <cfRule type="cellIs" dxfId="2299" priority="2096" operator="equal">
      <formula>"B"</formula>
    </cfRule>
    <cfRule type="cellIs" dxfId="2298" priority="2097" operator="equal">
      <formula>"S"</formula>
    </cfRule>
    <cfRule type="expression" dxfId="2297" priority="2104">
      <formula>$AW1014="D"</formula>
    </cfRule>
    <cfRule type="cellIs" dxfId="2296" priority="2105" operator="equal">
      <formula>"B"</formula>
    </cfRule>
    <cfRule type="cellIs" dxfId="2295" priority="2106" operator="equal">
      <formula>"S"</formula>
    </cfRule>
    <cfRule type="expression" dxfId="2294" priority="2107">
      <formula>$AW1014="D"</formula>
    </cfRule>
    <cfRule type="cellIs" dxfId="2293" priority="2108" operator="equal">
      <formula>"B"</formula>
    </cfRule>
    <cfRule type="cellIs" dxfId="2292" priority="2109" operator="equal">
      <formula>"S"</formula>
    </cfRule>
    <cfRule type="cellIs" dxfId="2291" priority="2110" operator="equal">
      <formula>"S"</formula>
    </cfRule>
    <cfRule type="cellIs" dxfId="2290" priority="2111" operator="equal">
      <formula>"B"</formula>
    </cfRule>
    <cfRule type="expression" dxfId="2289" priority="2114">
      <formula>$AW1014="D"</formula>
    </cfRule>
    <cfRule type="cellIs" dxfId="2288" priority="2115" operator="equal">
      <formula>"B"</formula>
    </cfRule>
    <cfRule type="cellIs" dxfId="2287" priority="2116" operator="equal">
      <formula>"S"</formula>
    </cfRule>
    <cfRule type="expression" dxfId="2286" priority="2117">
      <formula>$AW1014="D"</formula>
    </cfRule>
    <cfRule type="cellIs" dxfId="2285" priority="2118" operator="equal">
      <formula>"B"</formula>
    </cfRule>
    <cfRule type="cellIs" dxfId="2284" priority="2119" operator="equal">
      <formula>"S"</formula>
    </cfRule>
    <cfRule type="expression" dxfId="2283" priority="2120">
      <formula>$AW1014="D"</formula>
    </cfRule>
    <cfRule type="cellIs" dxfId="2282" priority="2121" operator="equal">
      <formula>"B"</formula>
    </cfRule>
    <cfRule type="cellIs" dxfId="2281" priority="2122" operator="equal">
      <formula>"S"</formula>
    </cfRule>
    <cfRule type="expression" dxfId="2280" priority="2123">
      <formula>$AW1014="D"</formula>
    </cfRule>
    <cfRule type="cellIs" dxfId="2279" priority="2124" operator="equal">
      <formula>"B"</formula>
    </cfRule>
    <cfRule type="cellIs" dxfId="2278" priority="2125" operator="equal">
      <formula>"S"</formula>
    </cfRule>
    <cfRule type="cellIs" dxfId="2277" priority="2126" operator="equal">
      <formula>"S"</formula>
    </cfRule>
    <cfRule type="cellIs" dxfId="2276" priority="2127" operator="equal">
      <formula>"B"</formula>
    </cfRule>
    <cfRule type="expression" dxfId="2275" priority="2130">
      <formula>$AW1014="D"</formula>
    </cfRule>
    <cfRule type="cellIs" dxfId="2274" priority="2131" operator="equal">
      <formula>"B"</formula>
    </cfRule>
    <cfRule type="cellIs" dxfId="2273" priority="2132" operator="equal">
      <formula>"S"</formula>
    </cfRule>
    <cfRule type="expression" dxfId="2272" priority="2133">
      <formula>$AW1014="D"</formula>
    </cfRule>
    <cfRule type="cellIs" dxfId="2271" priority="2134" operator="equal">
      <formula>"B"</formula>
    </cfRule>
    <cfRule type="cellIs" dxfId="2270" priority="2135" operator="equal">
      <formula>"S"</formula>
    </cfRule>
  </conditionalFormatting>
  <conditionalFormatting sqref="Y1020:Y1029">
    <cfRule type="cellIs" dxfId="2269" priority="1975" operator="equal">
      <formula>"S"</formula>
    </cfRule>
    <cfRule type="cellIs" dxfId="2268" priority="1976" operator="equal">
      <formula>"B"</formula>
    </cfRule>
    <cfRule type="expression" dxfId="2267" priority="1977">
      <formula>$AW1020="D"</formula>
    </cfRule>
    <cfRule type="cellIs" dxfId="2266" priority="1978" operator="equal">
      <formula>"B"</formula>
    </cfRule>
    <cfRule type="cellIs" dxfId="2265" priority="1979" operator="equal">
      <formula>"S"</formula>
    </cfRule>
    <cfRule type="expression" dxfId="2264" priority="1980">
      <formula>$AW1020="D"</formula>
    </cfRule>
    <cfRule type="cellIs" dxfId="2263" priority="1981" operator="equal">
      <formula>"B"</formula>
    </cfRule>
    <cfRule type="cellIs" dxfId="2262" priority="1982" operator="equal">
      <formula>"S"</formula>
    </cfRule>
    <cfRule type="cellIs" dxfId="2261" priority="1983" operator="equal">
      <formula>"S"</formula>
    </cfRule>
    <cfRule type="cellIs" dxfId="2260" priority="1984" operator="equal">
      <formula>"B"</formula>
    </cfRule>
    <cfRule type="expression" dxfId="2259" priority="1986">
      <formula>$AW1020="D"</formula>
    </cfRule>
    <cfRule type="cellIs" dxfId="2258" priority="1987" operator="equal">
      <formula>"B"</formula>
    </cfRule>
    <cfRule type="cellIs" dxfId="2257" priority="1988" operator="equal">
      <formula>"S"</formula>
    </cfRule>
    <cfRule type="expression" dxfId="2256" priority="1989">
      <formula>$AW1020="D"</formula>
    </cfRule>
    <cfRule type="cellIs" dxfId="2255" priority="1990" operator="equal">
      <formula>"B"</formula>
    </cfRule>
    <cfRule type="cellIs" dxfId="2254" priority="1991" operator="equal">
      <formula>"S"</formula>
    </cfRule>
    <cfRule type="cellIs" dxfId="2253" priority="1992" operator="equal">
      <formula>"S"</formula>
    </cfRule>
    <cfRule type="cellIs" dxfId="2252" priority="1993" operator="equal">
      <formula>"B"</formula>
    </cfRule>
    <cfRule type="expression" dxfId="2251" priority="1995">
      <formula>$AW1020="D"</formula>
    </cfRule>
    <cfRule type="cellIs" dxfId="2250" priority="1996" operator="equal">
      <formula>"B"</formula>
    </cfRule>
    <cfRule type="cellIs" dxfId="2249" priority="1997" operator="equal">
      <formula>"S"</formula>
    </cfRule>
    <cfRule type="expression" dxfId="2248" priority="1999">
      <formula>$AW1020="D"</formula>
    </cfRule>
    <cfRule type="cellIs" dxfId="2247" priority="2000" operator="equal">
      <formula>"B"</formula>
    </cfRule>
    <cfRule type="cellIs" dxfId="2246" priority="2001" operator="equal">
      <formula>"S"</formula>
    </cfRule>
    <cfRule type="cellIs" dxfId="2245" priority="2002" operator="equal">
      <formula>"S"</formula>
    </cfRule>
    <cfRule type="cellIs" dxfId="2244" priority="2003" operator="equal">
      <formula>"B"</formula>
    </cfRule>
    <cfRule type="cellIs" dxfId="2243" priority="2005" operator="equal">
      <formula>"S"</formula>
    </cfRule>
    <cfRule type="cellIs" dxfId="2242" priority="2006" operator="equal">
      <formula>"B"</formula>
    </cfRule>
    <cfRule type="expression" dxfId="2241" priority="2007">
      <formula>$AW1020="D"</formula>
    </cfRule>
    <cfRule type="cellIs" dxfId="2240" priority="2008" operator="equal">
      <formula>"B"</formula>
    </cfRule>
    <cfRule type="cellIs" dxfId="2239" priority="2009" operator="equal">
      <formula>"S"</formula>
    </cfRule>
    <cfRule type="expression" dxfId="2238" priority="2010">
      <formula>$AW1020="D"</formula>
    </cfRule>
    <cfRule type="cellIs" dxfId="2237" priority="2011" operator="equal">
      <formula>"B"</formula>
    </cfRule>
    <cfRule type="cellIs" dxfId="2236" priority="2012" operator="equal">
      <formula>"S"</formula>
    </cfRule>
    <cfRule type="expression" dxfId="2235" priority="2021">
      <formula>$AW1020="D"</formula>
    </cfRule>
    <cfRule type="cellIs" dxfId="2234" priority="2022" operator="equal">
      <formula>"B"</formula>
    </cfRule>
    <cfRule type="cellIs" dxfId="2233" priority="2023" operator="equal">
      <formula>"S"</formula>
    </cfRule>
    <cfRule type="expression" dxfId="2232" priority="2024">
      <formula>$AW1020="D"</formula>
    </cfRule>
    <cfRule type="cellIs" dxfId="2231" priority="2025" operator="equal">
      <formula>"B"</formula>
    </cfRule>
    <cfRule type="cellIs" dxfId="2230" priority="2026" operator="equal">
      <formula>"S"</formula>
    </cfRule>
    <cfRule type="cellIs" dxfId="2229" priority="2027" operator="equal">
      <formula>"S"</formula>
    </cfRule>
    <cfRule type="cellIs" dxfId="2228" priority="2028" operator="equal">
      <formula>"B"</formula>
    </cfRule>
    <cfRule type="expression" dxfId="2227" priority="2031">
      <formula>$AW1020="D"</formula>
    </cfRule>
    <cfRule type="cellIs" dxfId="2226" priority="2032" operator="equal">
      <formula>"B"</formula>
    </cfRule>
    <cfRule type="cellIs" dxfId="2225" priority="2033" operator="equal">
      <formula>"S"</formula>
    </cfRule>
    <cfRule type="expression" dxfId="2224" priority="2034">
      <formula>$AW1020="D"</formula>
    </cfRule>
    <cfRule type="cellIs" dxfId="2223" priority="2035" operator="equal">
      <formula>"B"</formula>
    </cfRule>
    <cfRule type="cellIs" dxfId="2222" priority="2036" operator="equal">
      <formula>"S"</formula>
    </cfRule>
    <cfRule type="expression" dxfId="2221" priority="2037">
      <formula>$AW1020="D"</formula>
    </cfRule>
    <cfRule type="cellIs" dxfId="2220" priority="2038" operator="equal">
      <formula>"B"</formula>
    </cfRule>
    <cfRule type="cellIs" dxfId="2219" priority="2039" operator="equal">
      <formula>"S"</formula>
    </cfRule>
    <cfRule type="expression" dxfId="2218" priority="2040">
      <formula>$AW1020="D"</formula>
    </cfRule>
    <cfRule type="cellIs" dxfId="2217" priority="2041" operator="equal">
      <formula>"B"</formula>
    </cfRule>
    <cfRule type="cellIs" dxfId="2216" priority="2042" operator="equal">
      <formula>"S"</formula>
    </cfRule>
    <cfRule type="cellIs" dxfId="2215" priority="2043" operator="equal">
      <formula>"S"</formula>
    </cfRule>
    <cfRule type="cellIs" dxfId="2214" priority="2044" operator="equal">
      <formula>"B"</formula>
    </cfRule>
    <cfRule type="expression" dxfId="2213" priority="2047">
      <formula>$AW1020="D"</formula>
    </cfRule>
    <cfRule type="cellIs" dxfId="2212" priority="2048" operator="equal">
      <formula>"B"</formula>
    </cfRule>
    <cfRule type="cellIs" dxfId="2211" priority="2049" operator="equal">
      <formula>"S"</formula>
    </cfRule>
    <cfRule type="expression" dxfId="2210" priority="2050">
      <formula>$AW1020="D"</formula>
    </cfRule>
    <cfRule type="cellIs" dxfId="2209" priority="2051" operator="equal">
      <formula>"B"</formula>
    </cfRule>
    <cfRule type="cellIs" dxfId="2208" priority="2052" operator="equal">
      <formula>"S"</formula>
    </cfRule>
  </conditionalFormatting>
  <conditionalFormatting sqref="Y1034:Y1039">
    <cfRule type="cellIs" dxfId="2207" priority="1891" operator="equal">
      <formula>"S"</formula>
    </cfRule>
    <cfRule type="cellIs" dxfId="2206" priority="1892" operator="equal">
      <formula>"B"</formula>
    </cfRule>
    <cfRule type="expression" dxfId="2205" priority="1893">
      <formula>$AW1034="D"</formula>
    </cfRule>
    <cfRule type="cellIs" dxfId="2204" priority="1894" operator="equal">
      <formula>"B"</formula>
    </cfRule>
    <cfRule type="cellIs" dxfId="2203" priority="1895" operator="equal">
      <formula>"S"</formula>
    </cfRule>
    <cfRule type="expression" dxfId="2202" priority="1896">
      <formula>$AW1034="D"</formula>
    </cfRule>
    <cfRule type="cellIs" dxfId="2201" priority="1897" operator="equal">
      <formula>"B"</formula>
    </cfRule>
    <cfRule type="cellIs" dxfId="2200" priority="1898" operator="equal">
      <formula>"S"</formula>
    </cfRule>
    <cfRule type="cellIs" dxfId="2199" priority="1899" operator="equal">
      <formula>"S"</formula>
    </cfRule>
    <cfRule type="cellIs" dxfId="2198" priority="1900" operator="equal">
      <formula>"B"</formula>
    </cfRule>
    <cfRule type="expression" dxfId="2197" priority="1901">
      <formula>$AW1034="D"</formula>
    </cfRule>
    <cfRule type="cellIs" dxfId="2196" priority="1902" operator="equal">
      <formula>"B"</formula>
    </cfRule>
    <cfRule type="cellIs" dxfId="2195" priority="1903" operator="equal">
      <formula>"S"</formula>
    </cfRule>
    <cfRule type="expression" dxfId="2194" priority="1904">
      <formula>$AW1034="D"</formula>
    </cfRule>
    <cfRule type="cellIs" dxfId="2193" priority="1905" operator="equal">
      <formula>"B"</formula>
    </cfRule>
    <cfRule type="cellIs" dxfId="2192" priority="1906" operator="equal">
      <formula>"S"</formula>
    </cfRule>
    <cfRule type="cellIs" dxfId="2191" priority="1907" operator="equal">
      <formula>"S"</formula>
    </cfRule>
    <cfRule type="cellIs" dxfId="2190" priority="1908" operator="equal">
      <formula>"B"</formula>
    </cfRule>
    <cfRule type="expression" dxfId="2189" priority="1909">
      <formula>$AW1034="D"</formula>
    </cfRule>
    <cfRule type="cellIs" dxfId="2188" priority="1910" operator="equal">
      <formula>"B"</formula>
    </cfRule>
    <cfRule type="cellIs" dxfId="2187" priority="1911" operator="equal">
      <formula>"S"</formula>
    </cfRule>
    <cfRule type="expression" dxfId="2186" priority="1912">
      <formula>$AW1034="D"</formula>
    </cfRule>
    <cfRule type="cellIs" dxfId="2185" priority="1913" operator="equal">
      <formula>"B"</formula>
    </cfRule>
    <cfRule type="cellIs" dxfId="2184" priority="1914" operator="equal">
      <formula>"S"</formula>
    </cfRule>
    <cfRule type="cellIs" dxfId="2183" priority="1915" operator="equal">
      <formula>"S"</formula>
    </cfRule>
    <cfRule type="cellIs" dxfId="2182" priority="1916" operator="equal">
      <formula>"B"</formula>
    </cfRule>
    <cfRule type="expression" dxfId="2181" priority="1919">
      <formula>$AW1034="D"</formula>
    </cfRule>
    <cfRule type="cellIs" dxfId="2180" priority="1920" operator="equal">
      <formula>"B"</formula>
    </cfRule>
    <cfRule type="cellIs" dxfId="2179" priority="1921" operator="equal">
      <formula>"S"</formula>
    </cfRule>
    <cfRule type="expression" dxfId="2178" priority="1922">
      <formula>$AW1034="D"</formula>
    </cfRule>
    <cfRule type="cellIs" dxfId="2177" priority="1923" operator="equal">
      <formula>"B"</formula>
    </cfRule>
    <cfRule type="cellIs" dxfId="2176" priority="1924" operator="equal">
      <formula>"S"</formula>
    </cfRule>
    <cfRule type="expression" dxfId="2175" priority="1925">
      <formula>$AW1034="D"</formula>
    </cfRule>
    <cfRule type="cellIs" dxfId="2174" priority="1926" operator="equal">
      <formula>"B"</formula>
    </cfRule>
    <cfRule type="cellIs" dxfId="2173" priority="1927" operator="equal">
      <formula>"S"</formula>
    </cfRule>
    <cfRule type="expression" dxfId="2172" priority="1928">
      <formula>$AW1034="D"</formula>
    </cfRule>
    <cfRule type="cellIs" dxfId="2171" priority="1929" operator="equal">
      <formula>"B"</formula>
    </cfRule>
    <cfRule type="cellIs" dxfId="2170" priority="1930" operator="equal">
      <formula>"S"</formula>
    </cfRule>
    <cfRule type="cellIs" dxfId="2169" priority="1931" operator="equal">
      <formula>"S"</formula>
    </cfRule>
    <cfRule type="cellIs" dxfId="2168" priority="1932" operator="equal">
      <formula>"B"</formula>
    </cfRule>
    <cfRule type="expression" dxfId="2167" priority="1935">
      <formula>$AW1034="D"</formula>
    </cfRule>
    <cfRule type="cellIs" dxfId="2166" priority="1936" operator="equal">
      <formula>"B"</formula>
    </cfRule>
    <cfRule type="cellIs" dxfId="2165" priority="1937" operator="equal">
      <formula>"S"</formula>
    </cfRule>
    <cfRule type="expression" dxfId="2164" priority="1938">
      <formula>$AW1034="D"</formula>
    </cfRule>
    <cfRule type="cellIs" dxfId="2163" priority="1939" operator="equal">
      <formula>"B"</formula>
    </cfRule>
    <cfRule type="cellIs" dxfId="2162" priority="1940" operator="equal">
      <formula>"S"</formula>
    </cfRule>
    <cfRule type="expression" dxfId="2161" priority="1941">
      <formula>$AW1034="D"</formula>
    </cfRule>
    <cfRule type="cellIs" dxfId="2160" priority="1942" operator="equal">
      <formula>"B"</formula>
    </cfRule>
    <cfRule type="cellIs" dxfId="2159" priority="1943" operator="equal">
      <formula>"S"</formula>
    </cfRule>
    <cfRule type="expression" dxfId="2158" priority="1944">
      <formula>$AW1034="D"</formula>
    </cfRule>
    <cfRule type="cellIs" dxfId="2157" priority="1945" operator="equal">
      <formula>"B"</formula>
    </cfRule>
    <cfRule type="cellIs" dxfId="2156" priority="1946" operator="equal">
      <formula>"S"</formula>
    </cfRule>
    <cfRule type="cellIs" dxfId="2155" priority="1947" operator="equal">
      <formula>"S"</formula>
    </cfRule>
    <cfRule type="cellIs" dxfId="2154" priority="1948" operator="equal">
      <formula>"B"</formula>
    </cfRule>
    <cfRule type="expression" dxfId="2153" priority="1951">
      <formula>$AW1034="D"</formula>
    </cfRule>
    <cfRule type="cellIs" dxfId="2152" priority="1952" operator="equal">
      <formula>"B"</formula>
    </cfRule>
    <cfRule type="cellIs" dxfId="2151" priority="1953" operator="equal">
      <formula>"S"</formula>
    </cfRule>
    <cfRule type="expression" dxfId="2150" priority="1954">
      <formula>$AW1034="D"</formula>
    </cfRule>
    <cfRule type="cellIs" dxfId="2149" priority="1955" operator="equal">
      <formula>"B"</formula>
    </cfRule>
    <cfRule type="cellIs" dxfId="2148" priority="1956" operator="equal">
      <formula>"S"</formula>
    </cfRule>
  </conditionalFormatting>
  <conditionalFormatting sqref="Y1041:Y1042">
    <cfRule type="cellIs" dxfId="2147" priority="1808" operator="equal">
      <formula>"S"</formula>
    </cfRule>
    <cfRule type="cellIs" dxfId="2146" priority="1809" operator="equal">
      <formula>"B"</formula>
    </cfRule>
    <cfRule type="expression" dxfId="2145" priority="1810">
      <formula>$AW1041="D"</formula>
    </cfRule>
    <cfRule type="cellIs" dxfId="2144" priority="1811" operator="equal">
      <formula>"B"</formula>
    </cfRule>
    <cfRule type="cellIs" dxfId="2143" priority="1812" operator="equal">
      <formula>"S"</formula>
    </cfRule>
    <cfRule type="expression" dxfId="2142" priority="1813">
      <formula>$AW1041="D"</formula>
    </cfRule>
    <cfRule type="cellIs" dxfId="2141" priority="1814" operator="equal">
      <formula>"B"</formula>
    </cfRule>
    <cfRule type="cellIs" dxfId="2140" priority="1815" operator="equal">
      <formula>"S"</formula>
    </cfRule>
    <cfRule type="cellIs" dxfId="2139" priority="1816" operator="equal">
      <formula>"S"</formula>
    </cfRule>
    <cfRule type="cellIs" dxfId="2138" priority="1817" operator="equal">
      <formula>"B"</formula>
    </cfRule>
    <cfRule type="expression" dxfId="2137" priority="1819">
      <formula>$AW1041="D"</formula>
    </cfRule>
    <cfRule type="cellIs" dxfId="2136" priority="1820" operator="equal">
      <formula>"B"</formula>
    </cfRule>
    <cfRule type="cellIs" dxfId="2135" priority="1821" operator="equal">
      <formula>"S"</formula>
    </cfRule>
    <cfRule type="expression" dxfId="2134" priority="1822">
      <formula>$AW1041="D"</formula>
    </cfRule>
    <cfRule type="cellIs" dxfId="2133" priority="1823" operator="equal">
      <formula>"B"</formula>
    </cfRule>
    <cfRule type="cellIs" dxfId="2132" priority="1824" operator="equal">
      <formula>"S"</formula>
    </cfRule>
    <cfRule type="cellIs" dxfId="2131" priority="1825" operator="equal">
      <formula>"S"</formula>
    </cfRule>
    <cfRule type="cellIs" dxfId="2130" priority="1826" operator="equal">
      <formula>"B"</formula>
    </cfRule>
    <cfRule type="expression" dxfId="2129" priority="1828">
      <formula>$AW1041="D"</formula>
    </cfRule>
    <cfRule type="cellIs" dxfId="2128" priority="1829" operator="equal">
      <formula>"B"</formula>
    </cfRule>
    <cfRule type="cellIs" dxfId="2127" priority="1830" operator="equal">
      <formula>"S"</formula>
    </cfRule>
    <cfRule type="expression" dxfId="2126" priority="1832">
      <formula>$AW1041="D"</formula>
    </cfRule>
    <cfRule type="cellIs" dxfId="2125" priority="1833" operator="equal">
      <formula>"B"</formula>
    </cfRule>
    <cfRule type="cellIs" dxfId="2124" priority="1834" operator="equal">
      <formula>"S"</formula>
    </cfRule>
    <cfRule type="cellIs" dxfId="2123" priority="1835" operator="equal">
      <formula>"S"</formula>
    </cfRule>
    <cfRule type="cellIs" dxfId="2122" priority="1836" operator="equal">
      <formula>"B"</formula>
    </cfRule>
    <cfRule type="cellIs" dxfId="2121" priority="1838" operator="equal">
      <formula>"S"</formula>
    </cfRule>
    <cfRule type="cellIs" dxfId="2120" priority="1839" operator="equal">
      <formula>"B"</formula>
    </cfRule>
    <cfRule type="expression" dxfId="2119" priority="1840">
      <formula>$AW1041="D"</formula>
    </cfRule>
    <cfRule type="cellIs" dxfId="2118" priority="1841" operator="equal">
      <formula>"B"</formula>
    </cfRule>
    <cfRule type="cellIs" dxfId="2117" priority="1842" operator="equal">
      <formula>"S"</formula>
    </cfRule>
    <cfRule type="expression" dxfId="2116" priority="1843">
      <formula>$AW1041="D"</formula>
    </cfRule>
    <cfRule type="cellIs" dxfId="2115" priority="1844" operator="equal">
      <formula>"B"</formula>
    </cfRule>
    <cfRule type="cellIs" dxfId="2114" priority="1845" operator="equal">
      <formula>"S"</formula>
    </cfRule>
    <cfRule type="expression" dxfId="2113" priority="1849">
      <formula>$AW1041="D"</formula>
    </cfRule>
    <cfRule type="cellIs" dxfId="2112" priority="1850" operator="equal">
      <formula>"B"</formula>
    </cfRule>
    <cfRule type="cellIs" dxfId="2111" priority="1851" operator="equal">
      <formula>"S"</formula>
    </cfRule>
    <cfRule type="expression" dxfId="2110" priority="1852">
      <formula>$AW1041="D"</formula>
    </cfRule>
    <cfRule type="cellIs" dxfId="2109" priority="1853" operator="equal">
      <formula>"B"</formula>
    </cfRule>
    <cfRule type="cellIs" dxfId="2108" priority="1854" operator="equal">
      <formula>"S"</formula>
    </cfRule>
    <cfRule type="cellIs" dxfId="2107" priority="1855" operator="equal">
      <formula>"S"</formula>
    </cfRule>
    <cfRule type="cellIs" dxfId="2106" priority="1856" operator="equal">
      <formula>"B"</formula>
    </cfRule>
    <cfRule type="expression" dxfId="2105" priority="1857">
      <formula>$AW1041="D"</formula>
    </cfRule>
    <cfRule type="cellIs" dxfId="2104" priority="1858" operator="equal">
      <formula>"B"</formula>
    </cfRule>
    <cfRule type="cellIs" dxfId="2103" priority="1859" operator="equal">
      <formula>"S"</formula>
    </cfRule>
    <cfRule type="expression" dxfId="2102" priority="1860">
      <formula>$AW1041="D"</formula>
    </cfRule>
    <cfRule type="cellIs" dxfId="2101" priority="1861" operator="equal">
      <formula>"B"</formula>
    </cfRule>
    <cfRule type="cellIs" dxfId="2100" priority="1862" operator="equal">
      <formula>"S"</formula>
    </cfRule>
    <cfRule type="expression" dxfId="2099" priority="1863">
      <formula>$AW1041="D"</formula>
    </cfRule>
    <cfRule type="cellIs" dxfId="2098" priority="1864" operator="equal">
      <formula>"B"</formula>
    </cfRule>
    <cfRule type="cellIs" dxfId="2097" priority="1865" operator="equal">
      <formula>"S"</formula>
    </cfRule>
    <cfRule type="expression" dxfId="2096" priority="1866">
      <formula>$AW1041="D"</formula>
    </cfRule>
    <cfRule type="cellIs" dxfId="2095" priority="1867" operator="equal">
      <formula>"B"</formula>
    </cfRule>
    <cfRule type="cellIs" dxfId="2094" priority="1868" operator="equal">
      <formula>"S"</formula>
    </cfRule>
    <cfRule type="cellIs" dxfId="2093" priority="1869" operator="equal">
      <formula>"S"</formula>
    </cfRule>
    <cfRule type="cellIs" dxfId="2092" priority="1870" operator="equal">
      <formula>"B"</formula>
    </cfRule>
    <cfRule type="expression" dxfId="2091" priority="1871">
      <formula>$AW1041="D"</formula>
    </cfRule>
    <cfRule type="cellIs" dxfId="2090" priority="1872" operator="equal">
      <formula>"B"</formula>
    </cfRule>
    <cfRule type="cellIs" dxfId="2089" priority="1873" operator="equal">
      <formula>"S"</formula>
    </cfRule>
    <cfRule type="expression" dxfId="2088" priority="1874">
      <formula>$AW1041="D"</formula>
    </cfRule>
    <cfRule type="cellIs" dxfId="2087" priority="1875" operator="equal">
      <formula>"B"</formula>
    </cfRule>
    <cfRule type="cellIs" dxfId="2086" priority="1876" operator="equal">
      <formula>"S"</formula>
    </cfRule>
  </conditionalFormatting>
  <conditionalFormatting sqref="Y1049:Y1050">
    <cfRule type="cellIs" dxfId="2085" priority="1738" operator="equal">
      <formula>"S"</formula>
    </cfRule>
    <cfRule type="cellIs" dxfId="2084" priority="1739" operator="equal">
      <formula>"B"</formula>
    </cfRule>
    <cfRule type="expression" dxfId="2083" priority="1740">
      <formula>$AW1049="D"</formula>
    </cfRule>
    <cfRule type="cellIs" dxfId="2082" priority="1741" operator="equal">
      <formula>"B"</formula>
    </cfRule>
    <cfRule type="cellIs" dxfId="2081" priority="1742" operator="equal">
      <formula>"S"</formula>
    </cfRule>
    <cfRule type="expression" dxfId="2080" priority="1743">
      <formula>$AW1049="D"</formula>
    </cfRule>
    <cfRule type="cellIs" dxfId="2079" priority="1744" operator="equal">
      <formula>"B"</formula>
    </cfRule>
    <cfRule type="cellIs" dxfId="2078" priority="1745" operator="equal">
      <formula>"S"</formula>
    </cfRule>
    <cfRule type="cellIs" dxfId="2077" priority="1746" operator="equal">
      <formula>"S"</formula>
    </cfRule>
    <cfRule type="cellIs" dxfId="2076" priority="1747" operator="equal">
      <formula>"B"</formula>
    </cfRule>
    <cfRule type="expression" dxfId="2075" priority="1748">
      <formula>$AW1049="D"</formula>
    </cfRule>
    <cfRule type="cellIs" dxfId="2074" priority="1749" operator="equal">
      <formula>"B"</formula>
    </cfRule>
    <cfRule type="cellIs" dxfId="2073" priority="1750" operator="equal">
      <formula>"S"</formula>
    </cfRule>
    <cfRule type="expression" dxfId="2072" priority="1751">
      <formula>$AW1049="D"</formula>
    </cfRule>
    <cfRule type="cellIs" dxfId="2071" priority="1752" operator="equal">
      <formula>"B"</formula>
    </cfRule>
    <cfRule type="cellIs" dxfId="2070" priority="1753" operator="equal">
      <formula>"S"</formula>
    </cfRule>
    <cfRule type="cellIs" dxfId="2069" priority="1754" operator="equal">
      <formula>"S"</formula>
    </cfRule>
    <cfRule type="cellIs" dxfId="2068" priority="1755" operator="equal">
      <formula>"B"</formula>
    </cfRule>
    <cfRule type="expression" dxfId="2067" priority="1756">
      <formula>$AW1049="D"</formula>
    </cfRule>
    <cfRule type="cellIs" dxfId="2066" priority="1757" operator="equal">
      <formula>"B"</formula>
    </cfRule>
    <cfRule type="cellIs" dxfId="2065" priority="1758" operator="equal">
      <formula>"S"</formula>
    </cfRule>
    <cfRule type="expression" dxfId="2064" priority="1759">
      <formula>$AW1049="D"</formula>
    </cfRule>
    <cfRule type="cellIs" dxfId="2063" priority="1760" operator="equal">
      <formula>"B"</formula>
    </cfRule>
    <cfRule type="cellIs" dxfId="2062" priority="1761" operator="equal">
      <formula>"S"</formula>
    </cfRule>
    <cfRule type="cellIs" dxfId="2061" priority="1762" operator="equal">
      <formula>"S"</formula>
    </cfRule>
    <cfRule type="cellIs" dxfId="2060" priority="1763" operator="equal">
      <formula>"B"</formula>
    </cfRule>
    <cfRule type="expression" dxfId="2059" priority="1766">
      <formula>$AW1049="D"</formula>
    </cfRule>
    <cfRule type="cellIs" dxfId="2058" priority="1767" operator="equal">
      <formula>"B"</formula>
    </cfRule>
    <cfRule type="cellIs" dxfId="2057" priority="1768" operator="equal">
      <formula>"S"</formula>
    </cfRule>
    <cfRule type="expression" dxfId="2056" priority="1769">
      <formula>$AW1049="D"</formula>
    </cfRule>
    <cfRule type="cellIs" dxfId="2055" priority="1770" operator="equal">
      <formula>"B"</formula>
    </cfRule>
    <cfRule type="cellIs" dxfId="2054" priority="1771" operator="equal">
      <formula>"S"</formula>
    </cfRule>
    <cfRule type="expression" dxfId="2053" priority="1772">
      <formula>$AW1049="D"</formula>
    </cfRule>
    <cfRule type="cellIs" dxfId="2052" priority="1773" operator="equal">
      <formula>"B"</formula>
    </cfRule>
    <cfRule type="cellIs" dxfId="2051" priority="1774" operator="equal">
      <formula>"S"</formula>
    </cfRule>
    <cfRule type="expression" dxfId="2050" priority="1775">
      <formula>$AW1049="D"</formula>
    </cfRule>
    <cfRule type="cellIs" dxfId="2049" priority="1776" operator="equal">
      <formula>"B"</formula>
    </cfRule>
    <cfRule type="cellIs" dxfId="2048" priority="1777" operator="equal">
      <formula>"S"</formula>
    </cfRule>
    <cfRule type="cellIs" dxfId="2047" priority="1778" operator="equal">
      <formula>"S"</formula>
    </cfRule>
    <cfRule type="cellIs" dxfId="2046" priority="1779" operator="equal">
      <formula>"B"</formula>
    </cfRule>
    <cfRule type="expression" dxfId="2045" priority="1780">
      <formula>$AW1049="D"</formula>
    </cfRule>
    <cfRule type="cellIs" dxfId="2044" priority="1781" operator="equal">
      <formula>"B"</formula>
    </cfRule>
    <cfRule type="cellIs" dxfId="2043" priority="1782" operator="equal">
      <formula>"S"</formula>
    </cfRule>
    <cfRule type="expression" dxfId="2042" priority="1783">
      <formula>$AW1049="D"</formula>
    </cfRule>
    <cfRule type="cellIs" dxfId="2041" priority="1784" operator="equal">
      <formula>"B"</formula>
    </cfRule>
    <cfRule type="cellIs" dxfId="2040" priority="1785" operator="equal">
      <formula>"S"</formula>
    </cfRule>
    <cfRule type="expression" dxfId="2039" priority="1786">
      <formula>$AW1049="D"</formula>
    </cfRule>
    <cfRule type="cellIs" dxfId="2038" priority="1787" operator="equal">
      <formula>"B"</formula>
    </cfRule>
    <cfRule type="cellIs" dxfId="2037" priority="1788" operator="equal">
      <formula>"S"</formula>
    </cfRule>
    <cfRule type="expression" dxfId="2036" priority="1789">
      <formula>$AW1049="D"</formula>
    </cfRule>
    <cfRule type="cellIs" dxfId="2035" priority="1790" operator="equal">
      <formula>"B"</formula>
    </cfRule>
    <cfRule type="cellIs" dxfId="2034" priority="1791" operator="equal">
      <formula>"S"</formula>
    </cfRule>
    <cfRule type="cellIs" dxfId="2033" priority="1792" operator="equal">
      <formula>"S"</formula>
    </cfRule>
    <cfRule type="cellIs" dxfId="2032" priority="1793" operator="equal">
      <formula>"B"</formula>
    </cfRule>
    <cfRule type="expression" dxfId="2031" priority="1794">
      <formula>$AW1049="D"</formula>
    </cfRule>
    <cfRule type="cellIs" dxfId="2030" priority="1795" operator="equal">
      <formula>"B"</formula>
    </cfRule>
    <cfRule type="cellIs" dxfId="2029" priority="1796" operator="equal">
      <formula>"S"</formula>
    </cfRule>
    <cfRule type="expression" dxfId="2028" priority="1797">
      <formula>$AW1049="D"</formula>
    </cfRule>
    <cfRule type="cellIs" dxfId="2027" priority="1798" operator="equal">
      <formula>"B"</formula>
    </cfRule>
    <cfRule type="cellIs" dxfId="2026" priority="1799" operator="equal">
      <formula>"S"</formula>
    </cfRule>
  </conditionalFormatting>
  <conditionalFormatting sqref="Y1055:Y1078">
    <cfRule type="cellIs" dxfId="2025" priority="1663" operator="equal">
      <formula>"S"</formula>
    </cfRule>
    <cfRule type="cellIs" dxfId="2024" priority="1664" operator="equal">
      <formula>"B"</formula>
    </cfRule>
    <cfRule type="expression" dxfId="2023" priority="1665">
      <formula>$AW1055="D"</formula>
    </cfRule>
    <cfRule type="cellIs" dxfId="2022" priority="1666" operator="equal">
      <formula>"B"</formula>
    </cfRule>
    <cfRule type="cellIs" dxfId="2021" priority="1667" operator="equal">
      <formula>"S"</formula>
    </cfRule>
    <cfRule type="expression" dxfId="2020" priority="1668">
      <formula>$AW1055="D"</formula>
    </cfRule>
    <cfRule type="cellIs" dxfId="2019" priority="1669" operator="equal">
      <formula>"B"</formula>
    </cfRule>
    <cfRule type="cellIs" dxfId="2018" priority="1670" operator="equal">
      <formula>"S"</formula>
    </cfRule>
    <cfRule type="cellIs" dxfId="2017" priority="1671" operator="equal">
      <formula>"S"</formula>
    </cfRule>
    <cfRule type="cellIs" dxfId="2016" priority="1672" operator="equal">
      <formula>"B"</formula>
    </cfRule>
    <cfRule type="expression" dxfId="2015" priority="1673">
      <formula>$AW1055="D"</formula>
    </cfRule>
    <cfRule type="cellIs" dxfId="2014" priority="1674" operator="equal">
      <formula>"B"</formula>
    </cfRule>
    <cfRule type="cellIs" dxfId="2013" priority="1675" operator="equal">
      <formula>"S"</formula>
    </cfRule>
    <cfRule type="expression" dxfId="2012" priority="1676">
      <formula>$AW1055="D"</formula>
    </cfRule>
    <cfRule type="cellIs" dxfId="2011" priority="1677" operator="equal">
      <formula>"B"</formula>
    </cfRule>
    <cfRule type="cellIs" dxfId="2010" priority="1678" operator="equal">
      <formula>"S"</formula>
    </cfRule>
    <cfRule type="cellIs" dxfId="2009" priority="1679" operator="equal">
      <formula>"S"</formula>
    </cfRule>
    <cfRule type="cellIs" dxfId="2008" priority="1680" operator="equal">
      <formula>"B"</formula>
    </cfRule>
    <cfRule type="expression" dxfId="2007" priority="1681">
      <formula>$AW1055="D"</formula>
    </cfRule>
    <cfRule type="cellIs" dxfId="2006" priority="1682" operator="equal">
      <formula>"B"</formula>
    </cfRule>
    <cfRule type="cellIs" dxfId="2005" priority="1683" operator="equal">
      <formula>"S"</formula>
    </cfRule>
    <cfRule type="expression" dxfId="2004" priority="1684">
      <formula>$AW1055="D"</formula>
    </cfRule>
    <cfRule type="cellIs" dxfId="2003" priority="1685" operator="equal">
      <formula>"B"</formula>
    </cfRule>
    <cfRule type="cellIs" dxfId="2002" priority="1686" operator="equal">
      <formula>"S"</formula>
    </cfRule>
    <cfRule type="cellIs" dxfId="2001" priority="1687" operator="equal">
      <formula>"S"</formula>
    </cfRule>
    <cfRule type="cellIs" dxfId="2000" priority="1688" operator="equal">
      <formula>"B"</formula>
    </cfRule>
    <cfRule type="expression" dxfId="1999" priority="1691">
      <formula>$AW1055="D"</formula>
    </cfRule>
    <cfRule type="cellIs" dxfId="1998" priority="1692" operator="equal">
      <formula>"B"</formula>
    </cfRule>
    <cfRule type="cellIs" dxfId="1997" priority="1693" operator="equal">
      <formula>"S"</formula>
    </cfRule>
    <cfRule type="expression" dxfId="1996" priority="1694">
      <formula>$AW1055="D"</formula>
    </cfRule>
    <cfRule type="cellIs" dxfId="1995" priority="1695" operator="equal">
      <formula>"B"</formula>
    </cfRule>
    <cfRule type="cellIs" dxfId="1994" priority="1696" operator="equal">
      <formula>"S"</formula>
    </cfRule>
    <cfRule type="expression" dxfId="1993" priority="1697">
      <formula>$AW1055="D"</formula>
    </cfRule>
    <cfRule type="cellIs" dxfId="1992" priority="1698" operator="equal">
      <formula>"B"</formula>
    </cfRule>
    <cfRule type="cellIs" dxfId="1991" priority="1699" operator="equal">
      <formula>"S"</formula>
    </cfRule>
    <cfRule type="expression" dxfId="1990" priority="1700">
      <formula>$AW1055="D"</formula>
    </cfRule>
    <cfRule type="cellIs" dxfId="1989" priority="1701" operator="equal">
      <formula>"B"</formula>
    </cfRule>
    <cfRule type="cellIs" dxfId="1988" priority="1702" operator="equal">
      <formula>"S"</formula>
    </cfRule>
    <cfRule type="cellIs" dxfId="1987" priority="1703" operator="equal">
      <formula>"S"</formula>
    </cfRule>
    <cfRule type="cellIs" dxfId="1986" priority="1704" operator="equal">
      <formula>"B"</formula>
    </cfRule>
    <cfRule type="expression" dxfId="1985" priority="1705">
      <formula>$AW1055="D"</formula>
    </cfRule>
    <cfRule type="cellIs" dxfId="1984" priority="1706" operator="equal">
      <formula>"B"</formula>
    </cfRule>
    <cfRule type="cellIs" dxfId="1983" priority="1707" operator="equal">
      <formula>"S"</formula>
    </cfRule>
    <cfRule type="expression" dxfId="1982" priority="1708">
      <formula>$AW1055="D"</formula>
    </cfRule>
    <cfRule type="cellIs" dxfId="1981" priority="1709" operator="equal">
      <formula>"B"</formula>
    </cfRule>
    <cfRule type="cellIs" dxfId="1980" priority="1710" operator="equal">
      <formula>"S"</formula>
    </cfRule>
    <cfRule type="expression" dxfId="1979" priority="1711">
      <formula>$AW1055="D"</formula>
    </cfRule>
    <cfRule type="cellIs" dxfId="1978" priority="1712" operator="equal">
      <formula>"B"</formula>
    </cfRule>
    <cfRule type="cellIs" dxfId="1977" priority="1713" operator="equal">
      <formula>"S"</formula>
    </cfRule>
    <cfRule type="expression" dxfId="1976" priority="1714">
      <formula>$AW1055="D"</formula>
    </cfRule>
    <cfRule type="cellIs" dxfId="1975" priority="1715" operator="equal">
      <formula>"B"</formula>
    </cfRule>
    <cfRule type="cellIs" dxfId="1974" priority="1716" operator="equal">
      <formula>"S"</formula>
    </cfRule>
    <cfRule type="cellIs" dxfId="1973" priority="1717" operator="equal">
      <formula>"S"</formula>
    </cfRule>
    <cfRule type="cellIs" dxfId="1972" priority="1718" operator="equal">
      <formula>"B"</formula>
    </cfRule>
    <cfRule type="expression" dxfId="1971" priority="1719">
      <formula>$AW1055="D"</formula>
    </cfRule>
    <cfRule type="cellIs" dxfId="1970" priority="1720" operator="equal">
      <formula>"B"</formula>
    </cfRule>
    <cfRule type="cellIs" dxfId="1969" priority="1721" operator="equal">
      <formula>"S"</formula>
    </cfRule>
    <cfRule type="expression" dxfId="1968" priority="1722">
      <formula>$AW1055="D"</formula>
    </cfRule>
    <cfRule type="cellIs" dxfId="1967" priority="1723" operator="equal">
      <formula>"B"</formula>
    </cfRule>
    <cfRule type="cellIs" dxfId="1966" priority="1724" operator="equal">
      <formula>"S"</formula>
    </cfRule>
  </conditionalFormatting>
  <conditionalFormatting sqref="Y1080:Y1081">
    <cfRule type="expression" dxfId="1965" priority="1527">
      <formula>$AW1080="D"</formula>
    </cfRule>
    <cfRule type="cellIs" dxfId="1964" priority="1528" operator="equal">
      <formula>"B"</formula>
    </cfRule>
    <cfRule type="cellIs" dxfId="1963" priority="1529" operator="equal">
      <formula>"S"</formula>
    </cfRule>
    <cfRule type="cellIs" dxfId="1962" priority="1530" operator="equal">
      <formula>"S"</formula>
    </cfRule>
    <cfRule type="cellIs" dxfId="1961" priority="1531" operator="equal">
      <formula>"B"</formula>
    </cfRule>
    <cfRule type="expression" dxfId="1960" priority="1532">
      <formula>$AW1080="D"</formula>
    </cfRule>
    <cfRule type="cellIs" dxfId="1959" priority="1533" operator="equal">
      <formula>"B"</formula>
    </cfRule>
    <cfRule type="cellIs" dxfId="1958" priority="1534" operator="equal">
      <formula>"S"</formula>
    </cfRule>
    <cfRule type="expression" dxfId="1957" priority="1535">
      <formula>$AW1080="D"</formula>
    </cfRule>
    <cfRule type="cellIs" dxfId="1956" priority="1536" operator="equal">
      <formula>"B"</formula>
    </cfRule>
    <cfRule type="cellIs" dxfId="1955" priority="1537" operator="equal">
      <formula>"S"</formula>
    </cfRule>
    <cfRule type="cellIs" dxfId="1954" priority="1538" operator="equal">
      <formula>"S"</formula>
    </cfRule>
    <cfRule type="cellIs" dxfId="1953" priority="1539" operator="equal">
      <formula>"B"</formula>
    </cfRule>
    <cfRule type="expression" dxfId="1952" priority="1540">
      <formula>$AW1080="D"</formula>
    </cfRule>
    <cfRule type="cellIs" dxfId="1951" priority="1541" operator="equal">
      <formula>"B"</formula>
    </cfRule>
    <cfRule type="cellIs" dxfId="1950" priority="1542" operator="equal">
      <formula>"S"</formula>
    </cfRule>
    <cfRule type="expression" dxfId="1949" priority="1543">
      <formula>$AW1080="D"</formula>
    </cfRule>
    <cfRule type="cellIs" dxfId="1948" priority="1544" operator="equal">
      <formula>"B"</formula>
    </cfRule>
    <cfRule type="cellIs" dxfId="1947" priority="1545" operator="equal">
      <formula>"S"</formula>
    </cfRule>
    <cfRule type="cellIs" dxfId="1946" priority="1546" operator="equal">
      <formula>"S"</formula>
    </cfRule>
    <cfRule type="cellIs" dxfId="1945" priority="1547" operator="equal">
      <formula>"B"</formula>
    </cfRule>
    <cfRule type="expression" dxfId="1944" priority="1550">
      <formula>$AW1080="D"</formula>
    </cfRule>
    <cfRule type="cellIs" dxfId="1943" priority="1551" operator="equal">
      <formula>"B"</formula>
    </cfRule>
    <cfRule type="cellIs" dxfId="1942" priority="1552" operator="equal">
      <formula>"S"</formula>
    </cfRule>
    <cfRule type="expression" dxfId="1941" priority="1553">
      <formula>$AW1080="D"</formula>
    </cfRule>
    <cfRule type="cellIs" dxfId="1940" priority="1554" operator="equal">
      <formula>"B"</formula>
    </cfRule>
    <cfRule type="cellIs" dxfId="1939" priority="1555" operator="equal">
      <formula>"S"</formula>
    </cfRule>
    <cfRule type="expression" dxfId="1938" priority="1556">
      <formula>$AW1080="D"</formula>
    </cfRule>
    <cfRule type="cellIs" dxfId="1937" priority="1557" operator="equal">
      <formula>"B"</formula>
    </cfRule>
    <cfRule type="cellIs" dxfId="1936" priority="1558" operator="equal">
      <formula>"S"</formula>
    </cfRule>
    <cfRule type="expression" dxfId="1935" priority="1559">
      <formula>$AW1080="D"</formula>
    </cfRule>
    <cfRule type="cellIs" dxfId="1934" priority="1560" operator="equal">
      <formula>"B"</formula>
    </cfRule>
    <cfRule type="cellIs" dxfId="1933" priority="1561" operator="equal">
      <formula>"S"</formula>
    </cfRule>
    <cfRule type="cellIs" dxfId="1932" priority="1562" operator="equal">
      <formula>"S"</formula>
    </cfRule>
    <cfRule type="cellIs" dxfId="1931" priority="1563" operator="equal">
      <formula>"B"</formula>
    </cfRule>
    <cfRule type="expression" dxfId="1930" priority="1564">
      <formula>$AW1080="D"</formula>
    </cfRule>
    <cfRule type="cellIs" dxfId="1929" priority="1565" operator="equal">
      <formula>"B"</formula>
    </cfRule>
    <cfRule type="cellIs" dxfId="1928" priority="1566" operator="equal">
      <formula>"S"</formula>
    </cfRule>
    <cfRule type="expression" dxfId="1927" priority="1567">
      <formula>$AW1080="D"</formula>
    </cfRule>
    <cfRule type="cellIs" dxfId="1926" priority="1568" operator="equal">
      <formula>"B"</formula>
    </cfRule>
    <cfRule type="cellIs" dxfId="1925" priority="1569" operator="equal">
      <formula>"S"</formula>
    </cfRule>
    <cfRule type="expression" dxfId="1924" priority="1570">
      <formula>$AW1080="D"</formula>
    </cfRule>
    <cfRule type="cellIs" dxfId="1923" priority="1571" operator="equal">
      <formula>"B"</formula>
    </cfRule>
    <cfRule type="cellIs" dxfId="1922" priority="1572" operator="equal">
      <formula>"S"</formula>
    </cfRule>
    <cfRule type="expression" dxfId="1921" priority="1573">
      <formula>$AW1080="D"</formula>
    </cfRule>
    <cfRule type="cellIs" dxfId="1920" priority="1574" operator="equal">
      <formula>"B"</formula>
    </cfRule>
    <cfRule type="cellIs" dxfId="1919" priority="1575" operator="equal">
      <formula>"S"</formula>
    </cfRule>
    <cfRule type="cellIs" dxfId="1918" priority="1576" operator="equal">
      <formula>"S"</formula>
    </cfRule>
    <cfRule type="cellIs" dxfId="1917" priority="1577" operator="equal">
      <formula>"B"</formula>
    </cfRule>
    <cfRule type="expression" dxfId="1916" priority="1578">
      <formula>$AW1080="D"</formula>
    </cfRule>
    <cfRule type="cellIs" dxfId="1915" priority="1579" operator="equal">
      <formula>"B"</formula>
    </cfRule>
    <cfRule type="cellIs" dxfId="1914" priority="1580" operator="equal">
      <formula>"S"</formula>
    </cfRule>
    <cfRule type="expression" dxfId="1913" priority="1581">
      <formula>$AW1080="D"</formula>
    </cfRule>
    <cfRule type="cellIs" dxfId="1912" priority="1582" operator="equal">
      <formula>"B"</formula>
    </cfRule>
    <cfRule type="cellIs" dxfId="1911" priority="1583" operator="equal">
      <formula>"S"</formula>
    </cfRule>
  </conditionalFormatting>
  <conditionalFormatting sqref="Y1080:Y1084">
    <cfRule type="cellIs" dxfId="1910" priority="1501" operator="equal">
      <formula>"S"</formula>
    </cfRule>
    <cfRule type="cellIs" dxfId="1909" priority="1502" operator="equal">
      <formula>"B"</formula>
    </cfRule>
    <cfRule type="expression" dxfId="1908" priority="1506">
      <formula>$AW1080="D"</formula>
    </cfRule>
    <cfRule type="cellIs" dxfId="1907" priority="1507" operator="equal">
      <formula>"B"</formula>
    </cfRule>
    <cfRule type="cellIs" dxfId="1906" priority="1508" operator="equal">
      <formula>"S"</formula>
    </cfRule>
  </conditionalFormatting>
  <conditionalFormatting sqref="Y1082:Y1084">
    <cfRule type="cellIs" dxfId="1905" priority="1440" operator="equal">
      <formula>"S"</formula>
    </cfRule>
    <cfRule type="cellIs" dxfId="1904" priority="1441" operator="equal">
      <formula>"B"</formula>
    </cfRule>
    <cfRule type="expression" dxfId="1903" priority="1442">
      <formula>$AW1082="D"</formula>
    </cfRule>
    <cfRule type="cellIs" dxfId="1902" priority="1443" operator="equal">
      <formula>"B"</formula>
    </cfRule>
    <cfRule type="cellIs" dxfId="1901" priority="1444" operator="equal">
      <formula>"S"</formula>
    </cfRule>
    <cfRule type="expression" dxfId="1900" priority="1445">
      <formula>$AW1082="D"</formula>
    </cfRule>
    <cfRule type="cellIs" dxfId="1899" priority="1446" operator="equal">
      <formula>"B"</formula>
    </cfRule>
    <cfRule type="cellIs" dxfId="1898" priority="1447" operator="equal">
      <formula>"S"</formula>
    </cfRule>
    <cfRule type="cellIs" dxfId="1897" priority="1448" operator="equal">
      <formula>"S"</formula>
    </cfRule>
    <cfRule type="cellIs" dxfId="1896" priority="1449" operator="equal">
      <formula>"B"</formula>
    </cfRule>
    <cfRule type="expression" dxfId="1895" priority="1451">
      <formula>$AW1082="D"</formula>
    </cfRule>
    <cfRule type="cellIs" dxfId="1894" priority="1452" operator="equal">
      <formula>"B"</formula>
    </cfRule>
    <cfRule type="cellIs" dxfId="1893" priority="1453" operator="equal">
      <formula>"S"</formula>
    </cfRule>
    <cfRule type="expression" dxfId="1892" priority="1454">
      <formula>$AW1082="D"</formula>
    </cfRule>
    <cfRule type="cellIs" dxfId="1891" priority="1455" operator="equal">
      <formula>"B"</formula>
    </cfRule>
    <cfRule type="cellIs" dxfId="1890" priority="1456" operator="equal">
      <formula>"S"</formula>
    </cfRule>
    <cfRule type="cellIs" dxfId="1889" priority="1457" operator="equal">
      <formula>"S"</formula>
    </cfRule>
    <cfRule type="cellIs" dxfId="1888" priority="1458" operator="equal">
      <formula>"B"</formula>
    </cfRule>
    <cfRule type="expression" dxfId="1887" priority="1460">
      <formula>$AW1082="D"</formula>
    </cfRule>
    <cfRule type="cellIs" dxfId="1886" priority="1461" operator="equal">
      <formula>"B"</formula>
    </cfRule>
    <cfRule type="cellIs" dxfId="1885" priority="1462" operator="equal">
      <formula>"S"</formula>
    </cfRule>
    <cfRule type="expression" dxfId="1884" priority="1464">
      <formula>$AW1082="D"</formula>
    </cfRule>
    <cfRule type="cellIs" dxfId="1883" priority="1465" operator="equal">
      <formula>"B"</formula>
    </cfRule>
    <cfRule type="cellIs" dxfId="1882" priority="1466" operator="equal">
      <formula>"S"</formula>
    </cfRule>
    <cfRule type="cellIs" dxfId="1881" priority="1467" operator="equal">
      <formula>"S"</formula>
    </cfRule>
    <cfRule type="cellIs" dxfId="1880" priority="1468" operator="equal">
      <formula>"B"</formula>
    </cfRule>
    <cfRule type="cellIs" dxfId="1879" priority="1470" operator="equal">
      <formula>"S"</formula>
    </cfRule>
    <cfRule type="cellIs" dxfId="1878" priority="1471" operator="equal">
      <formula>"B"</formula>
    </cfRule>
    <cfRule type="expression" dxfId="1877" priority="1472">
      <formula>$AW1082="D"</formula>
    </cfRule>
    <cfRule type="cellIs" dxfId="1876" priority="1473" operator="equal">
      <formula>"B"</formula>
    </cfRule>
    <cfRule type="cellIs" dxfId="1875" priority="1474" operator="equal">
      <formula>"S"</formula>
    </cfRule>
    <cfRule type="expression" dxfId="1874" priority="1475">
      <formula>$AW1082="D"</formula>
    </cfRule>
    <cfRule type="cellIs" dxfId="1873" priority="1476" operator="equal">
      <formula>"B"</formula>
    </cfRule>
    <cfRule type="cellIs" dxfId="1872" priority="1477" operator="equal">
      <formula>"S"</formula>
    </cfRule>
    <cfRule type="expression" dxfId="1871" priority="1481">
      <formula>$AW1082="D"</formula>
    </cfRule>
    <cfRule type="cellIs" dxfId="1870" priority="1482" operator="equal">
      <formula>"B"</formula>
    </cfRule>
    <cfRule type="cellIs" dxfId="1869" priority="1483" operator="equal">
      <formula>"S"</formula>
    </cfRule>
    <cfRule type="expression" dxfId="1868" priority="1484">
      <formula>$AW1082="D"</formula>
    </cfRule>
    <cfRule type="cellIs" dxfId="1867" priority="1485" operator="equal">
      <formula>"B"</formula>
    </cfRule>
    <cfRule type="cellIs" dxfId="1866" priority="1486" operator="equal">
      <formula>"S"</formula>
    </cfRule>
    <cfRule type="cellIs" dxfId="1865" priority="1487" operator="equal">
      <formula>"S"</formula>
    </cfRule>
    <cfRule type="cellIs" dxfId="1864" priority="1488" operator="equal">
      <formula>"B"</formula>
    </cfRule>
    <cfRule type="expression" dxfId="1863" priority="1489">
      <formula>$AW1082="D"</formula>
    </cfRule>
    <cfRule type="cellIs" dxfId="1862" priority="1490" operator="equal">
      <formula>"B"</formula>
    </cfRule>
    <cfRule type="cellIs" dxfId="1861" priority="1491" operator="equal">
      <formula>"S"</formula>
    </cfRule>
    <cfRule type="expression" dxfId="1860" priority="1492">
      <formula>$AW1082="D"</formula>
    </cfRule>
    <cfRule type="cellIs" dxfId="1859" priority="1493" operator="equal">
      <formula>"B"</formula>
    </cfRule>
    <cfRule type="cellIs" dxfId="1858" priority="1494" operator="equal">
      <formula>"S"</formula>
    </cfRule>
    <cfRule type="expression" dxfId="1857" priority="1495">
      <formula>$AW1082="D"</formula>
    </cfRule>
    <cfRule type="cellIs" dxfId="1856" priority="1496" operator="equal">
      <formula>"B"</formula>
    </cfRule>
    <cfRule type="cellIs" dxfId="1855" priority="1497" operator="equal">
      <formula>"S"</formula>
    </cfRule>
    <cfRule type="expression" dxfId="1854" priority="1498">
      <formula>$AW1082="D"</formula>
    </cfRule>
    <cfRule type="cellIs" dxfId="1853" priority="1499" operator="equal">
      <formula>"B"</formula>
    </cfRule>
    <cfRule type="cellIs" dxfId="1852" priority="1500" operator="equal">
      <formula>"S"</formula>
    </cfRule>
    <cfRule type="expression" dxfId="1851" priority="1503">
      <formula>$AW1082="D"</formula>
    </cfRule>
    <cfRule type="cellIs" dxfId="1850" priority="1504" operator="equal">
      <formula>"B"</formula>
    </cfRule>
    <cfRule type="cellIs" dxfId="1849" priority="1505" operator="equal">
      <formula>"S"</formula>
    </cfRule>
  </conditionalFormatting>
  <conditionalFormatting sqref="Y1087">
    <cfRule type="cellIs" dxfId="1848" priority="1371" operator="equal">
      <formula>"S"</formula>
    </cfRule>
    <cfRule type="cellIs" dxfId="1847" priority="1372" operator="equal">
      <formula>"B"</formula>
    </cfRule>
    <cfRule type="expression" dxfId="1846" priority="1373">
      <formula>$AW1087="D"</formula>
    </cfRule>
    <cfRule type="cellIs" dxfId="1845" priority="1374" operator="equal">
      <formula>"B"</formula>
    </cfRule>
    <cfRule type="cellIs" dxfId="1844" priority="1375" operator="equal">
      <formula>"S"</formula>
    </cfRule>
    <cfRule type="expression" dxfId="1843" priority="1376">
      <formula>$AW1087="D"</formula>
    </cfRule>
    <cfRule type="cellIs" dxfId="1842" priority="1377" operator="equal">
      <formula>"B"</formula>
    </cfRule>
    <cfRule type="cellIs" dxfId="1841" priority="1378" operator="equal">
      <formula>"S"</formula>
    </cfRule>
    <cfRule type="cellIs" dxfId="1840" priority="1379" operator="equal">
      <formula>"S"</formula>
    </cfRule>
    <cfRule type="cellIs" dxfId="1839" priority="1380" operator="equal">
      <formula>"B"</formula>
    </cfRule>
    <cfRule type="expression" dxfId="1838" priority="1382">
      <formula>$AW1087="D"</formula>
    </cfRule>
    <cfRule type="cellIs" dxfId="1837" priority="1383" operator="equal">
      <formula>"B"</formula>
    </cfRule>
    <cfRule type="cellIs" dxfId="1836" priority="1384" operator="equal">
      <formula>"S"</formula>
    </cfRule>
    <cfRule type="expression" dxfId="1835" priority="1385">
      <formula>$AW1087="D"</formula>
    </cfRule>
    <cfRule type="cellIs" dxfId="1834" priority="1386" operator="equal">
      <formula>"B"</formula>
    </cfRule>
    <cfRule type="cellIs" dxfId="1833" priority="1387" operator="equal">
      <formula>"S"</formula>
    </cfRule>
    <cfRule type="cellIs" dxfId="1832" priority="1388" operator="equal">
      <formula>"S"</formula>
    </cfRule>
    <cfRule type="cellIs" dxfId="1831" priority="1389" operator="equal">
      <formula>"B"</formula>
    </cfRule>
    <cfRule type="expression" dxfId="1830" priority="1391">
      <formula>$AW1087="D"</formula>
    </cfRule>
    <cfRule type="cellIs" dxfId="1829" priority="1392" operator="equal">
      <formula>"B"</formula>
    </cfRule>
    <cfRule type="cellIs" dxfId="1828" priority="1393" operator="equal">
      <formula>"S"</formula>
    </cfRule>
    <cfRule type="expression" dxfId="1827" priority="1395">
      <formula>$AW1087="D"</formula>
    </cfRule>
    <cfRule type="cellIs" dxfId="1826" priority="1396" operator="equal">
      <formula>"B"</formula>
    </cfRule>
    <cfRule type="cellIs" dxfId="1825" priority="1397" operator="equal">
      <formula>"S"</formula>
    </cfRule>
    <cfRule type="cellIs" dxfId="1824" priority="1398" operator="equal">
      <formula>"S"</formula>
    </cfRule>
    <cfRule type="cellIs" dxfId="1823" priority="1399" operator="equal">
      <formula>"B"</formula>
    </cfRule>
    <cfRule type="cellIs" dxfId="1822" priority="1401" operator="equal">
      <formula>"S"</formula>
    </cfRule>
    <cfRule type="cellIs" dxfId="1821" priority="1402" operator="equal">
      <formula>"B"</formula>
    </cfRule>
    <cfRule type="expression" dxfId="1820" priority="1403">
      <formula>$AW1087="D"</formula>
    </cfRule>
    <cfRule type="cellIs" dxfId="1819" priority="1404" operator="equal">
      <formula>"B"</formula>
    </cfRule>
    <cfRule type="cellIs" dxfId="1818" priority="1405" operator="equal">
      <formula>"S"</formula>
    </cfRule>
    <cfRule type="expression" dxfId="1817" priority="1406">
      <formula>$AW1087="D"</formula>
    </cfRule>
    <cfRule type="cellIs" dxfId="1816" priority="1407" operator="equal">
      <formula>"B"</formula>
    </cfRule>
    <cfRule type="cellIs" dxfId="1815" priority="1408" operator="equal">
      <formula>"S"</formula>
    </cfRule>
    <cfRule type="expression" dxfId="1814" priority="1410">
      <formula>$AW1087="D"</formula>
    </cfRule>
    <cfRule type="cellIs" dxfId="1813" priority="1411" operator="equal">
      <formula>"B"</formula>
    </cfRule>
    <cfRule type="cellIs" dxfId="1812" priority="1412" operator="equal">
      <formula>"S"</formula>
    </cfRule>
    <cfRule type="expression" dxfId="1811" priority="1413">
      <formula>$AW1087="D"</formula>
    </cfRule>
    <cfRule type="cellIs" dxfId="1810" priority="1414" operator="equal">
      <formula>"B"</formula>
    </cfRule>
    <cfRule type="cellIs" dxfId="1809" priority="1415" operator="equal">
      <formula>"S"</formula>
    </cfRule>
    <cfRule type="cellIs" dxfId="1808" priority="1416" operator="equal">
      <formula>"S"</formula>
    </cfRule>
    <cfRule type="cellIs" dxfId="1807" priority="1417" operator="equal">
      <formula>"B"</formula>
    </cfRule>
    <cfRule type="expression" dxfId="1806" priority="1418">
      <formula>$AW1087="D"</formula>
    </cfRule>
    <cfRule type="cellIs" dxfId="1805" priority="1419" operator="equal">
      <formula>"B"</formula>
    </cfRule>
    <cfRule type="cellIs" dxfId="1804" priority="1420" operator="equal">
      <formula>"S"</formula>
    </cfRule>
    <cfRule type="expression" dxfId="1803" priority="1421">
      <formula>$AW1087="D"</formula>
    </cfRule>
    <cfRule type="cellIs" dxfId="1802" priority="1422" operator="equal">
      <formula>"B"</formula>
    </cfRule>
    <cfRule type="cellIs" dxfId="1801" priority="1423" operator="equal">
      <formula>"S"</formula>
    </cfRule>
    <cfRule type="expression" dxfId="1800" priority="1424">
      <formula>$AW1087="D"</formula>
    </cfRule>
    <cfRule type="cellIs" dxfId="1799" priority="1425" operator="equal">
      <formula>"B"</formula>
    </cfRule>
    <cfRule type="cellIs" dxfId="1798" priority="1426" operator="equal">
      <formula>"S"</formula>
    </cfRule>
    <cfRule type="expression" dxfId="1797" priority="1427">
      <formula>$AW1087="D"</formula>
    </cfRule>
    <cfRule type="cellIs" dxfId="1796" priority="1428" operator="equal">
      <formula>"B"</formula>
    </cfRule>
    <cfRule type="cellIs" dxfId="1795" priority="1429" operator="equal">
      <formula>"S"</formula>
    </cfRule>
    <cfRule type="cellIs" dxfId="1794" priority="1430" operator="equal">
      <formula>"S"</formula>
    </cfRule>
    <cfRule type="cellIs" dxfId="1793" priority="1431" operator="equal">
      <formula>"B"</formula>
    </cfRule>
    <cfRule type="expression" dxfId="1792" priority="1432">
      <formula>$AW1087="D"</formula>
    </cfRule>
    <cfRule type="cellIs" dxfId="1791" priority="1433" operator="equal">
      <formula>"B"</formula>
    </cfRule>
    <cfRule type="cellIs" dxfId="1790" priority="1434" operator="equal">
      <formula>"S"</formula>
    </cfRule>
    <cfRule type="expression" dxfId="1789" priority="1435">
      <formula>$AW1087="D"</formula>
    </cfRule>
    <cfRule type="cellIs" dxfId="1788" priority="1436" operator="equal">
      <formula>"B"</formula>
    </cfRule>
    <cfRule type="cellIs" dxfId="1787" priority="1437" operator="equal">
      <formula>"S"</formula>
    </cfRule>
  </conditionalFormatting>
  <conditionalFormatting sqref="Y1089">
    <cfRule type="cellIs" dxfId="1786" priority="1302" operator="equal">
      <formula>"S"</formula>
    </cfRule>
    <cfRule type="cellIs" dxfId="1785" priority="1303" operator="equal">
      <formula>"B"</formula>
    </cfRule>
    <cfRule type="expression" dxfId="1784" priority="1304">
      <formula>$AW1089="D"</formula>
    </cfRule>
    <cfRule type="cellIs" dxfId="1783" priority="1305" operator="equal">
      <formula>"B"</formula>
    </cfRule>
    <cfRule type="cellIs" dxfId="1782" priority="1306" operator="equal">
      <formula>"S"</formula>
    </cfRule>
    <cfRule type="expression" dxfId="1781" priority="1307">
      <formula>$AW1089="D"</formula>
    </cfRule>
    <cfRule type="cellIs" dxfId="1780" priority="1308" operator="equal">
      <formula>"B"</formula>
    </cfRule>
    <cfRule type="cellIs" dxfId="1779" priority="1309" operator="equal">
      <formula>"S"</formula>
    </cfRule>
    <cfRule type="cellIs" dxfId="1778" priority="1310" operator="equal">
      <formula>"S"</formula>
    </cfRule>
    <cfRule type="cellIs" dxfId="1777" priority="1311" operator="equal">
      <formula>"B"</formula>
    </cfRule>
    <cfRule type="expression" dxfId="1776" priority="1313">
      <formula>$AW1089="D"</formula>
    </cfRule>
    <cfRule type="cellIs" dxfId="1775" priority="1314" operator="equal">
      <formula>"B"</formula>
    </cfRule>
    <cfRule type="cellIs" dxfId="1774" priority="1315" operator="equal">
      <formula>"S"</formula>
    </cfRule>
    <cfRule type="expression" dxfId="1773" priority="1316">
      <formula>$AW1089="D"</formula>
    </cfRule>
    <cfRule type="cellIs" dxfId="1772" priority="1317" operator="equal">
      <formula>"B"</formula>
    </cfRule>
    <cfRule type="cellIs" dxfId="1771" priority="1318" operator="equal">
      <formula>"S"</formula>
    </cfRule>
    <cfRule type="cellIs" dxfId="1770" priority="1319" operator="equal">
      <formula>"S"</formula>
    </cfRule>
    <cfRule type="cellIs" dxfId="1769" priority="1320" operator="equal">
      <formula>"B"</formula>
    </cfRule>
    <cfRule type="expression" dxfId="1768" priority="1322">
      <formula>$AW1089="D"</formula>
    </cfRule>
    <cfRule type="cellIs" dxfId="1767" priority="1323" operator="equal">
      <formula>"B"</formula>
    </cfRule>
    <cfRule type="cellIs" dxfId="1766" priority="1324" operator="equal">
      <formula>"S"</formula>
    </cfRule>
    <cfRule type="expression" dxfId="1765" priority="1326">
      <formula>$AW1089="D"</formula>
    </cfRule>
    <cfRule type="cellIs" dxfId="1764" priority="1327" operator="equal">
      <formula>"B"</formula>
    </cfRule>
    <cfRule type="cellIs" dxfId="1763" priority="1328" operator="equal">
      <formula>"S"</formula>
    </cfRule>
    <cfRule type="cellIs" dxfId="1762" priority="1329" operator="equal">
      <formula>"S"</formula>
    </cfRule>
    <cfRule type="cellIs" dxfId="1761" priority="1330" operator="equal">
      <formula>"B"</formula>
    </cfRule>
    <cfRule type="cellIs" dxfId="1760" priority="1332" operator="equal">
      <formula>"S"</formula>
    </cfRule>
    <cfRule type="cellIs" dxfId="1759" priority="1333" operator="equal">
      <formula>"B"</formula>
    </cfRule>
    <cfRule type="expression" dxfId="1758" priority="1334">
      <formula>$AW1089="D"</formula>
    </cfRule>
    <cfRule type="cellIs" dxfId="1757" priority="1335" operator="equal">
      <formula>"B"</formula>
    </cfRule>
    <cfRule type="cellIs" dxfId="1756" priority="1336" operator="equal">
      <formula>"S"</formula>
    </cfRule>
    <cfRule type="expression" dxfId="1755" priority="1337">
      <formula>$AW1089="D"</formula>
    </cfRule>
    <cfRule type="cellIs" dxfId="1754" priority="1338" operator="equal">
      <formula>"B"</formula>
    </cfRule>
    <cfRule type="cellIs" dxfId="1753" priority="1339" operator="equal">
      <formula>"S"</formula>
    </cfRule>
    <cfRule type="expression" dxfId="1752" priority="1341">
      <formula>$AW1089="D"</formula>
    </cfRule>
    <cfRule type="cellIs" dxfId="1751" priority="1342" operator="equal">
      <formula>"B"</formula>
    </cfRule>
    <cfRule type="cellIs" dxfId="1750" priority="1343" operator="equal">
      <formula>"S"</formula>
    </cfRule>
    <cfRule type="expression" dxfId="1749" priority="1344">
      <formula>$AW1089="D"</formula>
    </cfRule>
    <cfRule type="cellIs" dxfId="1748" priority="1345" operator="equal">
      <formula>"B"</formula>
    </cfRule>
    <cfRule type="cellIs" dxfId="1747" priority="1346" operator="equal">
      <formula>"S"</formula>
    </cfRule>
    <cfRule type="cellIs" dxfId="1746" priority="1347" operator="equal">
      <formula>"S"</formula>
    </cfRule>
    <cfRule type="cellIs" dxfId="1745" priority="1348" operator="equal">
      <formula>"B"</formula>
    </cfRule>
    <cfRule type="expression" dxfId="1744" priority="1349">
      <formula>$AW1089="D"</formula>
    </cfRule>
    <cfRule type="cellIs" dxfId="1743" priority="1350" operator="equal">
      <formula>"B"</formula>
    </cfRule>
    <cfRule type="cellIs" dxfId="1742" priority="1351" operator="equal">
      <formula>"S"</formula>
    </cfRule>
    <cfRule type="expression" dxfId="1741" priority="1352">
      <formula>$AW1089="D"</formula>
    </cfRule>
    <cfRule type="cellIs" dxfId="1740" priority="1353" operator="equal">
      <formula>"B"</formula>
    </cfRule>
    <cfRule type="cellIs" dxfId="1739" priority="1354" operator="equal">
      <formula>"S"</formula>
    </cfRule>
    <cfRule type="expression" dxfId="1738" priority="1355">
      <formula>$AW1089="D"</formula>
    </cfRule>
    <cfRule type="cellIs" dxfId="1737" priority="1356" operator="equal">
      <formula>"B"</formula>
    </cfRule>
    <cfRule type="cellIs" dxfId="1736" priority="1357" operator="equal">
      <formula>"S"</formula>
    </cfRule>
    <cfRule type="expression" dxfId="1735" priority="1358">
      <formula>$AW1089="D"</formula>
    </cfRule>
    <cfRule type="cellIs" dxfId="1734" priority="1359" operator="equal">
      <formula>"B"</formula>
    </cfRule>
    <cfRule type="cellIs" dxfId="1733" priority="1360" operator="equal">
      <formula>"S"</formula>
    </cfRule>
    <cfRule type="cellIs" dxfId="1732" priority="1361" operator="equal">
      <formula>"S"</formula>
    </cfRule>
    <cfRule type="cellIs" dxfId="1731" priority="1362" operator="equal">
      <formula>"B"</formula>
    </cfRule>
    <cfRule type="expression" dxfId="1730" priority="1363">
      <formula>$AW1089="D"</formula>
    </cfRule>
    <cfRule type="cellIs" dxfId="1729" priority="1364" operator="equal">
      <formula>"B"</formula>
    </cfRule>
    <cfRule type="cellIs" dxfId="1728" priority="1365" operator="equal">
      <formula>"S"</formula>
    </cfRule>
    <cfRule type="expression" dxfId="1727" priority="1366">
      <formula>$AW1089="D"</formula>
    </cfRule>
    <cfRule type="cellIs" dxfId="1726" priority="1367" operator="equal">
      <formula>"B"</formula>
    </cfRule>
    <cfRule type="cellIs" dxfId="1725" priority="1368" operator="equal">
      <formula>"S"</formula>
    </cfRule>
  </conditionalFormatting>
  <conditionalFormatting sqref="Y1094:Y1097">
    <cfRule type="expression" dxfId="1724" priority="1297">
      <formula>$AW1094="D"</formula>
    </cfRule>
  </conditionalFormatting>
  <conditionalFormatting sqref="Y1095:Y1097">
    <cfRule type="cellIs" dxfId="1723" priority="1233" operator="equal">
      <formula>"S"</formula>
    </cfRule>
    <cfRule type="cellIs" dxfId="1722" priority="1234" operator="equal">
      <formula>"B"</formula>
    </cfRule>
    <cfRule type="expression" dxfId="1721" priority="1235">
      <formula>$AW1095="D"</formula>
    </cfRule>
    <cfRule type="cellIs" dxfId="1720" priority="1236" operator="equal">
      <formula>"B"</formula>
    </cfRule>
    <cfRule type="cellIs" dxfId="1719" priority="1237" operator="equal">
      <formula>"S"</formula>
    </cfRule>
    <cfRule type="expression" dxfId="1718" priority="1238">
      <formula>$AW1095="D"</formula>
    </cfRule>
    <cfRule type="cellIs" dxfId="1717" priority="1239" operator="equal">
      <formula>"B"</formula>
    </cfRule>
    <cfRule type="cellIs" dxfId="1716" priority="1240" operator="equal">
      <formula>"S"</formula>
    </cfRule>
    <cfRule type="cellIs" dxfId="1715" priority="1241" operator="equal">
      <formula>"S"</formula>
    </cfRule>
    <cfRule type="cellIs" dxfId="1714" priority="1242" operator="equal">
      <formula>"B"</formula>
    </cfRule>
    <cfRule type="expression" dxfId="1713" priority="1244">
      <formula>$AW1095="D"</formula>
    </cfRule>
    <cfRule type="cellIs" dxfId="1712" priority="1245" operator="equal">
      <formula>"B"</formula>
    </cfRule>
    <cfRule type="cellIs" dxfId="1711" priority="1246" operator="equal">
      <formula>"S"</formula>
    </cfRule>
    <cfRule type="expression" dxfId="1710" priority="1247">
      <formula>$AW1095="D"</formula>
    </cfRule>
    <cfRule type="cellIs" dxfId="1709" priority="1248" operator="equal">
      <formula>"B"</formula>
    </cfRule>
    <cfRule type="cellIs" dxfId="1708" priority="1249" operator="equal">
      <formula>"S"</formula>
    </cfRule>
    <cfRule type="cellIs" dxfId="1707" priority="1250" operator="equal">
      <formula>"S"</formula>
    </cfRule>
    <cfRule type="cellIs" dxfId="1706" priority="1251" operator="equal">
      <formula>"B"</formula>
    </cfRule>
    <cfRule type="expression" dxfId="1705" priority="1253">
      <formula>$AW1095="D"</formula>
    </cfRule>
    <cfRule type="cellIs" dxfId="1704" priority="1254" operator="equal">
      <formula>"B"</formula>
    </cfRule>
    <cfRule type="cellIs" dxfId="1703" priority="1255" operator="equal">
      <formula>"S"</formula>
    </cfRule>
    <cfRule type="expression" dxfId="1702" priority="1257">
      <formula>$AW1095="D"</formula>
    </cfRule>
    <cfRule type="cellIs" dxfId="1701" priority="1258" operator="equal">
      <formula>"B"</formula>
    </cfRule>
    <cfRule type="cellIs" dxfId="1700" priority="1259" operator="equal">
      <formula>"S"</formula>
    </cfRule>
    <cfRule type="cellIs" dxfId="1699" priority="1260" operator="equal">
      <formula>"S"</formula>
    </cfRule>
    <cfRule type="cellIs" dxfId="1698" priority="1261" operator="equal">
      <formula>"B"</formula>
    </cfRule>
    <cfRule type="cellIs" dxfId="1697" priority="1263" operator="equal">
      <formula>"S"</formula>
    </cfRule>
    <cfRule type="cellIs" dxfId="1696" priority="1264" operator="equal">
      <formula>"B"</formula>
    </cfRule>
    <cfRule type="expression" dxfId="1695" priority="1265">
      <formula>$AW1095="D"</formula>
    </cfRule>
    <cfRule type="cellIs" dxfId="1694" priority="1266" operator="equal">
      <formula>"B"</formula>
    </cfRule>
    <cfRule type="cellIs" dxfId="1693" priority="1267" operator="equal">
      <formula>"S"</formula>
    </cfRule>
    <cfRule type="expression" dxfId="1692" priority="1268">
      <formula>$AW1095="D"</formula>
    </cfRule>
    <cfRule type="cellIs" dxfId="1691" priority="1269" operator="equal">
      <formula>"B"</formula>
    </cfRule>
    <cfRule type="cellIs" dxfId="1690" priority="1270" operator="equal">
      <formula>"S"</formula>
    </cfRule>
    <cfRule type="expression" dxfId="1689" priority="1272">
      <formula>$AW1095="D"</formula>
    </cfRule>
    <cfRule type="cellIs" dxfId="1688" priority="1273" operator="equal">
      <formula>"B"</formula>
    </cfRule>
    <cfRule type="cellIs" dxfId="1687" priority="1274" operator="equal">
      <formula>"S"</formula>
    </cfRule>
    <cfRule type="expression" dxfId="1686" priority="1275">
      <formula>$AW1095="D"</formula>
    </cfRule>
    <cfRule type="cellIs" dxfId="1685" priority="1276" operator="equal">
      <formula>"B"</formula>
    </cfRule>
    <cfRule type="cellIs" dxfId="1684" priority="1277" operator="equal">
      <formula>"S"</formula>
    </cfRule>
    <cfRule type="cellIs" dxfId="1683" priority="1278" operator="equal">
      <formula>"S"</formula>
    </cfRule>
    <cfRule type="cellIs" dxfId="1682" priority="1279" operator="equal">
      <formula>"B"</formula>
    </cfRule>
    <cfRule type="expression" dxfId="1681" priority="1280">
      <formula>$AW1095="D"</formula>
    </cfRule>
    <cfRule type="cellIs" dxfId="1680" priority="1281" operator="equal">
      <formula>"B"</formula>
    </cfRule>
    <cfRule type="cellIs" dxfId="1679" priority="1282" operator="equal">
      <formula>"S"</formula>
    </cfRule>
    <cfRule type="expression" dxfId="1678" priority="1283">
      <formula>$AW1095="D"</formula>
    </cfRule>
    <cfRule type="cellIs" dxfId="1677" priority="1284" operator="equal">
      <formula>"B"</formula>
    </cfRule>
    <cfRule type="cellIs" dxfId="1676" priority="1285" operator="equal">
      <formula>"S"</formula>
    </cfRule>
    <cfRule type="expression" dxfId="1675" priority="1286">
      <formula>$AW1095="D"</formula>
    </cfRule>
    <cfRule type="cellIs" dxfId="1674" priority="1287" operator="equal">
      <formula>"B"</formula>
    </cfRule>
    <cfRule type="cellIs" dxfId="1673" priority="1288" operator="equal">
      <formula>"S"</formula>
    </cfRule>
    <cfRule type="expression" dxfId="1672" priority="1289">
      <formula>$AW1095="D"</formula>
    </cfRule>
    <cfRule type="cellIs" dxfId="1671" priority="1290" operator="equal">
      <formula>"B"</formula>
    </cfRule>
    <cfRule type="cellIs" dxfId="1670" priority="1291" operator="equal">
      <formula>"S"</formula>
    </cfRule>
    <cfRule type="cellIs" dxfId="1669" priority="1292" operator="equal">
      <formula>"S"</formula>
    </cfRule>
    <cfRule type="cellIs" dxfId="1668" priority="1293" operator="equal">
      <formula>"B"</formula>
    </cfRule>
    <cfRule type="expression" dxfId="1667" priority="1294">
      <formula>$AW1095="D"</formula>
    </cfRule>
    <cfRule type="cellIs" dxfId="1666" priority="1295" operator="equal">
      <formula>"B"</formula>
    </cfRule>
    <cfRule type="cellIs" dxfId="1665" priority="1296" operator="equal">
      <formula>"S"</formula>
    </cfRule>
    <cfRule type="cellIs" dxfId="1664" priority="1298" operator="equal">
      <formula>"B"</formula>
    </cfRule>
    <cfRule type="cellIs" dxfId="1663" priority="1299" operator="equal">
      <formula>"S"</formula>
    </cfRule>
  </conditionalFormatting>
  <conditionalFormatting sqref="Y1102:Y1106">
    <cfRule type="cellIs" dxfId="1662" priority="1157" operator="equal">
      <formula>"S"</formula>
    </cfRule>
    <cfRule type="cellIs" dxfId="1661" priority="1158" operator="equal">
      <formula>"B"</formula>
    </cfRule>
    <cfRule type="expression" dxfId="1660" priority="1159">
      <formula>$AW1102="D"</formula>
    </cfRule>
    <cfRule type="cellIs" dxfId="1659" priority="1160" operator="equal">
      <formula>"B"</formula>
    </cfRule>
    <cfRule type="cellIs" dxfId="1658" priority="1161" operator="equal">
      <formula>"S"</formula>
    </cfRule>
    <cfRule type="expression" dxfId="1657" priority="1162">
      <formula>$AW1102="D"</formula>
    </cfRule>
    <cfRule type="cellIs" dxfId="1656" priority="1163" operator="equal">
      <formula>"B"</formula>
    </cfRule>
    <cfRule type="cellIs" dxfId="1655" priority="1164" operator="equal">
      <formula>"S"</formula>
    </cfRule>
    <cfRule type="cellIs" dxfId="1654" priority="1165" operator="equal">
      <formula>"S"</formula>
    </cfRule>
    <cfRule type="cellIs" dxfId="1653" priority="1166" operator="equal">
      <formula>"B"</formula>
    </cfRule>
    <cfRule type="expression" dxfId="1652" priority="1167">
      <formula>$AW1102="D"</formula>
    </cfRule>
    <cfRule type="cellIs" dxfId="1651" priority="1168" operator="equal">
      <formula>"B"</formula>
    </cfRule>
    <cfRule type="cellIs" dxfId="1650" priority="1169" operator="equal">
      <formula>"S"</formula>
    </cfRule>
    <cfRule type="expression" dxfId="1649" priority="1170">
      <formula>$AW1102="D"</formula>
    </cfRule>
    <cfRule type="cellIs" dxfId="1648" priority="1171" operator="equal">
      <formula>"B"</formula>
    </cfRule>
    <cfRule type="cellIs" dxfId="1647" priority="1172" operator="equal">
      <formula>"S"</formula>
    </cfRule>
    <cfRule type="cellIs" dxfId="1646" priority="1173" operator="equal">
      <formula>"S"</formula>
    </cfRule>
    <cfRule type="cellIs" dxfId="1645" priority="1174" operator="equal">
      <formula>"B"</formula>
    </cfRule>
    <cfRule type="expression" dxfId="1644" priority="1175">
      <formula>$AW1102="D"</formula>
    </cfRule>
    <cfRule type="cellIs" dxfId="1643" priority="1176" operator="equal">
      <formula>"B"</formula>
    </cfRule>
    <cfRule type="cellIs" dxfId="1642" priority="1177" operator="equal">
      <formula>"S"</formula>
    </cfRule>
    <cfRule type="expression" dxfId="1641" priority="1178">
      <formula>$AW1102="D"</formula>
    </cfRule>
    <cfRule type="cellIs" dxfId="1640" priority="1179" operator="equal">
      <formula>"B"</formula>
    </cfRule>
    <cfRule type="cellIs" dxfId="1639" priority="1180" operator="equal">
      <formula>"S"</formula>
    </cfRule>
    <cfRule type="cellIs" dxfId="1638" priority="1181" operator="equal">
      <formula>"S"</formula>
    </cfRule>
    <cfRule type="cellIs" dxfId="1637" priority="1182" operator="equal">
      <formula>"B"</formula>
    </cfRule>
    <cfRule type="expression" dxfId="1636" priority="1185">
      <formula>$AW1102="D"</formula>
    </cfRule>
    <cfRule type="cellIs" dxfId="1635" priority="1186" operator="equal">
      <formula>"B"</formula>
    </cfRule>
    <cfRule type="cellIs" dxfId="1634" priority="1187" operator="equal">
      <formula>"S"</formula>
    </cfRule>
    <cfRule type="expression" dxfId="1633" priority="1188">
      <formula>$AW1102="D"</formula>
    </cfRule>
    <cfRule type="cellIs" dxfId="1632" priority="1189" operator="equal">
      <formula>"B"</formula>
    </cfRule>
    <cfRule type="cellIs" dxfId="1631" priority="1190" operator="equal">
      <formula>"S"</formula>
    </cfRule>
    <cfRule type="expression" dxfId="1630" priority="1191">
      <formula>$AW1102="D"</formula>
    </cfRule>
    <cfRule type="cellIs" dxfId="1629" priority="1192" operator="equal">
      <formula>"B"</formula>
    </cfRule>
    <cfRule type="cellIs" dxfId="1628" priority="1193" operator="equal">
      <formula>"S"</formula>
    </cfRule>
    <cfRule type="expression" dxfId="1627" priority="1194">
      <formula>$AW1102="D"</formula>
    </cfRule>
    <cfRule type="cellIs" dxfId="1626" priority="1195" operator="equal">
      <formula>"B"</formula>
    </cfRule>
    <cfRule type="cellIs" dxfId="1625" priority="1196" operator="equal">
      <formula>"S"</formula>
    </cfRule>
    <cfRule type="cellIs" dxfId="1624" priority="1197" operator="equal">
      <formula>"S"</formula>
    </cfRule>
    <cfRule type="cellIs" dxfId="1623" priority="1198" operator="equal">
      <formula>"B"</formula>
    </cfRule>
    <cfRule type="expression" dxfId="1622" priority="1199">
      <formula>$AW1102="D"</formula>
    </cfRule>
    <cfRule type="cellIs" dxfId="1621" priority="1200" operator="equal">
      <formula>"B"</formula>
    </cfRule>
    <cfRule type="cellIs" dxfId="1620" priority="1201" operator="equal">
      <formula>"S"</formula>
    </cfRule>
    <cfRule type="expression" dxfId="1619" priority="1202">
      <formula>$AW1102="D"</formula>
    </cfRule>
    <cfRule type="cellIs" dxfId="1618" priority="1203" operator="equal">
      <formula>"B"</formula>
    </cfRule>
    <cfRule type="cellIs" dxfId="1617" priority="1204" operator="equal">
      <formula>"S"</formula>
    </cfRule>
    <cfRule type="expression" dxfId="1616" priority="1205">
      <formula>$AW1102="D"</formula>
    </cfRule>
    <cfRule type="cellIs" dxfId="1615" priority="1206" operator="equal">
      <formula>"B"</formula>
    </cfRule>
    <cfRule type="cellIs" dxfId="1614" priority="1207" operator="equal">
      <formula>"S"</formula>
    </cfRule>
    <cfRule type="expression" dxfId="1613" priority="1208">
      <formula>$AW1102="D"</formula>
    </cfRule>
    <cfRule type="cellIs" dxfId="1612" priority="1209" operator="equal">
      <formula>"B"</formula>
    </cfRule>
    <cfRule type="cellIs" dxfId="1611" priority="1210" operator="equal">
      <formula>"S"</formula>
    </cfRule>
    <cfRule type="cellIs" dxfId="1610" priority="1211" operator="equal">
      <formula>"S"</formula>
    </cfRule>
    <cfRule type="cellIs" dxfId="1609" priority="1212" operator="equal">
      <formula>"B"</formula>
    </cfRule>
    <cfRule type="expression" dxfId="1608" priority="1213">
      <formula>$AW1102="D"</formula>
    </cfRule>
    <cfRule type="cellIs" dxfId="1607" priority="1214" operator="equal">
      <formula>"B"</formula>
    </cfRule>
    <cfRule type="cellIs" dxfId="1606" priority="1215" operator="equal">
      <formula>"S"</formula>
    </cfRule>
    <cfRule type="expression" dxfId="1605" priority="1216">
      <formula>$AW1102="D"</formula>
    </cfRule>
    <cfRule type="cellIs" dxfId="1604" priority="1217" operator="equal">
      <formula>"B"</formula>
    </cfRule>
    <cfRule type="cellIs" dxfId="1603" priority="1218" operator="equal">
      <formula>"S"</formula>
    </cfRule>
  </conditionalFormatting>
  <conditionalFormatting sqref="Y1108:Y1135">
    <cfRule type="cellIs" dxfId="1602" priority="1089" operator="equal">
      <formula>"S"</formula>
    </cfRule>
    <cfRule type="cellIs" dxfId="1601" priority="1090" operator="equal">
      <formula>"B"</formula>
    </cfRule>
    <cfRule type="expression" dxfId="1600" priority="1091">
      <formula>$AW1108="D"</formula>
    </cfRule>
    <cfRule type="cellIs" dxfId="1599" priority="1092" operator="equal">
      <formula>"B"</formula>
    </cfRule>
    <cfRule type="cellIs" dxfId="1598" priority="1093" operator="equal">
      <formula>"S"</formula>
    </cfRule>
    <cfRule type="expression" dxfId="1597" priority="1094">
      <formula>$AW1108="D"</formula>
    </cfRule>
    <cfRule type="cellIs" dxfId="1596" priority="1095" operator="equal">
      <formula>"B"</formula>
    </cfRule>
    <cfRule type="cellIs" dxfId="1595" priority="1096" operator="equal">
      <formula>"S"</formula>
    </cfRule>
    <cfRule type="cellIs" dxfId="1594" priority="1097" operator="equal">
      <formula>"S"</formula>
    </cfRule>
    <cfRule type="cellIs" dxfId="1593" priority="1098" operator="equal">
      <formula>"B"</formula>
    </cfRule>
    <cfRule type="expression" dxfId="1592" priority="1099">
      <formula>$AW1108="D"</formula>
    </cfRule>
    <cfRule type="cellIs" dxfId="1591" priority="1100" operator="equal">
      <formula>"B"</formula>
    </cfRule>
    <cfRule type="cellIs" dxfId="1590" priority="1101" operator="equal">
      <formula>"S"</formula>
    </cfRule>
    <cfRule type="expression" dxfId="1589" priority="1102">
      <formula>$AW1108="D"</formula>
    </cfRule>
    <cfRule type="cellIs" dxfId="1588" priority="1103" operator="equal">
      <formula>"B"</formula>
    </cfRule>
    <cfRule type="cellIs" dxfId="1587" priority="1104" operator="equal">
      <formula>"S"</formula>
    </cfRule>
    <cfRule type="cellIs" dxfId="1586" priority="1105" operator="equal">
      <formula>"S"</formula>
    </cfRule>
    <cfRule type="cellIs" dxfId="1585" priority="1106" operator="equal">
      <formula>"B"</formula>
    </cfRule>
    <cfRule type="expression" dxfId="1584" priority="1107">
      <formula>$AW1108="D"</formula>
    </cfRule>
    <cfRule type="cellIs" dxfId="1583" priority="1108" operator="equal">
      <formula>"B"</formula>
    </cfRule>
    <cfRule type="cellIs" dxfId="1582" priority="1109" operator="equal">
      <formula>"S"</formula>
    </cfRule>
    <cfRule type="expression" dxfId="1581" priority="1110">
      <formula>$AW1108="D"</formula>
    </cfRule>
    <cfRule type="cellIs" dxfId="1580" priority="1111" operator="equal">
      <formula>"B"</formula>
    </cfRule>
    <cfRule type="cellIs" dxfId="1579" priority="1112" operator="equal">
      <formula>"S"</formula>
    </cfRule>
    <cfRule type="cellIs" dxfId="1578" priority="1113" operator="equal">
      <formula>"S"</formula>
    </cfRule>
    <cfRule type="cellIs" dxfId="1577" priority="1114" operator="equal">
      <formula>"B"</formula>
    </cfRule>
    <cfRule type="expression" dxfId="1576" priority="1117">
      <formula>$AW1108="D"</formula>
    </cfRule>
    <cfRule type="cellIs" dxfId="1575" priority="1118" operator="equal">
      <formula>"B"</formula>
    </cfRule>
    <cfRule type="cellIs" dxfId="1574" priority="1119" operator="equal">
      <formula>"S"</formula>
    </cfRule>
    <cfRule type="expression" dxfId="1573" priority="1120">
      <formula>$AW1108="D"</formula>
    </cfRule>
    <cfRule type="cellIs" dxfId="1572" priority="1121" operator="equal">
      <formula>"B"</formula>
    </cfRule>
    <cfRule type="cellIs" dxfId="1571" priority="1122" operator="equal">
      <formula>"S"</formula>
    </cfRule>
    <cfRule type="expression" dxfId="1570" priority="1123">
      <formula>$AW1108="D"</formula>
    </cfRule>
    <cfRule type="cellIs" dxfId="1569" priority="1124" operator="equal">
      <formula>"B"</formula>
    </cfRule>
    <cfRule type="cellIs" dxfId="1568" priority="1125" operator="equal">
      <formula>"S"</formula>
    </cfRule>
    <cfRule type="expression" dxfId="1567" priority="1126">
      <formula>$AW1108="D"</formula>
    </cfRule>
    <cfRule type="cellIs" dxfId="1566" priority="1127" operator="equal">
      <formula>"B"</formula>
    </cfRule>
    <cfRule type="cellIs" dxfId="1565" priority="1128" operator="equal">
      <formula>"S"</formula>
    </cfRule>
    <cfRule type="cellIs" dxfId="1564" priority="1129" operator="equal">
      <formula>"S"</formula>
    </cfRule>
    <cfRule type="cellIs" dxfId="1563" priority="1130" operator="equal">
      <formula>"B"</formula>
    </cfRule>
    <cfRule type="expression" dxfId="1562" priority="1131">
      <formula>$AW1108="D"</formula>
    </cfRule>
    <cfRule type="cellIs" dxfId="1561" priority="1132" operator="equal">
      <formula>"B"</formula>
    </cfRule>
    <cfRule type="cellIs" dxfId="1560" priority="1133" operator="equal">
      <formula>"S"</formula>
    </cfRule>
    <cfRule type="expression" dxfId="1559" priority="1134">
      <formula>$AW1108="D"</formula>
    </cfRule>
    <cfRule type="cellIs" dxfId="1558" priority="1135" operator="equal">
      <formula>"B"</formula>
    </cfRule>
    <cfRule type="cellIs" dxfId="1557" priority="1136" operator="equal">
      <formula>"S"</formula>
    </cfRule>
    <cfRule type="expression" dxfId="1556" priority="1137">
      <formula>$AW1108="D"</formula>
    </cfRule>
    <cfRule type="cellIs" dxfId="1555" priority="1138" operator="equal">
      <formula>"B"</formula>
    </cfRule>
    <cfRule type="cellIs" dxfId="1554" priority="1139" operator="equal">
      <formula>"S"</formula>
    </cfRule>
    <cfRule type="expression" dxfId="1553" priority="1140">
      <formula>$AW1108="D"</formula>
    </cfRule>
    <cfRule type="cellIs" dxfId="1552" priority="1141" operator="equal">
      <formula>"B"</formula>
    </cfRule>
    <cfRule type="cellIs" dxfId="1551" priority="1142" operator="equal">
      <formula>"S"</formula>
    </cfRule>
    <cfRule type="cellIs" dxfId="1550" priority="1143" operator="equal">
      <formula>"S"</formula>
    </cfRule>
    <cfRule type="cellIs" dxfId="1549" priority="1144" operator="equal">
      <formula>"B"</formula>
    </cfRule>
    <cfRule type="expression" dxfId="1548" priority="1145">
      <formula>$AW1108="D"</formula>
    </cfRule>
    <cfRule type="cellIs" dxfId="1547" priority="1146" operator="equal">
      <formula>"B"</formula>
    </cfRule>
    <cfRule type="cellIs" dxfId="1546" priority="1147" operator="equal">
      <formula>"S"</formula>
    </cfRule>
    <cfRule type="expression" dxfId="1545" priority="1148">
      <formula>$AW1108="D"</formula>
    </cfRule>
    <cfRule type="cellIs" dxfId="1544" priority="1149" operator="equal">
      <formula>"B"</formula>
    </cfRule>
    <cfRule type="cellIs" dxfId="1543" priority="1150" operator="equal">
      <formula>"S"</formula>
    </cfRule>
  </conditionalFormatting>
  <conditionalFormatting sqref="Y1134">
    <cfRule type="expression" dxfId="1542" priority="3186">
      <formula>$AW1134="D"</formula>
    </cfRule>
  </conditionalFormatting>
  <conditionalFormatting sqref="Y1211">
    <cfRule type="expression" dxfId="1541" priority="3182">
      <formula>$AW1211="D"</formula>
    </cfRule>
  </conditionalFormatting>
  <conditionalFormatting sqref="Y23:Z23">
    <cfRule type="expression" dxfId="1540" priority="5853">
      <formula>$AW23="D"</formula>
    </cfRule>
  </conditionalFormatting>
  <conditionalFormatting sqref="Y72:Z73">
    <cfRule type="expression" dxfId="1539" priority="5791">
      <formula>$AW72="D"</formula>
    </cfRule>
  </conditionalFormatting>
  <conditionalFormatting sqref="Y76:Z76">
    <cfRule type="expression" dxfId="1538" priority="5786">
      <formula>$AW76="D"</formula>
    </cfRule>
  </conditionalFormatting>
  <conditionalFormatting sqref="Y81:Z81">
    <cfRule type="expression" dxfId="1537" priority="5782">
      <formula>$AW81="D"</formula>
    </cfRule>
  </conditionalFormatting>
  <conditionalFormatting sqref="Y84:Z85">
    <cfRule type="expression" dxfId="1536" priority="5777">
      <formula>$AW84="D"</formula>
    </cfRule>
  </conditionalFormatting>
  <conditionalFormatting sqref="Y92:Z93">
    <cfRule type="expression" dxfId="1535" priority="5774">
      <formula>$AW92="D"</formula>
    </cfRule>
  </conditionalFormatting>
  <conditionalFormatting sqref="Y96:Z98">
    <cfRule type="expression" dxfId="1534" priority="5771">
      <formula>$AW96="D"</formula>
    </cfRule>
  </conditionalFormatting>
  <conditionalFormatting sqref="Y101:Z106">
    <cfRule type="expression" dxfId="1533" priority="5762">
      <formula>$AW101="D"</formula>
    </cfRule>
  </conditionalFormatting>
  <conditionalFormatting sqref="Y108:Z129">
    <cfRule type="expression" dxfId="1532" priority="5745">
      <formula>$AW108="D"</formula>
    </cfRule>
  </conditionalFormatting>
  <conditionalFormatting sqref="Y140:Z140">
    <cfRule type="expression" dxfId="1531" priority="5796">
      <formula>$AW140="D"</formula>
    </cfRule>
  </conditionalFormatting>
  <conditionalFormatting sqref="Y142:Z146">
    <cfRule type="expression" dxfId="1530" priority="5732">
      <formula>$AW142="D"</formula>
    </cfRule>
  </conditionalFormatting>
  <conditionalFormatting sqref="Y148:Z148">
    <cfRule type="expression" dxfId="1529" priority="5730">
      <formula>$AW148="D"</formula>
    </cfRule>
  </conditionalFormatting>
  <conditionalFormatting sqref="Y150:Z150">
    <cfRule type="expression" dxfId="1528" priority="5728">
      <formula>$AW150="D"</formula>
    </cfRule>
  </conditionalFormatting>
  <conditionalFormatting sqref="Y154:Z155">
    <cfRule type="expression" dxfId="1527" priority="5726">
      <formula>$AW154="D"</formula>
    </cfRule>
  </conditionalFormatting>
  <conditionalFormatting sqref="Y159:Z163">
    <cfRule type="expression" dxfId="1526" priority="5717">
      <formula>$AW159="D"</formula>
    </cfRule>
  </conditionalFormatting>
  <conditionalFormatting sqref="Y172:Z176">
    <cfRule type="expression" dxfId="1525" priority="5691">
      <formula>$AW172="D"</formula>
    </cfRule>
  </conditionalFormatting>
  <conditionalFormatting sqref="Y178:Z179">
    <cfRule type="expression" dxfId="1524" priority="5678">
      <formula>$AW178="D"</formula>
    </cfRule>
  </conditionalFormatting>
  <conditionalFormatting sqref="Y181:Z185">
    <cfRule type="expression" dxfId="1523" priority="5655">
      <formula>$AW181="D"</formula>
    </cfRule>
  </conditionalFormatting>
  <conditionalFormatting sqref="Y188:Z188">
    <cfRule type="expression" dxfId="1522" priority="5647">
      <formula>$AW188="D"</formula>
    </cfRule>
  </conditionalFormatting>
  <conditionalFormatting sqref="Y193:Z195">
    <cfRule type="expression" dxfId="1521" priority="5633">
      <formula>$AW193="D"</formula>
    </cfRule>
  </conditionalFormatting>
  <conditionalFormatting sqref="Y202:Z204">
    <cfRule type="expression" dxfId="1520" priority="5615">
      <formula>$AW202="D"</formula>
    </cfRule>
  </conditionalFormatting>
  <conditionalFormatting sqref="Y208:Z208">
    <cfRule type="expression" dxfId="1519" priority="5594">
      <formula>$AW208="D"</formula>
    </cfRule>
  </conditionalFormatting>
  <conditionalFormatting sqref="Y210:Z211">
    <cfRule type="expression" dxfId="1518" priority="5587">
      <formula>$AW210="D"</formula>
    </cfRule>
  </conditionalFormatting>
  <conditionalFormatting sqref="Y213:Z214">
    <cfRule type="expression" dxfId="1517" priority="5576">
      <formula>$AW213="D"</formula>
    </cfRule>
  </conditionalFormatting>
  <conditionalFormatting sqref="Y222:Z222">
    <cfRule type="expression" dxfId="1516" priority="5566">
      <formula>$AW222="D"</formula>
    </cfRule>
  </conditionalFormatting>
  <conditionalFormatting sqref="Y227:Z227">
    <cfRule type="expression" dxfId="1515" priority="5555">
      <formula>$AW227="D"</formula>
    </cfRule>
  </conditionalFormatting>
  <conditionalFormatting sqref="Y234:Z236">
    <cfRule type="expression" dxfId="1514" priority="5540">
      <formula>$AW234="D"</formula>
    </cfRule>
  </conditionalFormatting>
  <conditionalFormatting sqref="Y249:Z249">
    <cfRule type="expression" dxfId="1513" priority="5522">
      <formula>$AW249="D"</formula>
    </cfRule>
  </conditionalFormatting>
  <conditionalFormatting sqref="Y251:Z251">
    <cfRule type="expression" dxfId="1512" priority="5513">
      <formula>$AW251="D"</formula>
    </cfRule>
  </conditionalFormatting>
  <conditionalFormatting sqref="Y260:Z260">
    <cfRule type="expression" dxfId="1511" priority="5492">
      <formula>$AW260="D"</formula>
    </cfRule>
  </conditionalFormatting>
  <conditionalFormatting sqref="Y265:Z265">
    <cfRule type="expression" dxfId="1510" priority="5478">
      <formula>$AW265="D"</formula>
    </cfRule>
  </conditionalFormatting>
  <conditionalFormatting sqref="Y267:Z267">
    <cfRule type="expression" dxfId="1509" priority="5473">
      <formula>$AW267="D"</formula>
    </cfRule>
  </conditionalFormatting>
  <conditionalFormatting sqref="Y279:Z279">
    <cfRule type="expression" dxfId="1508" priority="5453">
      <formula>$AW279="D"</formula>
    </cfRule>
  </conditionalFormatting>
  <conditionalFormatting sqref="Y281:Z282">
    <cfRule type="expression" dxfId="1507" priority="5442">
      <formula>$AW281="D"</formula>
    </cfRule>
  </conditionalFormatting>
  <conditionalFormatting sqref="Y292:Z293">
    <cfRule type="expression" dxfId="1506" priority="5398">
      <formula>$AW292="D"</formula>
    </cfRule>
  </conditionalFormatting>
  <conditionalFormatting sqref="Y299:Z299">
    <cfRule type="expression" dxfId="1505" priority="5394">
      <formula>$AW299="D"</formula>
    </cfRule>
  </conditionalFormatting>
  <conditionalFormatting sqref="Y301:Z313">
    <cfRule type="expression" dxfId="1504" priority="5309">
      <formula>$AW301="D"</formula>
    </cfRule>
  </conditionalFormatting>
  <conditionalFormatting sqref="Y315:Z315">
    <cfRule type="expression" dxfId="1503" priority="5304">
      <formula>$AW315="D"</formula>
    </cfRule>
  </conditionalFormatting>
  <conditionalFormatting sqref="Y315:Z316">
    <cfRule type="expression" dxfId="1502" priority="5297">
      <formula>$AW315="D"</formula>
    </cfRule>
  </conditionalFormatting>
  <conditionalFormatting sqref="Y319:Z321">
    <cfRule type="expression" dxfId="1501" priority="5277">
      <formula>$AW319="D"</formula>
    </cfRule>
  </conditionalFormatting>
  <conditionalFormatting sqref="Y323:Z324">
    <cfRule type="expression" dxfId="1500" priority="5245">
      <formula>$AW323="D"</formula>
    </cfRule>
  </conditionalFormatting>
  <conditionalFormatting sqref="Y327:Z327">
    <cfRule type="expression" dxfId="1499" priority="5234">
      <formula>$AW327="D"</formula>
    </cfRule>
    <cfRule type="expression" dxfId="1498" priority="5238">
      <formula>$AW327="D"</formula>
    </cfRule>
  </conditionalFormatting>
  <conditionalFormatting sqref="Y329:Z329">
    <cfRule type="expression" dxfId="1497" priority="5233">
      <formula>$AW329="D"</formula>
    </cfRule>
  </conditionalFormatting>
  <conditionalFormatting sqref="Y329:Z331">
    <cfRule type="expression" dxfId="1496" priority="5222">
      <formula>$AW329="D"</formula>
    </cfRule>
  </conditionalFormatting>
  <conditionalFormatting sqref="Y334:Z340">
    <cfRule type="expression" dxfId="1495" priority="5155">
      <formula>$AW334="D"</formula>
    </cfRule>
  </conditionalFormatting>
  <conditionalFormatting sqref="Y340:Z341">
    <cfRule type="expression" dxfId="1494" priority="5146">
      <formula>$AW340="D"</formula>
    </cfRule>
  </conditionalFormatting>
  <conditionalFormatting sqref="Y353:Z353">
    <cfRule type="expression" dxfId="1493" priority="5467">
      <formula>$AW353="D"</formula>
    </cfRule>
  </conditionalFormatting>
  <conditionalFormatting sqref="Y364:Z364">
    <cfRule type="expression" dxfId="1492" priority="5095">
      <formula>$AW364="D"</formula>
    </cfRule>
  </conditionalFormatting>
  <conditionalFormatting sqref="Y366:Z366">
    <cfRule type="expression" dxfId="1491" priority="5070">
      <formula>$AW366="D"</formula>
    </cfRule>
  </conditionalFormatting>
  <conditionalFormatting sqref="Y373:Z373">
    <cfRule type="expression" dxfId="1490" priority="5041">
      <formula>$AW373="D"</formula>
    </cfRule>
  </conditionalFormatting>
  <conditionalFormatting sqref="Y379:Z379">
    <cfRule type="expression" dxfId="1489" priority="5020">
      <formula>$AW379="D"</formula>
    </cfRule>
  </conditionalFormatting>
  <conditionalFormatting sqref="Y382:Z383">
    <cfRule type="expression" dxfId="1488" priority="5015">
      <formula>$AW382="D"</formula>
    </cfRule>
  </conditionalFormatting>
  <conditionalFormatting sqref="Y386:Z388">
    <cfRule type="expression" dxfId="1487" priority="4963">
      <formula>$AW386="D"</formula>
    </cfRule>
  </conditionalFormatting>
  <conditionalFormatting sqref="Y387:Z389">
    <cfRule type="expression" dxfId="1486" priority="4786">
      <formula>$AW387="D"</formula>
    </cfRule>
  </conditionalFormatting>
  <conditionalFormatting sqref="Y393:Z393">
    <cfRule type="expression" dxfId="1485" priority="4883">
      <formula>$AW393="D"</formula>
    </cfRule>
  </conditionalFormatting>
  <conditionalFormatting sqref="Y399:Z401">
    <cfRule type="expression" dxfId="1484" priority="4727">
      <formula>$AW399="D"</formula>
    </cfRule>
    <cfRule type="expression" dxfId="1483" priority="4829">
      <formula>$AW399="D"</formula>
    </cfRule>
  </conditionalFormatting>
  <conditionalFormatting sqref="Y412:Z412">
    <cfRule type="expression" dxfId="1482" priority="4793">
      <formula>$AW412="D"</formula>
    </cfRule>
  </conditionalFormatting>
  <conditionalFormatting sqref="Y424:Z424">
    <cfRule type="expression" dxfId="1481" priority="4673">
      <formula>$AW424="D"</formula>
    </cfRule>
    <cfRule type="expression" dxfId="1480" priority="4702">
      <formula>$AW424="D"</formula>
    </cfRule>
  </conditionalFormatting>
  <conditionalFormatting sqref="Y427:Z427">
    <cfRule type="expression" dxfId="1479" priority="4619">
      <formula>$AW427="D"</formula>
    </cfRule>
    <cfRule type="expression" dxfId="1478" priority="4648">
      <formula>$AW427="D"</formula>
    </cfRule>
  </conditionalFormatting>
  <conditionalFormatting sqref="Y430:Z430">
    <cfRule type="expression" dxfId="1477" priority="4563">
      <formula>$AW430="D"</formula>
    </cfRule>
    <cfRule type="expression" dxfId="1476" priority="4594">
      <formula>$AW430="D"</formula>
    </cfRule>
  </conditionalFormatting>
  <conditionalFormatting sqref="Y437:Z437">
    <cfRule type="expression" dxfId="1475" priority="4543">
      <formula>$AW437="D"</formula>
    </cfRule>
  </conditionalFormatting>
  <conditionalFormatting sqref="Y447:Z447">
    <cfRule type="expression" dxfId="1474" priority="4489">
      <formula>$AW447="D"</formula>
    </cfRule>
    <cfRule type="expression" dxfId="1473" priority="4518">
      <formula>$AW447="D"</formula>
    </cfRule>
  </conditionalFormatting>
  <conditionalFormatting sqref="Y457:Z457">
    <cfRule type="expression" dxfId="1472" priority="4467">
      <formula>$AW457="D"</formula>
    </cfRule>
  </conditionalFormatting>
  <conditionalFormatting sqref="Y464:Z465">
    <cfRule type="expression" dxfId="1471" priority="4454">
      <formula>$AW464="D"</formula>
    </cfRule>
  </conditionalFormatting>
  <conditionalFormatting sqref="Y469:Z469">
    <cfRule type="expression" dxfId="1470" priority="4440">
      <formula>$AW469="D"</formula>
    </cfRule>
    <cfRule type="expression" dxfId="1469" priority="4444">
      <formula>$AW469="D"</formula>
    </cfRule>
  </conditionalFormatting>
  <conditionalFormatting sqref="Y471:Z471">
    <cfRule type="expression" dxfId="1468" priority="4426">
      <formula>$AW471="D"</formula>
    </cfRule>
  </conditionalFormatting>
  <conditionalFormatting sqref="Y475:Z475">
    <cfRule type="expression" dxfId="1467" priority="4414">
      <formula>$AW475="D"</formula>
    </cfRule>
    <cfRule type="expression" dxfId="1466" priority="4418">
      <formula>$AW475="D"</formula>
    </cfRule>
  </conditionalFormatting>
  <conditionalFormatting sqref="Y490:Z490">
    <cfRule type="expression" dxfId="1465" priority="4385">
      <formula>$AW490="D"</formula>
    </cfRule>
  </conditionalFormatting>
  <conditionalFormatting sqref="Y497:Z498">
    <cfRule type="expression" dxfId="1464" priority="4363">
      <formula>$AW497="D"</formula>
    </cfRule>
  </conditionalFormatting>
  <conditionalFormatting sqref="Y497:Z501">
    <cfRule type="expression" dxfId="1463" priority="4329">
      <formula>$AW497="D"</formula>
    </cfRule>
  </conditionalFormatting>
  <conditionalFormatting sqref="Y512:Z512">
    <cfRule type="expression" dxfId="1462" priority="4321">
      <formula>$AW512="D"</formula>
    </cfRule>
  </conditionalFormatting>
  <conditionalFormatting sqref="Y512:Z513">
    <cfRule type="expression" dxfId="1461" priority="4285">
      <formula>$AW512="D"</formula>
    </cfRule>
  </conditionalFormatting>
  <conditionalFormatting sqref="Y518:Z518">
    <cfRule type="expression" dxfId="1460" priority="4276">
      <formula>$AW518="D"</formula>
    </cfRule>
  </conditionalFormatting>
  <conditionalFormatting sqref="Y536:Z536">
    <cfRule type="expression" dxfId="1459" priority="4275">
      <formula>$AW536="D"</formula>
    </cfRule>
  </conditionalFormatting>
  <conditionalFormatting sqref="Y536:Z537">
    <cfRule type="expression" dxfId="1458" priority="4260">
      <formula>$AW536="D"</formula>
    </cfRule>
  </conditionalFormatting>
  <conditionalFormatting sqref="Y537:Z537">
    <cfRule type="expression" dxfId="1457" priority="4238">
      <formula>$AW537="D"</formula>
    </cfRule>
  </conditionalFormatting>
  <conditionalFormatting sqref="Y538:Z538">
    <cfRule type="expression" dxfId="1456" priority="4226">
      <formula>$AW538="D"</formula>
    </cfRule>
  </conditionalFormatting>
  <conditionalFormatting sqref="Y544:Z544">
    <cfRule type="expression" dxfId="1455" priority="5124">
      <formula>$AW544="D"</formula>
    </cfRule>
  </conditionalFormatting>
  <conditionalFormatting sqref="Y553:Z553">
    <cfRule type="expression" dxfId="1454" priority="4217">
      <formula>$AW553="D"</formula>
    </cfRule>
  </conditionalFormatting>
  <conditionalFormatting sqref="Y566:Z566">
    <cfRule type="expression" dxfId="1453" priority="4202">
      <formula>$AW566="D"</formula>
    </cfRule>
  </conditionalFormatting>
  <conditionalFormatting sqref="Y592:Z605">
    <cfRule type="expression" dxfId="1452" priority="4177">
      <formula>$AW592="D"</formula>
    </cfRule>
  </conditionalFormatting>
  <conditionalFormatting sqref="Y614:Z614">
    <cfRule type="expression" dxfId="1451" priority="4176">
      <formula>$AW614="D"</formula>
    </cfRule>
  </conditionalFormatting>
  <conditionalFormatting sqref="Y617:Z620">
    <cfRule type="expression" dxfId="1450" priority="4168">
      <formula>$AW617="D"</formula>
    </cfRule>
  </conditionalFormatting>
  <conditionalFormatting sqref="Y620:Z620">
    <cfRule type="expression" dxfId="1449" priority="4151">
      <formula>$AW620="D"</formula>
    </cfRule>
  </conditionalFormatting>
  <conditionalFormatting sqref="Y621:Z624">
    <cfRule type="expression" dxfId="1448" priority="4145">
      <formula>$AW621="D"</formula>
    </cfRule>
  </conditionalFormatting>
  <conditionalFormatting sqref="Y631:Z631">
    <cfRule type="expression" dxfId="1447" priority="4033">
      <formula>$AW631="D"</formula>
    </cfRule>
    <cfRule type="expression" dxfId="1446" priority="4121">
      <formula>$AW631="D"</formula>
    </cfRule>
  </conditionalFormatting>
  <conditionalFormatting sqref="Y634:Z650">
    <cfRule type="expression" dxfId="1445" priority="4062">
      <formula>$AW634="D"</formula>
    </cfRule>
  </conditionalFormatting>
  <conditionalFormatting sqref="Y652:Z661">
    <cfRule type="expression" dxfId="1444" priority="4040">
      <formula>$AW652="D"</formula>
    </cfRule>
  </conditionalFormatting>
  <conditionalFormatting sqref="Y668:Z683">
    <cfRule type="expression" dxfId="1443" priority="4009">
      <formula>$AW668="D"</formula>
    </cfRule>
  </conditionalFormatting>
  <conditionalFormatting sqref="Y705:Z706">
    <cfRule type="expression" dxfId="1442" priority="3995">
      <formula>$AW705="D"</formula>
    </cfRule>
  </conditionalFormatting>
  <conditionalFormatting sqref="Y708:Z711">
    <cfRule type="expression" dxfId="1441" priority="3992">
      <formula>$AW708="D"</formula>
    </cfRule>
  </conditionalFormatting>
  <conditionalFormatting sqref="Y714:Z715">
    <cfRule type="expression" dxfId="1440" priority="3972">
      <formula>$AW714="D"</formula>
    </cfRule>
  </conditionalFormatting>
  <conditionalFormatting sqref="Y715:Z718">
    <cfRule type="expression" dxfId="1439" priority="3948">
      <formula>$AW715="D"</formula>
    </cfRule>
  </conditionalFormatting>
  <conditionalFormatting sqref="Y716:Z719">
    <cfRule type="expression" dxfId="1438" priority="3928">
      <formula>$AW716="D"</formula>
    </cfRule>
  </conditionalFormatting>
  <conditionalFormatting sqref="Y723:Z734">
    <cfRule type="expression" dxfId="1437" priority="3918">
      <formula>$AW723="D"</formula>
    </cfRule>
  </conditionalFormatting>
  <conditionalFormatting sqref="Y724:Z724">
    <cfRule type="expression" dxfId="1436" priority="3908">
      <formula>$AW724="D"</formula>
    </cfRule>
  </conditionalFormatting>
  <conditionalFormatting sqref="Y724:Z725">
    <cfRule type="expression" dxfId="1435" priority="3881">
      <formula>$AW724="D"</formula>
    </cfRule>
  </conditionalFormatting>
  <conditionalFormatting sqref="Y728:Z730">
    <cfRule type="expression" dxfId="1434" priority="3856">
      <formula>$AW728="D"</formula>
    </cfRule>
  </conditionalFormatting>
  <conditionalFormatting sqref="Y729:Z731">
    <cfRule type="expression" dxfId="1433" priority="3838">
      <formula>$AW729="D"</formula>
    </cfRule>
  </conditionalFormatting>
  <conditionalFormatting sqref="Y739:Z739">
    <cfRule type="expression" dxfId="1432" priority="4044">
      <formula>$AW739="D"</formula>
    </cfRule>
  </conditionalFormatting>
  <conditionalFormatting sqref="Y756:Z756">
    <cfRule type="expression" dxfId="1431" priority="3835">
      <formula>$AW756="D"</formula>
    </cfRule>
  </conditionalFormatting>
  <conditionalFormatting sqref="Y757:Z757">
    <cfRule type="expression" dxfId="1430" priority="3825">
      <formula>$AW757="D"</formula>
    </cfRule>
  </conditionalFormatting>
  <conditionalFormatting sqref="Y758:Z761">
    <cfRule type="expression" dxfId="1429" priority="3816">
      <formula>$AW758="D"</formula>
    </cfRule>
  </conditionalFormatting>
  <conditionalFormatting sqref="Y763:Z763">
    <cfRule type="expression" dxfId="1428" priority="3807">
      <formula>$AW763="D"</formula>
    </cfRule>
  </conditionalFormatting>
  <conditionalFormatting sqref="Y766:Z766">
    <cfRule type="expression" dxfId="1427" priority="3796">
      <formula>$AW766="D"</formula>
    </cfRule>
  </conditionalFormatting>
  <conditionalFormatting sqref="Y772:Z775">
    <cfRule type="expression" dxfId="1426" priority="3785">
      <formula>$AW772="D"</formula>
    </cfRule>
  </conditionalFormatting>
  <conditionalFormatting sqref="Y775:Z775">
    <cfRule type="expression" dxfId="1425" priority="3774">
      <formula>$AW775="D"</formula>
    </cfRule>
  </conditionalFormatting>
  <conditionalFormatting sqref="Y776:Z776">
    <cfRule type="expression" dxfId="1424" priority="3763">
      <formula>$AW776="D"</formula>
    </cfRule>
  </conditionalFormatting>
  <conditionalFormatting sqref="Y777:Z778">
    <cfRule type="expression" dxfId="1423" priority="3753">
      <formula>$AW777="D"</formula>
    </cfRule>
  </conditionalFormatting>
  <conditionalFormatting sqref="Y779:Z779">
    <cfRule type="expression" dxfId="1422" priority="3742">
      <formula>$AW779="D"</formula>
    </cfRule>
  </conditionalFormatting>
  <conditionalFormatting sqref="Y780:Z780">
    <cfRule type="expression" dxfId="1421" priority="3732">
      <formula>$AW780="D"</formula>
    </cfRule>
  </conditionalFormatting>
  <conditionalFormatting sqref="Y781:Z781">
    <cfRule type="expression" dxfId="1420" priority="3722">
      <formula>$AW781="D"</formula>
    </cfRule>
  </conditionalFormatting>
  <conditionalFormatting sqref="Y782:Z782">
    <cfRule type="expression" dxfId="1419" priority="3712">
      <formula>$AW782="D"</formula>
    </cfRule>
  </conditionalFormatting>
  <conditionalFormatting sqref="Y783:Z783">
    <cfRule type="expression" dxfId="1418" priority="3702">
      <formula>$AW783="D"</formula>
    </cfRule>
  </conditionalFormatting>
  <conditionalFormatting sqref="Y789:Z789">
    <cfRule type="expression" dxfId="1417" priority="3690">
      <formula>$AW789="D"</formula>
    </cfRule>
  </conditionalFormatting>
  <conditionalFormatting sqref="Y790:Z790">
    <cfRule type="expression" dxfId="1416" priority="3680">
      <formula>$AW790="D"</formula>
    </cfRule>
  </conditionalFormatting>
  <conditionalFormatting sqref="Y791:Z791">
    <cfRule type="expression" dxfId="1415" priority="3670">
      <formula>$AW791="D"</formula>
    </cfRule>
  </conditionalFormatting>
  <conditionalFormatting sqref="Y793:Z793">
    <cfRule type="expression" dxfId="1414" priority="3659">
      <formula>$AW793="D"</formula>
    </cfRule>
  </conditionalFormatting>
  <conditionalFormatting sqref="Y796:Z798">
    <cfRule type="expression" dxfId="1413" priority="3630">
      <formula>$AW796="D"</formula>
    </cfRule>
  </conditionalFormatting>
  <conditionalFormatting sqref="Y800:Z800">
    <cfRule type="expression" dxfId="1412" priority="3618">
      <formula>$AW800="D"</formula>
    </cfRule>
  </conditionalFormatting>
  <conditionalFormatting sqref="Y801:Z801">
    <cfRule type="expression" dxfId="1411" priority="3608">
      <formula>$AW801="D"</formula>
    </cfRule>
  </conditionalFormatting>
  <conditionalFormatting sqref="Y802:Z802">
    <cfRule type="expression" dxfId="1410" priority="3598">
      <formula>$AW802="D"</formula>
    </cfRule>
  </conditionalFormatting>
  <conditionalFormatting sqref="Y803:Z805">
    <cfRule type="expression" dxfId="1409" priority="3588">
      <formula>$AW803="D"</formula>
    </cfRule>
  </conditionalFormatting>
  <conditionalFormatting sqref="Y804:Z804">
    <cfRule type="expression" dxfId="1408" priority="3578">
      <formula>$AW804="D"</formula>
    </cfRule>
  </conditionalFormatting>
  <conditionalFormatting sqref="Y806:Z819">
    <cfRule type="expression" dxfId="1407" priority="3539">
      <formula>$AW806="D"</formula>
    </cfRule>
  </conditionalFormatting>
  <conditionalFormatting sqref="Y819:Z819">
    <cfRule type="expression" dxfId="1406" priority="3520">
      <formula>$AW819="D"</formula>
    </cfRule>
  </conditionalFormatting>
  <conditionalFormatting sqref="Y822:Z823">
    <cfRule type="expression" dxfId="1405" priority="3464">
      <formula>$AW822="D"</formula>
    </cfRule>
  </conditionalFormatting>
  <conditionalFormatting sqref="Y826:Z842">
    <cfRule type="expression" dxfId="1404" priority="3423">
      <formula>$AW826="D"</formula>
    </cfRule>
  </conditionalFormatting>
  <conditionalFormatting sqref="Y846:Z857">
    <cfRule type="expression" dxfId="1403" priority="3391">
      <formula>$AW846="D"</formula>
    </cfRule>
  </conditionalFormatting>
  <conditionalFormatting sqref="Y852:Z857">
    <cfRule type="expression" dxfId="1402" priority="3375">
      <formula>$AW852="D"</formula>
    </cfRule>
  </conditionalFormatting>
  <conditionalFormatting sqref="Y852:Z858">
    <cfRule type="expression" dxfId="1401" priority="3342">
      <formula>$AW852="D"</formula>
    </cfRule>
  </conditionalFormatting>
  <conditionalFormatting sqref="Y860:Z860">
    <cfRule type="expression" dxfId="1400" priority="3341">
      <formula>$AW860="D"</formula>
    </cfRule>
  </conditionalFormatting>
  <conditionalFormatting sqref="Y860:Z861">
    <cfRule type="expression" dxfId="1399" priority="3308">
      <formula>$AW860="D"</formula>
    </cfRule>
  </conditionalFormatting>
  <conditionalFormatting sqref="Y860:Z865">
    <cfRule type="expression" dxfId="1398" priority="3284">
      <formula>$AW860="D"</formula>
    </cfRule>
  </conditionalFormatting>
  <conditionalFormatting sqref="Y861:Z865">
    <cfRule type="expression" dxfId="1397" priority="3277">
      <formula>$AW861="D"</formula>
    </cfRule>
  </conditionalFormatting>
  <conditionalFormatting sqref="Y862:Z865">
    <cfRule type="expression" dxfId="1396" priority="3261">
      <formula>$AW862="D"</formula>
    </cfRule>
  </conditionalFormatting>
  <conditionalFormatting sqref="Y863:Z865">
    <cfRule type="expression" dxfId="1395" priority="3249">
      <formula>$AW863="D"</formula>
    </cfRule>
  </conditionalFormatting>
  <conditionalFormatting sqref="Y863:Z870">
    <cfRule type="expression" dxfId="1394" priority="3231">
      <formula>$AW863="D"</formula>
    </cfRule>
  </conditionalFormatting>
  <conditionalFormatting sqref="Y868:Z870">
    <cfRule type="expression" dxfId="1393" priority="3207">
      <formula>$AW868="D"</formula>
    </cfRule>
    <cfRule type="expression" dxfId="1392" priority="3223">
      <formula>$AW868="D"</formula>
    </cfRule>
  </conditionalFormatting>
  <conditionalFormatting sqref="Y871:Z877">
    <cfRule type="expression" dxfId="1391" priority="3193">
      <formula>$AW871="D"</formula>
    </cfRule>
  </conditionalFormatting>
  <conditionalFormatting sqref="Y883:Z884">
    <cfRule type="expression" dxfId="1390" priority="3116">
      <formula>$AW883="D"</formula>
    </cfRule>
  </conditionalFormatting>
  <conditionalFormatting sqref="Y884:Z906">
    <cfRule type="expression" dxfId="1389" priority="3091">
      <formula>$AW884="D"</formula>
    </cfRule>
  </conditionalFormatting>
  <conditionalFormatting sqref="Y905:Z906">
    <cfRule type="expression" dxfId="1388" priority="3071">
      <formula>$AW905="D"</formula>
    </cfRule>
    <cfRule type="expression" dxfId="1387" priority="3079">
      <formula>$AW905="D"</formula>
    </cfRule>
  </conditionalFormatting>
  <conditionalFormatting sqref="Y905:Z921">
    <cfRule type="expression" dxfId="1386" priority="2996">
      <formula>$AW905="D"</formula>
    </cfRule>
  </conditionalFormatting>
  <conditionalFormatting sqref="Y917:Z921">
    <cfRule type="expression" dxfId="1385" priority="2975">
      <formula>$AW917="D"</formula>
    </cfRule>
    <cfRule type="expression" dxfId="1384" priority="2986">
      <formula>$AW917="D"</formula>
    </cfRule>
    <cfRule type="expression" dxfId="1383" priority="2990">
      <formula>$AW917="D"</formula>
    </cfRule>
  </conditionalFormatting>
  <conditionalFormatting sqref="Y917:Z926">
    <cfRule type="expression" dxfId="1382" priority="2847">
      <formula>$AW917="D"</formula>
    </cfRule>
  </conditionalFormatting>
  <conditionalFormatting sqref="Y926:Z926">
    <cfRule type="expression" dxfId="1381" priority="2828">
      <formula>$AW926="D"</formula>
    </cfRule>
    <cfRule type="expression" dxfId="1380" priority="2837">
      <formula>$AW926="D"</formula>
    </cfRule>
    <cfRule type="expression" dxfId="1379" priority="2841">
      <formula>$AW926="D"</formula>
    </cfRule>
  </conditionalFormatting>
  <conditionalFormatting sqref="Y926:Z943">
    <cfRule type="expression" dxfId="1378" priority="2724">
      <formula>$AW926="D"</formula>
    </cfRule>
  </conditionalFormatting>
  <conditionalFormatting sqref="Y941:Z943">
    <cfRule type="expression" dxfId="1377" priority="2692">
      <formula>$AW941="D"</formula>
    </cfRule>
    <cfRule type="expression" dxfId="1376" priority="2703">
      <formula>$AW941="D"</formula>
    </cfRule>
    <cfRule type="expression" dxfId="1375" priority="2714">
      <formula>$AW941="D"</formula>
    </cfRule>
    <cfRule type="expression" dxfId="1374" priority="2718">
      <formula>$AW941="D"</formula>
    </cfRule>
  </conditionalFormatting>
  <conditionalFormatting sqref="Y942:Z942">
    <cfRule type="expression" dxfId="1373" priority="2644">
      <formula>$AW942="D"</formula>
    </cfRule>
  </conditionalFormatting>
  <conditionalFormatting sqref="Y944:Z947">
    <cfRule type="expression" dxfId="1372" priority="2600">
      <formula>$AW944="D"</formula>
    </cfRule>
  </conditionalFormatting>
  <conditionalFormatting sqref="Y950:Z962">
    <cfRule type="expression" dxfId="1371" priority="2534">
      <formula>$AW950="D"</formula>
    </cfRule>
  </conditionalFormatting>
  <conditionalFormatting sqref="Y963:Z966">
    <cfRule type="expression" dxfId="1370" priority="2493">
      <formula>$AW963="D"</formula>
    </cfRule>
  </conditionalFormatting>
  <conditionalFormatting sqref="Y968:Z985">
    <cfRule type="expression" dxfId="1369" priority="2291">
      <formula>$AW968="D"</formula>
    </cfRule>
  </conditionalFormatting>
  <conditionalFormatting sqref="Y987:Z996 Y998:Z1001">
    <cfRule type="expression" dxfId="1368" priority="2221">
      <formula>$AW987="D"</formula>
    </cfRule>
    <cfRule type="expression" dxfId="1367" priority="2230">
      <formula>$AW987="D"</formula>
    </cfRule>
    <cfRule type="expression" dxfId="1366" priority="2234">
      <formula>$AW987="D"</formula>
    </cfRule>
    <cfRule type="expression" dxfId="1365" priority="2240">
      <formula>$AW987="D"</formula>
    </cfRule>
    <cfRule type="expression" dxfId="1364" priority="2251">
      <formula>$AW987="D"</formula>
    </cfRule>
  </conditionalFormatting>
  <conditionalFormatting sqref="Y987:Z996">
    <cfRule type="expression" dxfId="1363" priority="2210">
      <formula>$AW987="D"</formula>
    </cfRule>
  </conditionalFormatting>
  <conditionalFormatting sqref="Y998:Z1012">
    <cfRule type="expression" dxfId="1362" priority="2142">
      <formula>$AW998="D"</formula>
    </cfRule>
  </conditionalFormatting>
  <conditionalFormatting sqref="Y1014:Z1015">
    <cfRule type="expression" dxfId="1361" priority="2059">
      <formula>$AW1014="D"</formula>
    </cfRule>
    <cfRule type="expression" dxfId="1360" priority="2070">
      <formula>$AW1014="D"</formula>
    </cfRule>
    <cfRule type="expression" dxfId="1359" priority="2079">
      <formula>$AW1014="D"</formula>
    </cfRule>
    <cfRule type="expression" dxfId="1358" priority="2083">
      <formula>$AW1014="D"</formula>
    </cfRule>
    <cfRule type="expression" dxfId="1357" priority="2089">
      <formula>$AW1014="D"</formula>
    </cfRule>
    <cfRule type="expression" dxfId="1356" priority="2098">
      <formula>$AW1014="D"</formula>
    </cfRule>
  </conditionalFormatting>
  <conditionalFormatting sqref="Y1020:Z1028">
    <cfRule type="expression" dxfId="1355" priority="1985">
      <formula>$AW1020="D"</formula>
    </cfRule>
    <cfRule type="expression" dxfId="1354" priority="1994">
      <formula>$AW1020="D"</formula>
    </cfRule>
    <cfRule type="expression" dxfId="1353" priority="1998">
      <formula>$AW1020="D"</formula>
    </cfRule>
    <cfRule type="expression" dxfId="1352" priority="2004">
      <formula>$AW1020="D"</formula>
    </cfRule>
    <cfRule type="expression" dxfId="1351" priority="2015">
      <formula>$AW1020="D"</formula>
    </cfRule>
  </conditionalFormatting>
  <conditionalFormatting sqref="Y1020:Z1029">
    <cfRule type="expression" dxfId="1350" priority="1963">
      <formula>$AW1020="D"</formula>
    </cfRule>
  </conditionalFormatting>
  <conditionalFormatting sqref="Y1034:Z1039">
    <cfRule type="expression" dxfId="1349" priority="1879">
      <formula>$AW1034="D"</formula>
    </cfRule>
  </conditionalFormatting>
  <conditionalFormatting sqref="Y1041:Z1041">
    <cfRule type="expression" dxfId="1348" priority="1818">
      <formula>$AW1041="D"</formula>
    </cfRule>
    <cfRule type="expression" dxfId="1347" priority="1827">
      <formula>$AW1041="D"</formula>
    </cfRule>
    <cfRule type="expression" dxfId="1346" priority="1831">
      <formula>$AW1041="D"</formula>
    </cfRule>
    <cfRule type="expression" dxfId="1345" priority="1837">
      <formula>$AW1041="D"</formula>
    </cfRule>
    <cfRule type="expression" dxfId="1344" priority="1848">
      <formula>$AW1041="D"</formula>
    </cfRule>
  </conditionalFormatting>
  <conditionalFormatting sqref="Y1041:Z1042">
    <cfRule type="expression" dxfId="1343" priority="1801">
      <formula>$AW1041="D"</formula>
    </cfRule>
  </conditionalFormatting>
  <conditionalFormatting sqref="Y1049:Z1050">
    <cfRule type="expression" dxfId="1342" priority="1726">
      <formula>$AW1049="D"</formula>
    </cfRule>
  </conditionalFormatting>
  <conditionalFormatting sqref="Y1055:Z1078">
    <cfRule type="expression" dxfId="1341" priority="1585">
      <formula>$AW1055="D"</formula>
    </cfRule>
  </conditionalFormatting>
  <conditionalFormatting sqref="Y1080:Z1084">
    <cfRule type="expression" dxfId="1340" priority="1480">
      <formula>$AW1080="D"</formula>
    </cfRule>
  </conditionalFormatting>
  <conditionalFormatting sqref="Y1082:Z1084">
    <cfRule type="expression" dxfId="1339" priority="1439">
      <formula>$AW1082="D"</formula>
    </cfRule>
    <cfRule type="expression" dxfId="1338" priority="1450">
      <formula>$AW1082="D"</formula>
    </cfRule>
    <cfRule type="expression" dxfId="1337" priority="1459">
      <formula>$AW1082="D"</formula>
    </cfRule>
    <cfRule type="expression" dxfId="1336" priority="1463">
      <formula>$AW1082="D"</formula>
    </cfRule>
    <cfRule type="expression" dxfId="1335" priority="1469">
      <formula>$AW1082="D"</formula>
    </cfRule>
  </conditionalFormatting>
  <conditionalFormatting sqref="Y1087:Z1087">
    <cfRule type="expression" dxfId="1334" priority="1370">
      <formula>$AW1087="D"</formula>
    </cfRule>
    <cfRule type="expression" dxfId="1333" priority="1381">
      <formula>$AW1087="D"</formula>
    </cfRule>
    <cfRule type="expression" dxfId="1332" priority="1390">
      <formula>$AW1087="D"</formula>
    </cfRule>
    <cfRule type="expression" dxfId="1331" priority="1394">
      <formula>$AW1087="D"</formula>
    </cfRule>
    <cfRule type="expression" dxfId="1330" priority="1400">
      <formula>$AW1087="D"</formula>
    </cfRule>
    <cfRule type="expression" dxfId="1329" priority="1409">
      <formula>$AW1087="D"</formula>
    </cfRule>
  </conditionalFormatting>
  <conditionalFormatting sqref="Y1089:Z1089">
    <cfRule type="expression" dxfId="1328" priority="1301">
      <formula>$AW1089="D"</formula>
    </cfRule>
    <cfRule type="expression" dxfId="1327" priority="1312">
      <formula>$AW1089="D"</formula>
    </cfRule>
    <cfRule type="expression" dxfId="1326" priority="1321">
      <formula>$AW1089="D"</formula>
    </cfRule>
    <cfRule type="expression" dxfId="1325" priority="1325">
      <formula>$AW1089="D"</formula>
    </cfRule>
    <cfRule type="expression" dxfId="1324" priority="1331">
      <formula>$AW1089="D"</formula>
    </cfRule>
    <cfRule type="expression" dxfId="1323" priority="1340">
      <formula>$AW1089="D"</formula>
    </cfRule>
  </conditionalFormatting>
  <conditionalFormatting sqref="Y1094:Z1095">
    <cfRule type="expression" dxfId="1322" priority="1271">
      <formula>$AW1094="D"</formula>
    </cfRule>
  </conditionalFormatting>
  <conditionalFormatting sqref="Y1095:Z1095">
    <cfRule type="expression" dxfId="1321" priority="1243">
      <formula>$AW1095="D"</formula>
    </cfRule>
    <cfRule type="expression" dxfId="1320" priority="1252">
      <formula>$AW1095="D"</formula>
    </cfRule>
    <cfRule type="expression" dxfId="1319" priority="1256">
      <formula>$AW1095="D"</formula>
    </cfRule>
    <cfRule type="expression" dxfId="1318" priority="1262">
      <formula>$AW1095="D"</formula>
    </cfRule>
  </conditionalFormatting>
  <conditionalFormatting sqref="Y1095:Z1097">
    <cfRule type="expression" dxfId="1317" priority="1220">
      <formula>$AW1095="D"</formula>
    </cfRule>
  </conditionalFormatting>
  <conditionalFormatting sqref="Y1102:Z1106">
    <cfRule type="expression" dxfId="1316" priority="1152">
      <formula>$AW1102="D"</formula>
    </cfRule>
  </conditionalFormatting>
  <conditionalFormatting sqref="Y1108:Z1119">
    <cfRule type="expression" dxfId="1315" priority="1087">
      <formula>$AW1108="D"</formula>
    </cfRule>
  </conditionalFormatting>
  <conditionalFormatting sqref="Y1134:Z1134">
    <cfRule type="expression" dxfId="1314" priority="3187">
      <formula>$AW1134="D"</formula>
    </cfRule>
  </conditionalFormatting>
  <conditionalFormatting sqref="Y1211:Z1211">
    <cfRule type="expression" dxfId="1313" priority="3183">
      <formula>$AW1211="D"</formula>
    </cfRule>
  </conditionalFormatting>
  <conditionalFormatting sqref="Y209:AA209">
    <cfRule type="expression" dxfId="1312" priority="5604">
      <formula>$AW209="D"</formula>
    </cfRule>
  </conditionalFormatting>
  <conditionalFormatting sqref="Y626:AA627">
    <cfRule type="expression" dxfId="1311" priority="4133">
      <formula>$AW626="D"</formula>
    </cfRule>
  </conditionalFormatting>
  <conditionalFormatting sqref="Y630:AA630">
    <cfRule type="expression" dxfId="1310" priority="4126">
      <formula>$AW630="D"</formula>
    </cfRule>
  </conditionalFormatting>
  <conditionalFormatting sqref="Y632:AA633">
    <cfRule type="expression" dxfId="1309" priority="4086">
      <formula>$AW632="D"</formula>
    </cfRule>
  </conditionalFormatting>
  <conditionalFormatting sqref="Y667:AA667">
    <cfRule type="expression" dxfId="1308" priority="4024">
      <formula>$AW667="D"</formula>
    </cfRule>
  </conditionalFormatting>
  <conditionalFormatting sqref="Y713:AA713">
    <cfRule type="expression" dxfId="1307" priority="3981">
      <formula>$AW713="D"</formula>
    </cfRule>
  </conditionalFormatting>
  <conditionalFormatting sqref="AY661:BF661 Y661:AX662 AZ662:BF662 Y663:BF811 A793:P793 R793:T793 AA812:BF812 Y812:Z819 AY813:BF813 AA813:AX814 AZ814:BF814 AA815:BF819 Y820:BF838 Y839:AX839 AZ839:BF839 Y840:BF885 AA886:BF887 Y886:Z904 AA888:AW888 AZ888:BF888 AA889:AX889 BE889:BF889 AA899:AW899 AZ899:BF899 AA900:BF904 Y905:BF996 AA997:BF997 Y998:BF1023 Y1024:AY1024 BA1024:BF1024 A3:T792 AA890:BF898 BA1180:BF1180 Y1025:BF1176 Y3:BF660 A794:T1183 A1194:T1234 Y1196:BF1234 Y1194:AL1195 AN1195:BF1195 AN1181:BF1183 Y1177:AL1183 AN1177:BF1179 AN1180:AX1180 AM1177:AM1195 AN1194:AW1194 AZ1194:BF1194">
    <cfRule type="expression" dxfId="1306" priority="3206">
      <formula>$AW3="L"</formula>
    </cfRule>
  </conditionalFormatting>
  <conditionalFormatting sqref="Y661:AX662 Y663:BF811 AA812:BF812 AA813:AX814 AA815:BF819 Y820:BF838 Y839:AX839 Y840:BF885 AA886:BF887 AA888:AW888 AA889:AX889 AA899:AW899 AA900:BF904 Y905:BF996 AA997:BF997 Y998:BF1023 Y1024:AY1024 A793:P793 R793:T793 Y812:Z819 AY661:BF661 AZ662:BF662 AY813:BF813 AZ814:BF814 AZ839:BF839 Y886:Z904 AZ888:BF888 BE889:BF889 AZ899:BF899 BA1024:BF1024 A3:T792 AA890:BF898 BA1180:BF1180 Y1025:BF1176 Y3:BF660 A794:T1183 A1194:T1234 Y1196:BF1234 Y1194:AL1195 AN1195:BF1195 AN1181:BF1183 Y1177:AL1183 AN1177:BF1179 AN1180:AX1180 AM1177:AM1195 AN1194:AW1194 AZ1194:BF1194">
    <cfRule type="expression" dxfId="1305" priority="6180">
      <formula>$AW3="D"</formula>
    </cfRule>
  </conditionalFormatting>
  <conditionalFormatting sqref="Y840:BF885 Y886:Z904 Y905:BF996 Y998:BF1023 Y1024:AY1024 Y661:AX662 Y663:BF811 AA812:BF812 AA813:AX814 AA815:BF819 Y820:BF838 Y839:AX839 AA886:BF887 AA888:AW888 AA889:AX889 AA899:AW899 AA900:BF904 AA997:BF997 AY661:BF661 AZ662:BF662 A793:P793 R793:T793 Y812:Z819 AY813:BF813 AZ814:BF814 AZ839:BF839 AZ888:BF888 BE889:BF889 AZ899:BF899 BA1024:BF1024 A3:T792 AA890:BF898 BA1180:BF1180 Y1025:BF1176 Y3:BF660 A794:T1183 A1194:T1234 Y1196:BF1234 Y1194:AL1195 AN1195:BF1195 AN1181:BF1183 Y1177:AL1183 AN1177:BF1179 AN1180:AX1180 AM1177:AM1195 AN1194:AW1194 AZ1194:BF1194">
    <cfRule type="expression" dxfId="1304" priority="3205">
      <formula>$AW3="W"</formula>
    </cfRule>
  </conditionalFormatting>
  <conditionalFormatting sqref="Z1014:Z1015">
    <cfRule type="expression" dxfId="1303" priority="2136">
      <formula>$AW1014="D"</formula>
    </cfRule>
  </conditionalFormatting>
  <conditionalFormatting sqref="Z1020:Z1029">
    <cfRule type="expression" dxfId="1302" priority="2053">
      <formula>$AW1020="D"</formula>
    </cfRule>
  </conditionalFormatting>
  <conditionalFormatting sqref="Z1034:Z1039">
    <cfRule type="expression" dxfId="1301" priority="1957">
      <formula>$AW1034="D"</formula>
    </cfRule>
  </conditionalFormatting>
  <conditionalFormatting sqref="Z1041:Z1042">
    <cfRule type="expression" dxfId="1300" priority="1877">
      <formula>$AW1041="D"</formula>
    </cfRule>
  </conditionalFormatting>
  <conditionalFormatting sqref="Z1049:Z1050">
    <cfRule type="expression" dxfId="1299" priority="1800">
      <formula>$AW1049="D"</formula>
    </cfRule>
  </conditionalFormatting>
  <conditionalFormatting sqref="Z1055:Z1078">
    <cfRule type="expression" dxfId="1298" priority="1725">
      <formula>$AW1055="D"</formula>
    </cfRule>
  </conditionalFormatting>
  <conditionalFormatting sqref="Z1080:Z1084">
    <cfRule type="expression" dxfId="1297" priority="1509">
      <formula>$AW1080="D"</formula>
    </cfRule>
  </conditionalFormatting>
  <conditionalFormatting sqref="Z1087">
    <cfRule type="expression" dxfId="1296" priority="1438">
      <formula>$AW1087="D"</formula>
    </cfRule>
  </conditionalFormatting>
  <conditionalFormatting sqref="Z1089">
    <cfRule type="expression" dxfId="1295" priority="1369">
      <formula>$AW1089="D"</formula>
    </cfRule>
  </conditionalFormatting>
  <conditionalFormatting sqref="Z1095:Z1097">
    <cfRule type="expression" dxfId="1294" priority="1300">
      <formula>$AW1095="D"</formula>
    </cfRule>
  </conditionalFormatting>
  <conditionalFormatting sqref="Z1102:Z1106">
    <cfRule type="expression" dxfId="1293" priority="1219">
      <formula>$AW1102="D"</formula>
    </cfRule>
  </conditionalFormatting>
  <conditionalFormatting sqref="Z1108:Z1135">
    <cfRule type="expression" dxfId="1292" priority="1151">
      <formula>$AW1108="D"</formula>
    </cfRule>
  </conditionalFormatting>
  <conditionalFormatting sqref="AA16">
    <cfRule type="expression" dxfId="1291" priority="5866">
      <formula>$AW16="D"</formula>
    </cfRule>
  </conditionalFormatting>
  <conditionalFormatting sqref="AJ3:AJ1183 AJ1194:AJ1234">
    <cfRule type="expression" dxfId="1290" priority="1878">
      <formula>$AW3="D"</formula>
    </cfRule>
  </conditionalFormatting>
  <conditionalFormatting sqref="AL3:AL1183 AL1194:AL1234">
    <cfRule type="cellIs" dxfId="1289" priority="6177" operator="lessThanOrEqual">
      <formula>-110</formula>
    </cfRule>
  </conditionalFormatting>
  <conditionalFormatting sqref="AL3:AM1176 AL1196:AM1234 AL1194:AL1195 AL1177:AL1183 AM1177:AM1195">
    <cfRule type="expression" dxfId="1288" priority="3506">
      <formula>$AW3="D"</formula>
    </cfRule>
  </conditionalFormatting>
  <conditionalFormatting sqref="AL3:AM3">
    <cfRule type="expression" dxfId="1287" priority="5873">
      <formula>$AW3="D"</formula>
    </cfRule>
  </conditionalFormatting>
  <conditionalFormatting sqref="AM1238">
    <cfRule type="cellIs" dxfId="1286" priority="5951" operator="lessThan">
      <formula>$AM$1243</formula>
    </cfRule>
  </conditionalFormatting>
  <conditionalFormatting sqref="AM1244">
    <cfRule type="cellIs" dxfId="1285" priority="5215" operator="lessThan">
      <formula>0</formula>
    </cfRule>
    <cfRule type="cellIs" dxfId="1284" priority="5216" operator="greaterThan">
      <formula>0</formula>
    </cfRule>
  </conditionalFormatting>
  <conditionalFormatting sqref="AT1235">
    <cfRule type="expression" dxfId="1283" priority="6147">
      <formula>$AU1235="W"</formula>
    </cfRule>
    <cfRule type="expression" dxfId="1282" priority="6148">
      <formula>$AU1235="D"</formula>
    </cfRule>
    <cfRule type="expression" dxfId="1281" priority="6149">
      <formula>$AU1235="L"</formula>
    </cfRule>
  </conditionalFormatting>
  <conditionalFormatting sqref="AT140:AV140">
    <cfRule type="expression" dxfId="1280" priority="5799">
      <formula>$AW140="D"</formula>
    </cfRule>
  </conditionalFormatting>
  <conditionalFormatting sqref="AS1235 AU3:AU1183 AU1194:AU1234">
    <cfRule type="cellIs" dxfId="1279" priority="6187" operator="greaterThan">
      <formula>0</formula>
    </cfRule>
    <cfRule type="cellIs" dxfId="1278" priority="6188" operator="lessThan">
      <formula>0</formula>
    </cfRule>
  </conditionalFormatting>
  <conditionalFormatting sqref="AU1244">
    <cfRule type="cellIs" dxfId="1277" priority="2331" operator="greaterThanOrEqual">
      <formula>AU1242</formula>
    </cfRule>
    <cfRule type="cellIs" dxfId="1276" priority="2332" operator="lessThan">
      <formula>0</formula>
    </cfRule>
  </conditionalFormatting>
  <conditionalFormatting sqref="AU1245">
    <cfRule type="cellIs" dxfId="1275" priority="2329" operator="lessThan">
      <formula>0</formula>
    </cfRule>
    <cfRule type="cellIs" dxfId="1274" priority="2330" operator="greaterThanOrEqual">
      <formula>0</formula>
    </cfRule>
  </conditionalFormatting>
  <conditionalFormatting sqref="AX15:AX16">
    <cfRule type="expression" dxfId="1273" priority="5859">
      <formula>$AW15="D"</formula>
    </cfRule>
    <cfRule type="expression" dxfId="1272" priority="5860">
      <formula>$AW15="W"</formula>
    </cfRule>
    <cfRule type="expression" dxfId="1271" priority="5861">
      <formula>$AW15="L"</formula>
    </cfRule>
  </conditionalFormatting>
  <conditionalFormatting sqref="AX140">
    <cfRule type="expression" dxfId="1270" priority="5794">
      <formula>$AW140="D"</formula>
    </cfRule>
  </conditionalFormatting>
  <conditionalFormatting sqref="AX241:AX244">
    <cfRule type="expression" dxfId="1269" priority="5530">
      <formula>$AW241="D"</formula>
    </cfRule>
  </conditionalFormatting>
  <conditionalFormatting sqref="AX256">
    <cfRule type="expression" dxfId="1268" priority="5499">
      <formula>$AW256="D"</formula>
    </cfRule>
  </conditionalFormatting>
  <conditionalFormatting sqref="AX259:AX260">
    <cfRule type="expression" dxfId="1267" priority="5490">
      <formula>$AW259="D"</formula>
    </cfRule>
  </conditionalFormatting>
  <conditionalFormatting sqref="AX262:AX263">
    <cfRule type="expression" dxfId="1266" priority="5485">
      <formula>$AW262="D"</formula>
    </cfRule>
  </conditionalFormatting>
  <conditionalFormatting sqref="AX287">
    <cfRule type="expression" dxfId="1265" priority="5436">
      <formula>$AW287="D"</formula>
    </cfRule>
  </conditionalFormatting>
  <conditionalFormatting sqref="AX293:AX295">
    <cfRule type="expression" dxfId="1264" priority="5408">
      <formula>$AW293="D"</formula>
    </cfRule>
  </conditionalFormatting>
  <conditionalFormatting sqref="AX297">
    <cfRule type="expression" dxfId="1263" priority="5343">
      <formula>$AW297="D"</formula>
    </cfRule>
  </conditionalFormatting>
  <conditionalFormatting sqref="AX300">
    <cfRule type="expression" dxfId="1262" priority="5390">
      <formula>$AW300="D"</formula>
    </cfRule>
  </conditionalFormatting>
  <conditionalFormatting sqref="AX306:AX307">
    <cfRule type="expression" dxfId="1261" priority="5332">
      <formula>$AW306="D"</formula>
    </cfRule>
  </conditionalFormatting>
  <conditionalFormatting sqref="AX314">
    <cfRule type="expression" dxfId="1260" priority="5305">
      <formula>$AW314="D"</formula>
    </cfRule>
  </conditionalFormatting>
  <conditionalFormatting sqref="AX325:AX326">
    <cfRule type="expression" dxfId="1259" priority="5239">
      <formula>$AW325="D"</formula>
    </cfRule>
  </conditionalFormatting>
  <conditionalFormatting sqref="AX330">
    <cfRule type="expression" dxfId="1258" priority="5225">
      <formula>$AW330="D"</formula>
    </cfRule>
  </conditionalFormatting>
  <conditionalFormatting sqref="AX343">
    <cfRule type="expression" dxfId="1257" priority="5137">
      <formula>$AW343="D"</formula>
    </cfRule>
  </conditionalFormatting>
  <conditionalFormatting sqref="AX345">
    <cfRule type="expression" dxfId="1256" priority="5133">
      <formula>$AW345="D"</formula>
    </cfRule>
  </conditionalFormatting>
  <conditionalFormatting sqref="AX353">
    <cfRule type="expression" dxfId="1255" priority="5465">
      <formula>$AW353="D"</formula>
    </cfRule>
  </conditionalFormatting>
  <conditionalFormatting sqref="AX369:AX370">
    <cfRule type="expression" dxfId="1254" priority="5066">
      <formula>$AW369="D"</formula>
    </cfRule>
  </conditionalFormatting>
  <conditionalFormatting sqref="AX384:AX385">
    <cfRule type="expression" dxfId="1253" priority="4938">
      <formula>$AW384="D"</formula>
    </cfRule>
  </conditionalFormatting>
  <conditionalFormatting sqref="AX392">
    <cfRule type="expression" dxfId="1252" priority="4908">
      <formula>$AW392="D"</formula>
    </cfRule>
  </conditionalFormatting>
  <conditionalFormatting sqref="AX418">
    <cfRule type="expression" dxfId="1251" priority="4788">
      <formula>$AW418="D"</formula>
    </cfRule>
  </conditionalFormatting>
  <conditionalFormatting sqref="AX461">
    <cfRule type="expression" dxfId="1250" priority="4466">
      <formula>$AW461="D"</formula>
    </cfRule>
  </conditionalFormatting>
  <conditionalFormatting sqref="AX544">
    <cfRule type="expression" dxfId="1249" priority="5122">
      <formula>$AW544="D"</formula>
    </cfRule>
  </conditionalFormatting>
  <conditionalFormatting sqref="AX739">
    <cfRule type="expression" dxfId="1248" priority="4042">
      <formula>$AW739="D"</formula>
    </cfRule>
  </conditionalFormatting>
  <conditionalFormatting sqref="AX896">
    <cfRule type="expression" dxfId="1247" priority="4001">
      <formula>$AW896="D"</formula>
    </cfRule>
  </conditionalFormatting>
  <conditionalFormatting sqref="AX997">
    <cfRule type="expression" dxfId="1246" priority="3997">
      <formula>$AW997="D"</formula>
    </cfRule>
  </conditionalFormatting>
  <conditionalFormatting sqref="AX1094">
    <cfRule type="expression" dxfId="1245" priority="3189">
      <formula>$AW1094="D"</formula>
    </cfRule>
  </conditionalFormatting>
  <conditionalFormatting sqref="AX1134">
    <cfRule type="expression" dxfId="1244" priority="3185">
      <formula>$AW1134="D"</formula>
    </cfRule>
  </conditionalFormatting>
  <conditionalFormatting sqref="AX1211">
    <cfRule type="expression" dxfId="1243" priority="3181">
      <formula>$AW1211="D"</formula>
    </cfRule>
  </conditionalFormatting>
  <conditionalFormatting sqref="AX352:AY352">
    <cfRule type="expression" dxfId="1242" priority="5410">
      <formula>$AW352="D"</formula>
    </cfRule>
  </conditionalFormatting>
  <conditionalFormatting sqref="AX846:AY846">
    <cfRule type="expression" dxfId="1241" priority="3407">
      <formula>$AW846="D"</formula>
    </cfRule>
  </conditionalFormatting>
  <conditionalFormatting sqref="AX888:AY888">
    <cfRule type="expression" dxfId="1240" priority="6207">
      <formula>$AW899="D"</formula>
    </cfRule>
    <cfRule type="expression" dxfId="1239" priority="6209">
      <formula>$AW899="L"</formula>
    </cfRule>
    <cfRule type="expression" dxfId="1238" priority="6211">
      <formula>$AW899="W"</formula>
    </cfRule>
  </conditionalFormatting>
  <conditionalFormatting sqref="AX49:AZ50">
    <cfRule type="expression" dxfId="1237" priority="5823">
      <formula>$AW49="D"</formula>
    </cfRule>
    <cfRule type="expression" dxfId="1236" priority="5824">
      <formula>$AW49="W"</formula>
    </cfRule>
    <cfRule type="expression" dxfId="1235" priority="5825">
      <formula>$AW49="L"</formula>
    </cfRule>
  </conditionalFormatting>
  <conditionalFormatting sqref="AX545:AZ545">
    <cfRule type="expression" dxfId="1234" priority="4424">
      <formula>$AW545="D"</formula>
    </cfRule>
  </conditionalFormatting>
  <conditionalFormatting sqref="AY48">
    <cfRule type="expression" dxfId="1233" priority="5820">
      <formula>$AW48="D"</formula>
    </cfRule>
    <cfRule type="expression" dxfId="1232" priority="5821">
      <formula>$AW48="W"</formula>
    </cfRule>
    <cfRule type="expression" dxfId="1231" priority="5822">
      <formula>$AW48="L"</formula>
    </cfRule>
  </conditionalFormatting>
  <conditionalFormatting sqref="AY127:AZ127">
    <cfRule type="expression" dxfId="1230" priority="5742">
      <formula>$AW127="D"</formula>
    </cfRule>
    <cfRule type="expression" dxfId="1229" priority="5743">
      <formula>$AW127="W"</formula>
    </cfRule>
    <cfRule type="expression" dxfId="1228" priority="5744">
      <formula>$AW127="L"</formula>
    </cfRule>
  </conditionalFormatting>
  <conditionalFormatting sqref="AY567:AZ567">
    <cfRule type="expression" dxfId="1227" priority="4201">
      <formula>$AW567="D"</formula>
    </cfRule>
  </conditionalFormatting>
  <conditionalFormatting sqref="AY829:AZ829">
    <cfRule type="expression" dxfId="1226" priority="3418">
      <formula>$AW829="D"</formula>
    </cfRule>
  </conditionalFormatting>
  <conditionalFormatting sqref="AY3:BA3">
    <cfRule type="expression" dxfId="1225" priority="5858">
      <formula>$AW3="D"</formula>
    </cfRule>
  </conditionalFormatting>
  <conditionalFormatting sqref="AY889:BD889">
    <cfRule type="expression" dxfId="1224" priority="3088">
      <formula>$AW900="D"</formula>
    </cfRule>
    <cfRule type="expression" dxfId="1223" priority="3089">
      <formula>$AW900="L"</formula>
    </cfRule>
    <cfRule type="expression" dxfId="1222" priority="3090">
      <formula>$AW900="W"</formula>
    </cfRule>
  </conditionalFormatting>
  <conditionalFormatting sqref="AY139:BF139">
    <cfRule type="expression" dxfId="1221" priority="5800">
      <formula>$AW139="D"</formula>
    </cfRule>
  </conditionalFormatting>
  <conditionalFormatting sqref="AY259:BF259">
    <cfRule type="expression" dxfId="1220" priority="5511">
      <formula>$AW259="D"</formula>
    </cfRule>
  </conditionalFormatting>
  <conditionalFormatting sqref="AY737:BF737">
    <cfRule type="expression" dxfId="1219" priority="4048">
      <formula>$AW737="D"</formula>
    </cfRule>
  </conditionalFormatting>
  <conditionalFormatting sqref="AY1234:BF1234">
    <cfRule type="expression" dxfId="1218" priority="5852">
      <formula>$AW1234="D"</formula>
    </cfRule>
  </conditionalFormatting>
  <conditionalFormatting sqref="AZ256:AZ257">
    <cfRule type="expression" dxfId="1217" priority="5501">
      <formula>$AW256="D"</formula>
    </cfRule>
  </conditionalFormatting>
  <conditionalFormatting sqref="AZ259">
    <cfRule type="expression" dxfId="1216" priority="5534">
      <formula>$AW259="D"</formula>
    </cfRule>
  </conditionalFormatting>
  <conditionalFormatting sqref="AZ268">
    <cfRule type="expression" dxfId="1215" priority="5464">
      <formula>$AW268="D"</formula>
    </cfRule>
  </conditionalFormatting>
  <conditionalFormatting sqref="AZ352">
    <cfRule type="expression" dxfId="1214" priority="5385">
      <formula>$AW352="D"</formula>
    </cfRule>
  </conditionalFormatting>
  <conditionalFormatting sqref="AZ822">
    <cfRule type="expression" dxfId="1213" priority="3421">
      <formula>$AW822="D"</formula>
    </cfRule>
  </conditionalFormatting>
  <conditionalFormatting sqref="AZ835">
    <cfRule type="expression" dxfId="1212" priority="3420">
      <formula>$AW835="D"</formula>
    </cfRule>
  </conditionalFormatting>
  <conditionalFormatting sqref="AZ262:BA262">
    <cfRule type="expression" dxfId="1211" priority="5483">
      <formula>$AW262="D"</formula>
    </cfRule>
  </conditionalFormatting>
  <conditionalFormatting sqref="AZ293:BA294">
    <cfRule type="expression" dxfId="1210" priority="5395">
      <formula>$AW293="D"</formula>
    </cfRule>
  </conditionalFormatting>
  <conditionalFormatting sqref="AZ297:BA297">
    <cfRule type="expression" dxfId="1209" priority="5340">
      <formula>$AW297="D"</formula>
    </cfRule>
  </conditionalFormatting>
  <conditionalFormatting sqref="AZ300:BA300">
    <cfRule type="expression" dxfId="1208" priority="5387">
      <formula>$AW300="D"</formula>
    </cfRule>
  </conditionalFormatting>
  <conditionalFormatting sqref="AZ297:BB297">
    <cfRule type="expression" dxfId="1207" priority="5342">
      <formula>$AW297="D"</formula>
    </cfRule>
  </conditionalFormatting>
  <conditionalFormatting sqref="AZ300:BB300">
    <cfRule type="expression" dxfId="1206" priority="5389">
      <formula>$AW300="D"</formula>
    </cfRule>
  </conditionalFormatting>
  <conditionalFormatting sqref="AZ154:BC154">
    <cfRule type="expression" dxfId="1205" priority="5713">
      <formula>$AW154="D"</formula>
    </cfRule>
    <cfRule type="expression" dxfId="1204" priority="5714">
      <formula>$AW154="W"</formula>
    </cfRule>
    <cfRule type="expression" dxfId="1203" priority="5715">
      <formula>$AW154="L"</formula>
    </cfRule>
  </conditionalFormatting>
  <conditionalFormatting sqref="AZ294:BC294">
    <cfRule type="expression" dxfId="1202" priority="5397">
      <formula>$AW294="D"</formula>
    </cfRule>
  </conditionalFormatting>
  <conditionalFormatting sqref="AZ258:BD258">
    <cfRule type="expression" dxfId="1201" priority="5510">
      <formula>$AW258="D"</formula>
    </cfRule>
  </conditionalFormatting>
  <conditionalFormatting sqref="AZ293:BD293">
    <cfRule type="expression" dxfId="1200" priority="5416">
      <formula>$AW293="D"</formula>
    </cfRule>
  </conditionalFormatting>
  <conditionalFormatting sqref="BA200">
    <cfRule type="expression" dxfId="1199" priority="5630">
      <formula>$AW200="D"</formula>
    </cfRule>
  </conditionalFormatting>
  <conditionalFormatting sqref="BA237">
    <cfRule type="expression" dxfId="1198" priority="5539">
      <formula>$AW237="D"</formula>
    </cfRule>
  </conditionalFormatting>
  <conditionalFormatting sqref="BA256">
    <cfRule type="expression" dxfId="1197" priority="5498">
      <formula>$AW256="D"</formula>
    </cfRule>
  </conditionalFormatting>
  <conditionalFormatting sqref="BA259">
    <cfRule type="expression" dxfId="1196" priority="5529">
      <formula>$AW259="D"</formula>
    </cfRule>
  </conditionalFormatting>
  <conditionalFormatting sqref="BA352">
    <cfRule type="expression" dxfId="1195" priority="5383">
      <formula>$AW352="D"</formula>
    </cfRule>
  </conditionalFormatting>
  <conditionalFormatting sqref="BA545">
    <cfRule type="expression" dxfId="1194" priority="4423">
      <formula>$AW545="D"</formula>
    </cfRule>
  </conditionalFormatting>
  <conditionalFormatting sqref="BA685">
    <cfRule type="expression" dxfId="1193" priority="4007">
      <formula>$AW685="D"</formula>
    </cfRule>
  </conditionalFormatting>
  <conditionalFormatting sqref="BB241:BB242">
    <cfRule type="expression" dxfId="1192" priority="5528">
      <formula>$AW241="D"</formula>
    </cfRule>
  </conditionalFormatting>
  <conditionalFormatting sqref="BB256:BB259">
    <cfRule type="expression" dxfId="1191" priority="5502">
      <formula>$AW256="D"</formula>
    </cfRule>
  </conditionalFormatting>
  <conditionalFormatting sqref="BB545">
    <cfRule type="expression" dxfId="1190" priority="4422">
      <formula>$AW545="D"</formula>
    </cfRule>
  </conditionalFormatting>
  <conditionalFormatting sqref="BB352:BC352">
    <cfRule type="expression" dxfId="1189" priority="5381">
      <formula>$AW352="D"</formula>
    </cfRule>
  </conditionalFormatting>
  <conditionalFormatting sqref="BB257:BF257">
    <cfRule type="expression" dxfId="1188" priority="5509">
      <formula>$AW257="D"</formula>
    </cfRule>
  </conditionalFormatting>
  <conditionalFormatting sqref="BB261:BF261">
    <cfRule type="expression" dxfId="1187" priority="5487">
      <formula>$AW261="D"</formula>
    </cfRule>
  </conditionalFormatting>
  <conditionalFormatting sqref="BC545">
    <cfRule type="expression" dxfId="1186" priority="4421">
      <formula>$AW545="D"</formula>
    </cfRule>
  </conditionalFormatting>
  <conditionalFormatting sqref="BC135:BD136">
    <cfRule type="expression" dxfId="1185" priority="5790">
      <formula>$AW135="D"</formula>
    </cfRule>
  </conditionalFormatting>
  <conditionalFormatting sqref="BC685:BE685">
    <cfRule type="expression" dxfId="1184" priority="4005">
      <formula>$AW685="D"</formula>
    </cfRule>
  </conditionalFormatting>
  <conditionalFormatting sqref="BC257:BF257">
    <cfRule type="expression" dxfId="1183" priority="5505">
      <formula>$AW257="D"</formula>
    </cfRule>
  </conditionalFormatting>
  <conditionalFormatting sqref="BD152">
    <cfRule type="expression" dxfId="1182" priority="5725">
      <formula>$AW152="D"</formula>
    </cfRule>
  </conditionalFormatting>
  <conditionalFormatting sqref="BD159">
    <cfRule type="expression" dxfId="1181" priority="5716">
      <formula>$AW159="D"</formula>
    </cfRule>
  </conditionalFormatting>
  <conditionalFormatting sqref="BD223">
    <cfRule type="expression" dxfId="1180" priority="5561">
      <formula>$AW223="D"</formula>
    </cfRule>
  </conditionalFormatting>
  <conditionalFormatting sqref="BD259">
    <cfRule type="expression" dxfId="1179" priority="5508">
      <formula>$AW259="D"</formula>
    </cfRule>
  </conditionalFormatting>
  <conditionalFormatting sqref="BD640">
    <cfRule type="expression" dxfId="1178" priority="4059">
      <formula>$AW640="D"</formula>
    </cfRule>
  </conditionalFormatting>
  <conditionalFormatting sqref="BD644">
    <cfRule type="expression" dxfId="1177" priority="4061">
      <formula>$AW644="D"</formula>
    </cfRule>
  </conditionalFormatting>
  <conditionalFormatting sqref="BD165:BF165">
    <cfRule type="expression" dxfId="1176" priority="5708">
      <formula>$AW165="D"</formula>
    </cfRule>
  </conditionalFormatting>
  <conditionalFormatting sqref="BD352:BF352">
    <cfRule type="expression" dxfId="1175" priority="5379">
      <formula>$AW352="D"</formula>
    </cfRule>
  </conditionalFormatting>
  <conditionalFormatting sqref="BD737:BF737">
    <cfRule type="expression" dxfId="1174" priority="4047">
      <formula>$AW737="D"</formula>
    </cfRule>
  </conditionalFormatting>
  <conditionalFormatting sqref="BD1234:BF1234">
    <cfRule type="expression" dxfId="1173" priority="5632">
      <formula>$AW1234="D"</formula>
    </cfRule>
  </conditionalFormatting>
  <conditionalFormatting sqref="BE138">
    <cfRule type="expression" dxfId="1172" priority="5793">
      <formula>$AW138="D"</formula>
    </cfRule>
  </conditionalFormatting>
  <conditionalFormatting sqref="BE259">
    <cfRule type="expression" dxfId="1171" priority="5507">
      <formula>$AW259="D"</formula>
    </cfRule>
  </conditionalFormatting>
  <conditionalFormatting sqref="BE737:BF737">
    <cfRule type="expression" dxfId="1170" priority="4046">
      <formula>$AW737="D"</formula>
    </cfRule>
  </conditionalFormatting>
  <conditionalFormatting sqref="BE1234:BF1234">
    <cfRule type="expression" dxfId="1169" priority="5631">
      <formula>$AW1234="D"</formula>
    </cfRule>
  </conditionalFormatting>
  <conditionalFormatting sqref="BF258">
    <cfRule type="expression" dxfId="1168" priority="5504">
      <formula>$AW258="D"</formula>
    </cfRule>
  </conditionalFormatting>
  <conditionalFormatting sqref="Y1120:Z1122">
    <cfRule type="expression" dxfId="1167" priority="1086">
      <formula>$AW1120="D"</formula>
    </cfRule>
  </conditionalFormatting>
  <conditionalFormatting sqref="Y1123:Z1124">
    <cfRule type="expression" dxfId="1166" priority="1085">
      <formula>$AW1123="D"</formula>
    </cfRule>
  </conditionalFormatting>
  <conditionalFormatting sqref="Y1125:Z1125">
    <cfRule type="expression" dxfId="1165" priority="1084">
      <formula>$AW1125="D"</formula>
    </cfRule>
  </conditionalFormatting>
  <conditionalFormatting sqref="Y1126:Z1135">
    <cfRule type="expression" dxfId="1164" priority="1083">
      <formula>$AW1126="D"</formula>
    </cfRule>
  </conditionalFormatting>
  <conditionalFormatting sqref="P1140">
    <cfRule type="expression" dxfId="1163" priority="1051">
      <formula>$AW1140="D"</formula>
    </cfRule>
    <cfRule type="cellIs" dxfId="1162" priority="1052" operator="equal">
      <formula>"F"</formula>
    </cfRule>
  </conditionalFormatting>
  <conditionalFormatting sqref="Y1140">
    <cfRule type="cellIs" dxfId="1161" priority="1013" operator="equal">
      <formula>"S"</formula>
    </cfRule>
    <cfRule type="cellIs" dxfId="1160" priority="1014" operator="equal">
      <formula>"B"</formula>
    </cfRule>
    <cfRule type="expression" dxfId="1159" priority="1015">
      <formula>$AW1140="D"</formula>
    </cfRule>
    <cfRule type="cellIs" dxfId="1158" priority="1016" operator="equal">
      <formula>"B"</formula>
    </cfRule>
    <cfRule type="cellIs" dxfId="1157" priority="1017" operator="equal">
      <formula>"S"</formula>
    </cfRule>
    <cfRule type="expression" dxfId="1156" priority="1018">
      <formula>$AW1140="D"</formula>
    </cfRule>
    <cfRule type="cellIs" dxfId="1155" priority="1019" operator="equal">
      <formula>"B"</formula>
    </cfRule>
    <cfRule type="cellIs" dxfId="1154" priority="1020" operator="equal">
      <formula>"S"</formula>
    </cfRule>
    <cfRule type="cellIs" dxfId="1153" priority="1021" operator="equal">
      <formula>"S"</formula>
    </cfRule>
    <cfRule type="cellIs" dxfId="1152" priority="1022" operator="equal">
      <formula>"B"</formula>
    </cfRule>
    <cfRule type="expression" dxfId="1151" priority="1024">
      <formula>$AW1140="D"</formula>
    </cfRule>
    <cfRule type="cellIs" dxfId="1150" priority="1025" operator="equal">
      <formula>"B"</formula>
    </cfRule>
    <cfRule type="cellIs" dxfId="1149" priority="1026" operator="equal">
      <formula>"S"</formula>
    </cfRule>
    <cfRule type="expression" dxfId="1148" priority="1027">
      <formula>$AW1140="D"</formula>
    </cfRule>
    <cfRule type="cellIs" dxfId="1147" priority="1028" operator="equal">
      <formula>"B"</formula>
    </cfRule>
    <cfRule type="cellIs" dxfId="1146" priority="1029" operator="equal">
      <formula>"S"</formula>
    </cfRule>
    <cfRule type="cellIs" dxfId="1145" priority="1030" operator="equal">
      <formula>"S"</formula>
    </cfRule>
    <cfRule type="cellIs" dxfId="1144" priority="1031" operator="equal">
      <formula>"B"</formula>
    </cfRule>
    <cfRule type="expression" dxfId="1143" priority="1033">
      <formula>$AW1140="D"</formula>
    </cfRule>
    <cfRule type="cellIs" dxfId="1142" priority="1034" operator="equal">
      <formula>"B"</formula>
    </cfRule>
    <cfRule type="cellIs" dxfId="1141" priority="1035" operator="equal">
      <formula>"S"</formula>
    </cfRule>
    <cfRule type="expression" dxfId="1140" priority="1037">
      <formula>$AW1140="D"</formula>
    </cfRule>
    <cfRule type="cellIs" dxfId="1139" priority="1038" operator="equal">
      <formula>"B"</formula>
    </cfRule>
    <cfRule type="cellIs" dxfId="1138" priority="1039" operator="equal">
      <formula>"S"</formula>
    </cfRule>
    <cfRule type="cellIs" dxfId="1137" priority="1040" operator="equal">
      <formula>"S"</formula>
    </cfRule>
    <cfRule type="cellIs" dxfId="1136" priority="1041" operator="equal">
      <formula>"B"</formula>
    </cfRule>
    <cfRule type="cellIs" dxfId="1135" priority="1043" operator="equal">
      <formula>"S"</formula>
    </cfRule>
    <cfRule type="cellIs" dxfId="1134" priority="1044" operator="equal">
      <formula>"B"</formula>
    </cfRule>
    <cfRule type="expression" dxfId="1133" priority="1045">
      <formula>$AW1140="D"</formula>
    </cfRule>
    <cfRule type="cellIs" dxfId="1132" priority="1046" operator="equal">
      <formula>"B"</formula>
    </cfRule>
    <cfRule type="cellIs" dxfId="1131" priority="1047" operator="equal">
      <formula>"S"</formula>
    </cfRule>
    <cfRule type="expression" dxfId="1130" priority="1048">
      <formula>$AW1140="D"</formula>
    </cfRule>
    <cfRule type="cellIs" dxfId="1129" priority="1049" operator="equal">
      <formula>"B"</formula>
    </cfRule>
    <cfRule type="cellIs" dxfId="1128" priority="1050" operator="equal">
      <formula>"S"</formula>
    </cfRule>
    <cfRule type="expression" dxfId="1127" priority="1054">
      <formula>$AW1140="D"</formula>
    </cfRule>
    <cfRule type="cellIs" dxfId="1126" priority="1055" operator="equal">
      <formula>"B"</formula>
    </cfRule>
    <cfRule type="cellIs" dxfId="1125" priority="1056" operator="equal">
      <formula>"S"</formula>
    </cfRule>
    <cfRule type="expression" dxfId="1124" priority="1057">
      <formula>$AW1140="D"</formula>
    </cfRule>
    <cfRule type="cellIs" dxfId="1123" priority="1058" operator="equal">
      <formula>"B"</formula>
    </cfRule>
    <cfRule type="cellIs" dxfId="1122" priority="1059" operator="equal">
      <formula>"S"</formula>
    </cfRule>
    <cfRule type="cellIs" dxfId="1121" priority="1060" operator="equal">
      <formula>"S"</formula>
    </cfRule>
    <cfRule type="cellIs" dxfId="1120" priority="1061" operator="equal">
      <formula>"B"</formula>
    </cfRule>
    <cfRule type="expression" dxfId="1119" priority="1062">
      <formula>$AW1140="D"</formula>
    </cfRule>
    <cfRule type="cellIs" dxfId="1118" priority="1063" operator="equal">
      <formula>"B"</formula>
    </cfRule>
    <cfRule type="cellIs" dxfId="1117" priority="1064" operator="equal">
      <formula>"S"</formula>
    </cfRule>
    <cfRule type="expression" dxfId="1116" priority="1065">
      <formula>$AW1140="D"</formula>
    </cfRule>
    <cfRule type="cellIs" dxfId="1115" priority="1066" operator="equal">
      <formula>"B"</formula>
    </cfRule>
    <cfRule type="cellIs" dxfId="1114" priority="1067" operator="equal">
      <formula>"S"</formula>
    </cfRule>
    <cfRule type="expression" dxfId="1113" priority="1068">
      <formula>$AW1140="D"</formula>
    </cfRule>
    <cfRule type="cellIs" dxfId="1112" priority="1069" operator="equal">
      <formula>"B"</formula>
    </cfRule>
    <cfRule type="cellIs" dxfId="1111" priority="1070" operator="equal">
      <formula>"S"</formula>
    </cfRule>
    <cfRule type="expression" dxfId="1110" priority="1071">
      <formula>$AW1140="D"</formula>
    </cfRule>
    <cfRule type="cellIs" dxfId="1109" priority="1072" operator="equal">
      <formula>"B"</formula>
    </cfRule>
    <cfRule type="cellIs" dxfId="1108" priority="1073" operator="equal">
      <formula>"S"</formula>
    </cfRule>
    <cfRule type="cellIs" dxfId="1107" priority="1074" operator="equal">
      <formula>"S"</formula>
    </cfRule>
    <cfRule type="cellIs" dxfId="1106" priority="1075" operator="equal">
      <formula>"B"</formula>
    </cfRule>
    <cfRule type="expression" dxfId="1105" priority="1076">
      <formula>$AW1140="D"</formula>
    </cfRule>
    <cfRule type="cellIs" dxfId="1104" priority="1077" operator="equal">
      <formula>"B"</formula>
    </cfRule>
    <cfRule type="cellIs" dxfId="1103" priority="1078" operator="equal">
      <formula>"S"</formula>
    </cfRule>
    <cfRule type="expression" dxfId="1102" priority="1079">
      <formula>$AW1140="D"</formula>
    </cfRule>
    <cfRule type="cellIs" dxfId="1101" priority="1080" operator="equal">
      <formula>"B"</formula>
    </cfRule>
    <cfRule type="cellIs" dxfId="1100" priority="1081" operator="equal">
      <formula>"S"</formula>
    </cfRule>
  </conditionalFormatting>
  <conditionalFormatting sqref="Y1140:Z1140">
    <cfRule type="expression" dxfId="1099" priority="1023">
      <formula>$AW1140="D"</formula>
    </cfRule>
    <cfRule type="expression" dxfId="1098" priority="1032">
      <formula>$AW1140="D"</formula>
    </cfRule>
    <cfRule type="expression" dxfId="1097" priority="1036">
      <formula>$AW1140="D"</formula>
    </cfRule>
    <cfRule type="expression" dxfId="1096" priority="1042">
      <formula>$AW1140="D"</formula>
    </cfRule>
    <cfRule type="expression" dxfId="1095" priority="1053">
      <formula>$AW1140="D"</formula>
    </cfRule>
  </conditionalFormatting>
  <conditionalFormatting sqref="Y1140:Z1140">
    <cfRule type="expression" dxfId="1094" priority="1012">
      <formula>$AW1140="D"</formula>
    </cfRule>
  </conditionalFormatting>
  <conditionalFormatting sqref="Z1140">
    <cfRule type="expression" dxfId="1093" priority="1082">
      <formula>$AW1140="D"</formula>
    </cfRule>
  </conditionalFormatting>
  <conditionalFormatting sqref="Y1144:Y1148">
    <cfRule type="cellIs" dxfId="1092" priority="951" operator="equal">
      <formula>"S"</formula>
    </cfRule>
    <cfRule type="cellIs" dxfId="1091" priority="952" operator="equal">
      <formula>"B"</formula>
    </cfRule>
    <cfRule type="expression" dxfId="1090" priority="953">
      <formula>$AW1144="D"</formula>
    </cfRule>
    <cfRule type="cellIs" dxfId="1089" priority="954" operator="equal">
      <formula>"B"</formula>
    </cfRule>
    <cfRule type="cellIs" dxfId="1088" priority="955" operator="equal">
      <formula>"S"</formula>
    </cfRule>
    <cfRule type="expression" dxfId="1087" priority="956">
      <formula>$AW1144="D"</formula>
    </cfRule>
    <cfRule type="cellIs" dxfId="1086" priority="957" operator="equal">
      <formula>"B"</formula>
    </cfRule>
    <cfRule type="cellIs" dxfId="1085" priority="958" operator="equal">
      <formula>"S"</formula>
    </cfRule>
    <cfRule type="cellIs" dxfId="1084" priority="959" operator="equal">
      <formula>"S"</formula>
    </cfRule>
    <cfRule type="cellIs" dxfId="1083" priority="960" operator="equal">
      <formula>"B"</formula>
    </cfRule>
    <cfRule type="expression" dxfId="1082" priority="961">
      <formula>$AW1144="D"</formula>
    </cfRule>
    <cfRule type="cellIs" dxfId="1081" priority="962" operator="equal">
      <formula>"B"</formula>
    </cfRule>
    <cfRule type="cellIs" dxfId="1080" priority="963" operator="equal">
      <formula>"S"</formula>
    </cfRule>
    <cfRule type="expression" dxfId="1079" priority="964">
      <formula>$AW1144="D"</formula>
    </cfRule>
    <cfRule type="cellIs" dxfId="1078" priority="965" operator="equal">
      <formula>"B"</formula>
    </cfRule>
    <cfRule type="cellIs" dxfId="1077" priority="966" operator="equal">
      <formula>"S"</formula>
    </cfRule>
    <cfRule type="cellIs" dxfId="1076" priority="967" operator="equal">
      <formula>"S"</formula>
    </cfRule>
    <cfRule type="cellIs" dxfId="1075" priority="968" operator="equal">
      <formula>"B"</formula>
    </cfRule>
    <cfRule type="expression" dxfId="1074" priority="969">
      <formula>$AW1144="D"</formula>
    </cfRule>
    <cfRule type="cellIs" dxfId="1073" priority="970" operator="equal">
      <formula>"B"</formula>
    </cfRule>
    <cfRule type="cellIs" dxfId="1072" priority="971" operator="equal">
      <formula>"S"</formula>
    </cfRule>
    <cfRule type="expression" dxfId="1071" priority="972">
      <formula>$AW1144="D"</formula>
    </cfRule>
    <cfRule type="cellIs" dxfId="1070" priority="973" operator="equal">
      <formula>"B"</formula>
    </cfRule>
    <cfRule type="cellIs" dxfId="1069" priority="974" operator="equal">
      <formula>"S"</formula>
    </cfRule>
    <cfRule type="cellIs" dxfId="1068" priority="975" operator="equal">
      <formula>"S"</formula>
    </cfRule>
    <cfRule type="cellIs" dxfId="1067" priority="976" operator="equal">
      <formula>"B"</formula>
    </cfRule>
    <cfRule type="expression" dxfId="1066" priority="977">
      <formula>$AW1144="D"</formula>
    </cfRule>
    <cfRule type="cellIs" dxfId="1065" priority="978" operator="equal">
      <formula>"B"</formula>
    </cfRule>
    <cfRule type="cellIs" dxfId="1064" priority="979" operator="equal">
      <formula>"S"</formula>
    </cfRule>
    <cfRule type="expression" dxfId="1063" priority="980">
      <formula>$AW1144="D"</formula>
    </cfRule>
    <cfRule type="cellIs" dxfId="1062" priority="981" operator="equal">
      <formula>"B"</formula>
    </cfRule>
    <cfRule type="cellIs" dxfId="1061" priority="982" operator="equal">
      <formula>"S"</formula>
    </cfRule>
    <cfRule type="expression" dxfId="1060" priority="983">
      <formula>$AW1144="D"</formula>
    </cfRule>
    <cfRule type="cellIs" dxfId="1059" priority="984" operator="equal">
      <formula>"B"</formula>
    </cfRule>
    <cfRule type="cellIs" dxfId="1058" priority="985" operator="equal">
      <formula>"S"</formula>
    </cfRule>
    <cfRule type="expression" dxfId="1057" priority="986">
      <formula>$AW1144="D"</formula>
    </cfRule>
    <cfRule type="cellIs" dxfId="1056" priority="987" operator="equal">
      <formula>"B"</formula>
    </cfRule>
    <cfRule type="cellIs" dxfId="1055" priority="988" operator="equal">
      <formula>"S"</formula>
    </cfRule>
    <cfRule type="cellIs" dxfId="1054" priority="989" operator="equal">
      <formula>"S"</formula>
    </cfRule>
    <cfRule type="cellIs" dxfId="1053" priority="990" operator="equal">
      <formula>"B"</formula>
    </cfRule>
    <cfRule type="expression" dxfId="1052" priority="991">
      <formula>$AW1144="D"</formula>
    </cfRule>
    <cfRule type="cellIs" dxfId="1051" priority="992" operator="equal">
      <formula>"B"</formula>
    </cfRule>
    <cfRule type="cellIs" dxfId="1050" priority="993" operator="equal">
      <formula>"S"</formula>
    </cfRule>
    <cfRule type="expression" dxfId="1049" priority="994">
      <formula>$AW1144="D"</formula>
    </cfRule>
    <cfRule type="cellIs" dxfId="1048" priority="995" operator="equal">
      <formula>"B"</formula>
    </cfRule>
    <cfRule type="cellIs" dxfId="1047" priority="996" operator="equal">
      <formula>"S"</formula>
    </cfRule>
    <cfRule type="expression" dxfId="1046" priority="997">
      <formula>$AW1144="D"</formula>
    </cfRule>
    <cfRule type="cellIs" dxfId="1045" priority="998" operator="equal">
      <formula>"B"</formula>
    </cfRule>
    <cfRule type="cellIs" dxfId="1044" priority="999" operator="equal">
      <formula>"S"</formula>
    </cfRule>
    <cfRule type="expression" dxfId="1043" priority="1000">
      <formula>$AW1144="D"</formula>
    </cfRule>
    <cfRule type="cellIs" dxfId="1042" priority="1001" operator="equal">
      <formula>"B"</formula>
    </cfRule>
    <cfRule type="cellIs" dxfId="1041" priority="1002" operator="equal">
      <formula>"S"</formula>
    </cfRule>
    <cfRule type="cellIs" dxfId="1040" priority="1003" operator="equal">
      <formula>"S"</formula>
    </cfRule>
    <cfRule type="cellIs" dxfId="1039" priority="1004" operator="equal">
      <formula>"B"</formula>
    </cfRule>
    <cfRule type="expression" dxfId="1038" priority="1005">
      <formula>$AW1144="D"</formula>
    </cfRule>
    <cfRule type="cellIs" dxfId="1037" priority="1006" operator="equal">
      <formula>"B"</formula>
    </cfRule>
    <cfRule type="cellIs" dxfId="1036" priority="1007" operator="equal">
      <formula>"S"</formula>
    </cfRule>
    <cfRule type="expression" dxfId="1035" priority="1008">
      <formula>$AW1144="D"</formula>
    </cfRule>
    <cfRule type="cellIs" dxfId="1034" priority="1009" operator="equal">
      <formula>"B"</formula>
    </cfRule>
    <cfRule type="cellIs" dxfId="1033" priority="1010" operator="equal">
      <formula>"S"</formula>
    </cfRule>
  </conditionalFormatting>
  <conditionalFormatting sqref="Z1144:Z1148">
    <cfRule type="expression" dxfId="1032" priority="1011">
      <formula>$AW1144="D"</formula>
    </cfRule>
  </conditionalFormatting>
  <conditionalFormatting sqref="Y1144:Z1145">
    <cfRule type="expression" dxfId="1031" priority="950">
      <formula>$AW1144="D"</formula>
    </cfRule>
  </conditionalFormatting>
  <conditionalFormatting sqref="Y1146:Z1146">
    <cfRule type="expression" dxfId="1030" priority="949">
      <formula>$AW1146="D"</formula>
    </cfRule>
  </conditionalFormatting>
  <conditionalFormatting sqref="Y1147:Z1147">
    <cfRule type="expression" dxfId="1029" priority="948">
      <formula>$AW1147="D"</formula>
    </cfRule>
  </conditionalFormatting>
  <conditionalFormatting sqref="Y1148:Z1148">
    <cfRule type="expression" dxfId="1028" priority="947">
      <formula>$AW1148="D"</formula>
    </cfRule>
  </conditionalFormatting>
  <conditionalFormatting sqref="Y1151:Y1156">
    <cfRule type="cellIs" dxfId="1027" priority="886" operator="equal">
      <formula>"S"</formula>
    </cfRule>
    <cfRule type="cellIs" dxfId="1026" priority="887" operator="equal">
      <formula>"B"</formula>
    </cfRule>
    <cfRule type="expression" dxfId="1025" priority="888">
      <formula>$AW1151="D"</formula>
    </cfRule>
    <cfRule type="cellIs" dxfId="1024" priority="889" operator="equal">
      <formula>"B"</formula>
    </cfRule>
    <cfRule type="cellIs" dxfId="1023" priority="890" operator="equal">
      <formula>"S"</formula>
    </cfRule>
    <cfRule type="expression" dxfId="1022" priority="891">
      <formula>$AW1151="D"</formula>
    </cfRule>
    <cfRule type="cellIs" dxfId="1021" priority="892" operator="equal">
      <formula>"B"</formula>
    </cfRule>
    <cfRule type="cellIs" dxfId="1020" priority="893" operator="equal">
      <formula>"S"</formula>
    </cfRule>
    <cfRule type="cellIs" dxfId="1019" priority="894" operator="equal">
      <formula>"S"</formula>
    </cfRule>
    <cfRule type="cellIs" dxfId="1018" priority="895" operator="equal">
      <formula>"B"</formula>
    </cfRule>
    <cfRule type="expression" dxfId="1017" priority="896">
      <formula>$AW1151="D"</formula>
    </cfRule>
    <cfRule type="cellIs" dxfId="1016" priority="897" operator="equal">
      <formula>"B"</formula>
    </cfRule>
    <cfRule type="cellIs" dxfId="1015" priority="898" operator="equal">
      <formula>"S"</formula>
    </cfRule>
    <cfRule type="expression" dxfId="1014" priority="899">
      <formula>$AW1151="D"</formula>
    </cfRule>
    <cfRule type="cellIs" dxfId="1013" priority="900" operator="equal">
      <formula>"B"</formula>
    </cfRule>
    <cfRule type="cellIs" dxfId="1012" priority="901" operator="equal">
      <formula>"S"</formula>
    </cfRule>
    <cfRule type="cellIs" dxfId="1011" priority="902" operator="equal">
      <formula>"S"</formula>
    </cfRule>
    <cfRule type="cellIs" dxfId="1010" priority="903" operator="equal">
      <formula>"B"</formula>
    </cfRule>
    <cfRule type="expression" dxfId="1009" priority="904">
      <formula>$AW1151="D"</formula>
    </cfRule>
    <cfRule type="cellIs" dxfId="1008" priority="905" operator="equal">
      <formula>"B"</formula>
    </cfRule>
    <cfRule type="cellIs" dxfId="1007" priority="906" operator="equal">
      <formula>"S"</formula>
    </cfRule>
    <cfRule type="expression" dxfId="1006" priority="907">
      <formula>$AW1151="D"</formula>
    </cfRule>
    <cfRule type="cellIs" dxfId="1005" priority="908" operator="equal">
      <formula>"B"</formula>
    </cfRule>
    <cfRule type="cellIs" dxfId="1004" priority="909" operator="equal">
      <formula>"S"</formula>
    </cfRule>
    <cfRule type="cellIs" dxfId="1003" priority="910" operator="equal">
      <formula>"S"</formula>
    </cfRule>
    <cfRule type="cellIs" dxfId="1002" priority="911" operator="equal">
      <formula>"B"</formula>
    </cfRule>
    <cfRule type="expression" dxfId="1001" priority="912">
      <formula>$AW1151="D"</formula>
    </cfRule>
    <cfRule type="cellIs" dxfId="1000" priority="913" operator="equal">
      <formula>"B"</formula>
    </cfRule>
    <cfRule type="cellIs" dxfId="999" priority="914" operator="equal">
      <formula>"S"</formula>
    </cfRule>
    <cfRule type="expression" dxfId="998" priority="915">
      <formula>$AW1151="D"</formula>
    </cfRule>
    <cfRule type="cellIs" dxfId="997" priority="916" operator="equal">
      <formula>"B"</formula>
    </cfRule>
    <cfRule type="cellIs" dxfId="996" priority="917" operator="equal">
      <formula>"S"</formula>
    </cfRule>
    <cfRule type="expression" dxfId="995" priority="918">
      <formula>$AW1151="D"</formula>
    </cfRule>
    <cfRule type="cellIs" dxfId="994" priority="919" operator="equal">
      <formula>"B"</formula>
    </cfRule>
    <cfRule type="cellIs" dxfId="993" priority="920" operator="equal">
      <formula>"S"</formula>
    </cfRule>
    <cfRule type="expression" dxfId="992" priority="921">
      <formula>$AW1151="D"</formula>
    </cfRule>
    <cfRule type="cellIs" dxfId="991" priority="922" operator="equal">
      <formula>"B"</formula>
    </cfRule>
    <cfRule type="cellIs" dxfId="990" priority="923" operator="equal">
      <formula>"S"</formula>
    </cfRule>
    <cfRule type="cellIs" dxfId="989" priority="924" operator="equal">
      <formula>"S"</formula>
    </cfRule>
    <cfRule type="cellIs" dxfId="988" priority="925" operator="equal">
      <formula>"B"</formula>
    </cfRule>
    <cfRule type="expression" dxfId="987" priority="926">
      <formula>$AW1151="D"</formula>
    </cfRule>
    <cfRule type="cellIs" dxfId="986" priority="927" operator="equal">
      <formula>"B"</formula>
    </cfRule>
    <cfRule type="cellIs" dxfId="985" priority="928" operator="equal">
      <formula>"S"</formula>
    </cfRule>
    <cfRule type="expression" dxfId="984" priority="929">
      <formula>$AW1151="D"</formula>
    </cfRule>
    <cfRule type="cellIs" dxfId="983" priority="930" operator="equal">
      <formula>"B"</formula>
    </cfRule>
    <cfRule type="cellIs" dxfId="982" priority="931" operator="equal">
      <formula>"S"</formula>
    </cfRule>
    <cfRule type="expression" dxfId="981" priority="932">
      <formula>$AW1151="D"</formula>
    </cfRule>
    <cfRule type="cellIs" dxfId="980" priority="933" operator="equal">
      <formula>"B"</formula>
    </cfRule>
    <cfRule type="cellIs" dxfId="979" priority="934" operator="equal">
      <formula>"S"</formula>
    </cfRule>
    <cfRule type="expression" dxfId="978" priority="935">
      <formula>$AW1151="D"</formula>
    </cfRule>
    <cfRule type="cellIs" dxfId="977" priority="936" operator="equal">
      <formula>"B"</formula>
    </cfRule>
    <cfRule type="cellIs" dxfId="976" priority="937" operator="equal">
      <formula>"S"</formula>
    </cfRule>
    <cfRule type="cellIs" dxfId="975" priority="938" operator="equal">
      <formula>"S"</formula>
    </cfRule>
    <cfRule type="cellIs" dxfId="974" priority="939" operator="equal">
      <formula>"B"</formula>
    </cfRule>
    <cfRule type="expression" dxfId="973" priority="940">
      <formula>$AW1151="D"</formula>
    </cfRule>
    <cfRule type="cellIs" dxfId="972" priority="941" operator="equal">
      <formula>"B"</formula>
    </cfRule>
    <cfRule type="cellIs" dxfId="971" priority="942" operator="equal">
      <formula>"S"</formula>
    </cfRule>
    <cfRule type="expression" dxfId="970" priority="943">
      <formula>$AW1151="D"</formula>
    </cfRule>
    <cfRule type="cellIs" dxfId="969" priority="944" operator="equal">
      <formula>"B"</formula>
    </cfRule>
    <cfRule type="cellIs" dxfId="968" priority="945" operator="equal">
      <formula>"S"</formula>
    </cfRule>
  </conditionalFormatting>
  <conditionalFormatting sqref="Z1151:Z1156">
    <cfRule type="expression" dxfId="967" priority="946">
      <formula>$AW1151="D"</formula>
    </cfRule>
  </conditionalFormatting>
  <conditionalFormatting sqref="Y1151:Z1151">
    <cfRule type="expression" dxfId="966" priority="885">
      <formula>$AW1151="D"</formula>
    </cfRule>
  </conditionalFormatting>
  <conditionalFormatting sqref="Y1152:Z1152">
    <cfRule type="expression" dxfId="965" priority="884">
      <formula>$AW1152="D"</formula>
    </cfRule>
  </conditionalFormatting>
  <conditionalFormatting sqref="Y1153:Z1155">
    <cfRule type="expression" dxfId="964" priority="883">
      <formula>$AW1153="D"</formula>
    </cfRule>
  </conditionalFormatting>
  <conditionalFormatting sqref="Y1156:Z1156">
    <cfRule type="expression" dxfId="963" priority="882">
      <formula>$AW1156="D"</formula>
    </cfRule>
  </conditionalFormatting>
  <conditionalFormatting sqref="Y1157:Y1161">
    <cfRule type="cellIs" dxfId="962" priority="821" operator="equal">
      <formula>"S"</formula>
    </cfRule>
    <cfRule type="cellIs" dxfId="961" priority="822" operator="equal">
      <formula>"B"</formula>
    </cfRule>
    <cfRule type="expression" dxfId="960" priority="823">
      <formula>$AW1157="D"</formula>
    </cfRule>
    <cfRule type="cellIs" dxfId="959" priority="824" operator="equal">
      <formula>"B"</formula>
    </cfRule>
    <cfRule type="cellIs" dxfId="958" priority="825" operator="equal">
      <formula>"S"</formula>
    </cfRule>
    <cfRule type="expression" dxfId="957" priority="826">
      <formula>$AW1157="D"</formula>
    </cfRule>
    <cfRule type="cellIs" dxfId="956" priority="827" operator="equal">
      <formula>"B"</formula>
    </cfRule>
    <cfRule type="cellIs" dxfId="955" priority="828" operator="equal">
      <formula>"S"</formula>
    </cfRule>
    <cfRule type="cellIs" dxfId="954" priority="829" operator="equal">
      <formula>"S"</formula>
    </cfRule>
    <cfRule type="cellIs" dxfId="953" priority="830" operator="equal">
      <formula>"B"</formula>
    </cfRule>
    <cfRule type="expression" dxfId="952" priority="831">
      <formula>$AW1157="D"</formula>
    </cfRule>
    <cfRule type="cellIs" dxfId="951" priority="832" operator="equal">
      <formula>"B"</formula>
    </cfRule>
    <cfRule type="cellIs" dxfId="950" priority="833" operator="equal">
      <formula>"S"</formula>
    </cfRule>
    <cfRule type="expression" dxfId="949" priority="834">
      <formula>$AW1157="D"</formula>
    </cfRule>
    <cfRule type="cellIs" dxfId="948" priority="835" operator="equal">
      <formula>"B"</formula>
    </cfRule>
    <cfRule type="cellIs" dxfId="947" priority="836" operator="equal">
      <formula>"S"</formula>
    </cfRule>
    <cfRule type="cellIs" dxfId="946" priority="837" operator="equal">
      <formula>"S"</formula>
    </cfRule>
    <cfRule type="cellIs" dxfId="945" priority="838" operator="equal">
      <formula>"B"</formula>
    </cfRule>
    <cfRule type="expression" dxfId="944" priority="839">
      <formula>$AW1157="D"</formula>
    </cfRule>
    <cfRule type="cellIs" dxfId="943" priority="840" operator="equal">
      <formula>"B"</formula>
    </cfRule>
    <cfRule type="cellIs" dxfId="942" priority="841" operator="equal">
      <formula>"S"</formula>
    </cfRule>
    <cfRule type="expression" dxfId="941" priority="842">
      <formula>$AW1157="D"</formula>
    </cfRule>
    <cfRule type="cellIs" dxfId="940" priority="843" operator="equal">
      <formula>"B"</formula>
    </cfRule>
    <cfRule type="cellIs" dxfId="939" priority="844" operator="equal">
      <formula>"S"</formula>
    </cfRule>
    <cfRule type="cellIs" dxfId="938" priority="845" operator="equal">
      <formula>"S"</formula>
    </cfRule>
    <cfRule type="cellIs" dxfId="937" priority="846" operator="equal">
      <formula>"B"</formula>
    </cfRule>
    <cfRule type="expression" dxfId="936" priority="847">
      <formula>$AW1157="D"</formula>
    </cfRule>
    <cfRule type="cellIs" dxfId="935" priority="848" operator="equal">
      <formula>"B"</formula>
    </cfRule>
    <cfRule type="cellIs" dxfId="934" priority="849" operator="equal">
      <formula>"S"</formula>
    </cfRule>
    <cfRule type="expression" dxfId="933" priority="850">
      <formula>$AW1157="D"</formula>
    </cfRule>
    <cfRule type="cellIs" dxfId="932" priority="851" operator="equal">
      <formula>"B"</formula>
    </cfRule>
    <cfRule type="cellIs" dxfId="931" priority="852" operator="equal">
      <formula>"S"</formula>
    </cfRule>
    <cfRule type="expression" dxfId="930" priority="853">
      <formula>$AW1157="D"</formula>
    </cfRule>
    <cfRule type="cellIs" dxfId="929" priority="854" operator="equal">
      <formula>"B"</formula>
    </cfRule>
    <cfRule type="cellIs" dxfId="928" priority="855" operator="equal">
      <formula>"S"</formula>
    </cfRule>
    <cfRule type="expression" dxfId="927" priority="856">
      <formula>$AW1157="D"</formula>
    </cfRule>
    <cfRule type="cellIs" dxfId="926" priority="857" operator="equal">
      <formula>"B"</formula>
    </cfRule>
    <cfRule type="cellIs" dxfId="925" priority="858" operator="equal">
      <formula>"S"</formula>
    </cfRule>
    <cfRule type="cellIs" dxfId="924" priority="859" operator="equal">
      <formula>"S"</formula>
    </cfRule>
    <cfRule type="cellIs" dxfId="923" priority="860" operator="equal">
      <formula>"B"</formula>
    </cfRule>
    <cfRule type="expression" dxfId="922" priority="861">
      <formula>$AW1157="D"</formula>
    </cfRule>
    <cfRule type="cellIs" dxfId="921" priority="862" operator="equal">
      <formula>"B"</formula>
    </cfRule>
    <cfRule type="cellIs" dxfId="920" priority="863" operator="equal">
      <formula>"S"</formula>
    </cfRule>
    <cfRule type="expression" dxfId="919" priority="864">
      <formula>$AW1157="D"</formula>
    </cfRule>
    <cfRule type="cellIs" dxfId="918" priority="865" operator="equal">
      <formula>"B"</formula>
    </cfRule>
    <cfRule type="cellIs" dxfId="917" priority="866" operator="equal">
      <formula>"S"</formula>
    </cfRule>
    <cfRule type="expression" dxfId="916" priority="867">
      <formula>$AW1157="D"</formula>
    </cfRule>
    <cfRule type="cellIs" dxfId="915" priority="868" operator="equal">
      <formula>"B"</formula>
    </cfRule>
    <cfRule type="cellIs" dxfId="914" priority="869" operator="equal">
      <formula>"S"</formula>
    </cfRule>
    <cfRule type="expression" dxfId="913" priority="870">
      <formula>$AW1157="D"</formula>
    </cfRule>
    <cfRule type="cellIs" dxfId="912" priority="871" operator="equal">
      <formula>"B"</formula>
    </cfRule>
    <cfRule type="cellIs" dxfId="911" priority="872" operator="equal">
      <formula>"S"</formula>
    </cfRule>
    <cfRule type="cellIs" dxfId="910" priority="873" operator="equal">
      <formula>"S"</formula>
    </cfRule>
    <cfRule type="cellIs" dxfId="909" priority="874" operator="equal">
      <formula>"B"</formula>
    </cfRule>
    <cfRule type="expression" dxfId="908" priority="875">
      <formula>$AW1157="D"</formula>
    </cfRule>
    <cfRule type="cellIs" dxfId="907" priority="876" operator="equal">
      <formula>"B"</formula>
    </cfRule>
    <cfRule type="cellIs" dxfId="906" priority="877" operator="equal">
      <formula>"S"</formula>
    </cfRule>
    <cfRule type="expression" dxfId="905" priority="878">
      <formula>$AW1157="D"</formula>
    </cfRule>
    <cfRule type="cellIs" dxfId="904" priority="879" operator="equal">
      <formula>"B"</formula>
    </cfRule>
    <cfRule type="cellIs" dxfId="903" priority="880" operator="equal">
      <formula>"S"</formula>
    </cfRule>
  </conditionalFormatting>
  <conditionalFormatting sqref="Z1157:Z1161">
    <cfRule type="expression" dxfId="902" priority="881">
      <formula>$AW1157="D"</formula>
    </cfRule>
  </conditionalFormatting>
  <conditionalFormatting sqref="Y1157:Z1159">
    <cfRule type="expression" dxfId="901" priority="820">
      <formula>$AW1157="D"</formula>
    </cfRule>
  </conditionalFormatting>
  <conditionalFormatting sqref="Y1160:Z1160">
    <cfRule type="expression" dxfId="900" priority="819">
      <formula>$AW1160="D"</formula>
    </cfRule>
  </conditionalFormatting>
  <conditionalFormatting sqref="Y1161:Z1161">
    <cfRule type="expression" dxfId="899" priority="818">
      <formula>$AW1161="D"</formula>
    </cfRule>
  </conditionalFormatting>
  <conditionalFormatting sqref="Y1163">
    <cfRule type="cellIs" dxfId="898" priority="757" operator="equal">
      <formula>"S"</formula>
    </cfRule>
    <cfRule type="cellIs" dxfId="897" priority="758" operator="equal">
      <formula>"B"</formula>
    </cfRule>
    <cfRule type="expression" dxfId="896" priority="759">
      <formula>$AW1163="D"</formula>
    </cfRule>
    <cfRule type="cellIs" dxfId="895" priority="760" operator="equal">
      <formula>"B"</formula>
    </cfRule>
    <cfRule type="cellIs" dxfId="894" priority="761" operator="equal">
      <formula>"S"</formula>
    </cfRule>
    <cfRule type="expression" dxfId="893" priority="762">
      <formula>$AW1163="D"</formula>
    </cfRule>
    <cfRule type="cellIs" dxfId="892" priority="763" operator="equal">
      <formula>"B"</formula>
    </cfRule>
    <cfRule type="cellIs" dxfId="891" priority="764" operator="equal">
      <formula>"S"</formula>
    </cfRule>
    <cfRule type="cellIs" dxfId="890" priority="765" operator="equal">
      <formula>"S"</formula>
    </cfRule>
    <cfRule type="cellIs" dxfId="889" priority="766" operator="equal">
      <formula>"B"</formula>
    </cfRule>
    <cfRule type="expression" dxfId="888" priority="767">
      <formula>$AW1163="D"</formula>
    </cfRule>
    <cfRule type="cellIs" dxfId="887" priority="768" operator="equal">
      <formula>"B"</formula>
    </cfRule>
    <cfRule type="cellIs" dxfId="886" priority="769" operator="equal">
      <formula>"S"</formula>
    </cfRule>
    <cfRule type="expression" dxfId="885" priority="770">
      <formula>$AW1163="D"</formula>
    </cfRule>
    <cfRule type="cellIs" dxfId="884" priority="771" operator="equal">
      <formula>"B"</formula>
    </cfRule>
    <cfRule type="cellIs" dxfId="883" priority="772" operator="equal">
      <formula>"S"</formula>
    </cfRule>
    <cfRule type="cellIs" dxfId="882" priority="773" operator="equal">
      <formula>"S"</formula>
    </cfRule>
    <cfRule type="cellIs" dxfId="881" priority="774" operator="equal">
      <formula>"B"</formula>
    </cfRule>
    <cfRule type="expression" dxfId="880" priority="775">
      <formula>$AW1163="D"</formula>
    </cfRule>
    <cfRule type="cellIs" dxfId="879" priority="776" operator="equal">
      <formula>"B"</formula>
    </cfRule>
    <cfRule type="cellIs" dxfId="878" priority="777" operator="equal">
      <formula>"S"</formula>
    </cfRule>
    <cfRule type="expression" dxfId="877" priority="778">
      <formula>$AW1163="D"</formula>
    </cfRule>
    <cfRule type="cellIs" dxfId="876" priority="779" operator="equal">
      <formula>"B"</formula>
    </cfRule>
    <cfRule type="cellIs" dxfId="875" priority="780" operator="equal">
      <formula>"S"</formula>
    </cfRule>
    <cfRule type="cellIs" dxfId="874" priority="781" operator="equal">
      <formula>"S"</formula>
    </cfRule>
    <cfRule type="cellIs" dxfId="873" priority="782" operator="equal">
      <formula>"B"</formula>
    </cfRule>
    <cfRule type="expression" dxfId="872" priority="783">
      <formula>$AW1163="D"</formula>
    </cfRule>
    <cfRule type="cellIs" dxfId="871" priority="784" operator="equal">
      <formula>"B"</formula>
    </cfRule>
    <cfRule type="cellIs" dxfId="870" priority="785" operator="equal">
      <formula>"S"</formula>
    </cfRule>
    <cfRule type="expression" dxfId="869" priority="786">
      <formula>$AW1163="D"</formula>
    </cfRule>
    <cfRule type="cellIs" dxfId="868" priority="787" operator="equal">
      <formula>"B"</formula>
    </cfRule>
    <cfRule type="cellIs" dxfId="867" priority="788" operator="equal">
      <formula>"S"</formula>
    </cfRule>
    <cfRule type="expression" dxfId="866" priority="789">
      <formula>$AW1163="D"</formula>
    </cfRule>
    <cfRule type="cellIs" dxfId="865" priority="790" operator="equal">
      <formula>"B"</formula>
    </cfRule>
    <cfRule type="cellIs" dxfId="864" priority="791" operator="equal">
      <formula>"S"</formula>
    </cfRule>
    <cfRule type="expression" dxfId="863" priority="792">
      <formula>$AW1163="D"</formula>
    </cfRule>
    <cfRule type="cellIs" dxfId="862" priority="793" operator="equal">
      <formula>"B"</formula>
    </cfRule>
    <cfRule type="cellIs" dxfId="861" priority="794" operator="equal">
      <formula>"S"</formula>
    </cfRule>
    <cfRule type="cellIs" dxfId="860" priority="795" operator="equal">
      <formula>"S"</formula>
    </cfRule>
    <cfRule type="cellIs" dxfId="859" priority="796" operator="equal">
      <formula>"B"</formula>
    </cfRule>
    <cfRule type="expression" dxfId="858" priority="797">
      <formula>$AW1163="D"</formula>
    </cfRule>
    <cfRule type="cellIs" dxfId="857" priority="798" operator="equal">
      <formula>"B"</formula>
    </cfRule>
    <cfRule type="cellIs" dxfId="856" priority="799" operator="equal">
      <formula>"S"</formula>
    </cfRule>
    <cfRule type="expression" dxfId="855" priority="800">
      <formula>$AW1163="D"</formula>
    </cfRule>
    <cfRule type="cellIs" dxfId="854" priority="801" operator="equal">
      <formula>"B"</formula>
    </cfRule>
    <cfRule type="cellIs" dxfId="853" priority="802" operator="equal">
      <formula>"S"</formula>
    </cfRule>
    <cfRule type="expression" dxfId="852" priority="803">
      <formula>$AW1163="D"</formula>
    </cfRule>
    <cfRule type="cellIs" dxfId="851" priority="804" operator="equal">
      <formula>"B"</formula>
    </cfRule>
    <cfRule type="cellIs" dxfId="850" priority="805" operator="equal">
      <formula>"S"</formula>
    </cfRule>
    <cfRule type="expression" dxfId="849" priority="806">
      <formula>$AW1163="D"</formula>
    </cfRule>
    <cfRule type="cellIs" dxfId="848" priority="807" operator="equal">
      <formula>"B"</formula>
    </cfRule>
    <cfRule type="cellIs" dxfId="847" priority="808" operator="equal">
      <formula>"S"</formula>
    </cfRule>
    <cfRule type="cellIs" dxfId="846" priority="809" operator="equal">
      <formula>"S"</formula>
    </cfRule>
    <cfRule type="cellIs" dxfId="845" priority="810" operator="equal">
      <formula>"B"</formula>
    </cfRule>
    <cfRule type="expression" dxfId="844" priority="811">
      <formula>$AW1163="D"</formula>
    </cfRule>
    <cfRule type="cellIs" dxfId="843" priority="812" operator="equal">
      <formula>"B"</formula>
    </cfRule>
    <cfRule type="cellIs" dxfId="842" priority="813" operator="equal">
      <formula>"S"</formula>
    </cfRule>
    <cfRule type="expression" dxfId="841" priority="814">
      <formula>$AW1163="D"</formula>
    </cfRule>
    <cfRule type="cellIs" dxfId="840" priority="815" operator="equal">
      <formula>"B"</formula>
    </cfRule>
    <cfRule type="cellIs" dxfId="839" priority="816" operator="equal">
      <formula>"S"</formula>
    </cfRule>
  </conditionalFormatting>
  <conditionalFormatting sqref="Z1163">
    <cfRule type="expression" dxfId="838" priority="817">
      <formula>$AW1163="D"</formula>
    </cfRule>
  </conditionalFormatting>
  <conditionalFormatting sqref="Y1163:Z1163">
    <cfRule type="expression" dxfId="837" priority="756">
      <formula>$AW1163="D"</formula>
    </cfRule>
  </conditionalFormatting>
  <conditionalFormatting sqref="Y1162">
    <cfRule type="cellIs" dxfId="836" priority="695" operator="equal">
      <formula>"S"</formula>
    </cfRule>
    <cfRule type="cellIs" dxfId="835" priority="696" operator="equal">
      <formula>"B"</formula>
    </cfRule>
    <cfRule type="expression" dxfId="834" priority="697">
      <formula>$AW1162="D"</formula>
    </cfRule>
    <cfRule type="cellIs" dxfId="833" priority="698" operator="equal">
      <formula>"B"</formula>
    </cfRule>
    <cfRule type="cellIs" dxfId="832" priority="699" operator="equal">
      <formula>"S"</formula>
    </cfRule>
    <cfRule type="expression" dxfId="831" priority="700">
      <formula>$AW1162="D"</formula>
    </cfRule>
    <cfRule type="cellIs" dxfId="830" priority="701" operator="equal">
      <formula>"B"</formula>
    </cfRule>
    <cfRule type="cellIs" dxfId="829" priority="702" operator="equal">
      <formula>"S"</formula>
    </cfRule>
    <cfRule type="cellIs" dxfId="828" priority="703" operator="equal">
      <formula>"S"</formula>
    </cfRule>
    <cfRule type="cellIs" dxfId="827" priority="704" operator="equal">
      <formula>"B"</formula>
    </cfRule>
    <cfRule type="expression" dxfId="826" priority="705">
      <formula>$AW1162="D"</formula>
    </cfRule>
    <cfRule type="cellIs" dxfId="825" priority="706" operator="equal">
      <formula>"B"</formula>
    </cfRule>
    <cfRule type="cellIs" dxfId="824" priority="707" operator="equal">
      <formula>"S"</formula>
    </cfRule>
    <cfRule type="expression" dxfId="823" priority="708">
      <formula>$AW1162="D"</formula>
    </cfRule>
    <cfRule type="cellIs" dxfId="822" priority="709" operator="equal">
      <formula>"B"</formula>
    </cfRule>
    <cfRule type="cellIs" dxfId="821" priority="710" operator="equal">
      <formula>"S"</formula>
    </cfRule>
    <cfRule type="cellIs" dxfId="820" priority="711" operator="equal">
      <formula>"S"</formula>
    </cfRule>
    <cfRule type="cellIs" dxfId="819" priority="712" operator="equal">
      <formula>"B"</formula>
    </cfRule>
    <cfRule type="expression" dxfId="818" priority="713">
      <formula>$AW1162="D"</formula>
    </cfRule>
    <cfRule type="cellIs" dxfId="817" priority="714" operator="equal">
      <formula>"B"</formula>
    </cfRule>
    <cfRule type="cellIs" dxfId="816" priority="715" operator="equal">
      <formula>"S"</formula>
    </cfRule>
    <cfRule type="expression" dxfId="815" priority="716">
      <formula>$AW1162="D"</formula>
    </cfRule>
    <cfRule type="cellIs" dxfId="814" priority="717" operator="equal">
      <formula>"B"</formula>
    </cfRule>
    <cfRule type="cellIs" dxfId="813" priority="718" operator="equal">
      <formula>"S"</formula>
    </cfRule>
    <cfRule type="cellIs" dxfId="812" priority="719" operator="equal">
      <formula>"S"</formula>
    </cfRule>
    <cfRule type="cellIs" dxfId="811" priority="720" operator="equal">
      <formula>"B"</formula>
    </cfRule>
    <cfRule type="expression" dxfId="810" priority="721">
      <formula>$AW1162="D"</formula>
    </cfRule>
    <cfRule type="cellIs" dxfId="809" priority="722" operator="equal">
      <formula>"B"</formula>
    </cfRule>
    <cfRule type="cellIs" dxfId="808" priority="723" operator="equal">
      <formula>"S"</formula>
    </cfRule>
    <cfRule type="expression" dxfId="807" priority="724">
      <formula>$AW1162="D"</formula>
    </cfRule>
    <cfRule type="cellIs" dxfId="806" priority="725" operator="equal">
      <formula>"B"</formula>
    </cfRule>
    <cfRule type="cellIs" dxfId="805" priority="726" operator="equal">
      <formula>"S"</formula>
    </cfRule>
    <cfRule type="expression" dxfId="804" priority="727">
      <formula>$AW1162="D"</formula>
    </cfRule>
    <cfRule type="cellIs" dxfId="803" priority="728" operator="equal">
      <formula>"B"</formula>
    </cfRule>
    <cfRule type="cellIs" dxfId="802" priority="729" operator="equal">
      <formula>"S"</formula>
    </cfRule>
    <cfRule type="expression" dxfId="801" priority="730">
      <formula>$AW1162="D"</formula>
    </cfRule>
    <cfRule type="cellIs" dxfId="800" priority="731" operator="equal">
      <formula>"B"</formula>
    </cfRule>
    <cfRule type="cellIs" dxfId="799" priority="732" operator="equal">
      <formula>"S"</formula>
    </cfRule>
    <cfRule type="cellIs" dxfId="798" priority="733" operator="equal">
      <formula>"S"</formula>
    </cfRule>
    <cfRule type="cellIs" dxfId="797" priority="734" operator="equal">
      <formula>"B"</formula>
    </cfRule>
    <cfRule type="expression" dxfId="796" priority="735">
      <formula>$AW1162="D"</formula>
    </cfRule>
    <cfRule type="cellIs" dxfId="795" priority="736" operator="equal">
      <formula>"B"</formula>
    </cfRule>
    <cfRule type="cellIs" dxfId="794" priority="737" operator="equal">
      <formula>"S"</formula>
    </cfRule>
    <cfRule type="expression" dxfId="793" priority="738">
      <formula>$AW1162="D"</formula>
    </cfRule>
    <cfRule type="cellIs" dxfId="792" priority="739" operator="equal">
      <formula>"B"</formula>
    </cfRule>
    <cfRule type="cellIs" dxfId="791" priority="740" operator="equal">
      <formula>"S"</formula>
    </cfRule>
    <cfRule type="expression" dxfId="790" priority="741">
      <formula>$AW1162="D"</formula>
    </cfRule>
    <cfRule type="cellIs" dxfId="789" priority="742" operator="equal">
      <formula>"B"</formula>
    </cfRule>
    <cfRule type="cellIs" dxfId="788" priority="743" operator="equal">
      <formula>"S"</formula>
    </cfRule>
    <cfRule type="expression" dxfId="787" priority="744">
      <formula>$AW1162="D"</formula>
    </cfRule>
    <cfRule type="cellIs" dxfId="786" priority="745" operator="equal">
      <formula>"B"</formula>
    </cfRule>
    <cfRule type="cellIs" dxfId="785" priority="746" operator="equal">
      <formula>"S"</formula>
    </cfRule>
    <cfRule type="cellIs" dxfId="784" priority="747" operator="equal">
      <formula>"S"</formula>
    </cfRule>
    <cfRule type="cellIs" dxfId="783" priority="748" operator="equal">
      <formula>"B"</formula>
    </cfRule>
    <cfRule type="expression" dxfId="782" priority="749">
      <formula>$AW1162="D"</formula>
    </cfRule>
    <cfRule type="cellIs" dxfId="781" priority="750" operator="equal">
      <formula>"B"</formula>
    </cfRule>
    <cfRule type="cellIs" dxfId="780" priority="751" operator="equal">
      <formula>"S"</formula>
    </cfRule>
    <cfRule type="expression" dxfId="779" priority="752">
      <formula>$AW1162="D"</formula>
    </cfRule>
    <cfRule type="cellIs" dxfId="778" priority="753" operator="equal">
      <formula>"B"</formula>
    </cfRule>
    <cfRule type="cellIs" dxfId="777" priority="754" operator="equal">
      <formula>"S"</formula>
    </cfRule>
  </conditionalFormatting>
  <conditionalFormatting sqref="Z1162">
    <cfRule type="expression" dxfId="776" priority="755">
      <formula>$AW1162="D"</formula>
    </cfRule>
  </conditionalFormatting>
  <conditionalFormatting sqref="Y1162:Z1162">
    <cfRule type="expression" dxfId="775" priority="694">
      <formula>$AW1162="D"</formula>
    </cfRule>
  </conditionalFormatting>
  <conditionalFormatting sqref="Y1164">
    <cfRule type="cellIs" dxfId="774" priority="633" operator="equal">
      <formula>"S"</formula>
    </cfRule>
    <cfRule type="cellIs" dxfId="773" priority="634" operator="equal">
      <formula>"B"</formula>
    </cfRule>
    <cfRule type="expression" dxfId="772" priority="635">
      <formula>$AW1164="D"</formula>
    </cfRule>
    <cfRule type="cellIs" dxfId="771" priority="636" operator="equal">
      <formula>"B"</formula>
    </cfRule>
    <cfRule type="cellIs" dxfId="770" priority="637" operator="equal">
      <formula>"S"</formula>
    </cfRule>
    <cfRule type="expression" dxfId="769" priority="638">
      <formula>$AW1164="D"</formula>
    </cfRule>
    <cfRule type="cellIs" dxfId="768" priority="639" operator="equal">
      <formula>"B"</formula>
    </cfRule>
    <cfRule type="cellIs" dxfId="767" priority="640" operator="equal">
      <formula>"S"</formula>
    </cfRule>
    <cfRule type="cellIs" dxfId="766" priority="641" operator="equal">
      <formula>"S"</formula>
    </cfRule>
    <cfRule type="cellIs" dxfId="765" priority="642" operator="equal">
      <formula>"B"</formula>
    </cfRule>
    <cfRule type="expression" dxfId="764" priority="643">
      <formula>$AW1164="D"</formula>
    </cfRule>
    <cfRule type="cellIs" dxfId="763" priority="644" operator="equal">
      <formula>"B"</formula>
    </cfRule>
    <cfRule type="cellIs" dxfId="762" priority="645" operator="equal">
      <formula>"S"</formula>
    </cfRule>
    <cfRule type="expression" dxfId="761" priority="646">
      <formula>$AW1164="D"</formula>
    </cfRule>
    <cfRule type="cellIs" dxfId="760" priority="647" operator="equal">
      <formula>"B"</formula>
    </cfRule>
    <cfRule type="cellIs" dxfId="759" priority="648" operator="equal">
      <formula>"S"</formula>
    </cfRule>
    <cfRule type="cellIs" dxfId="758" priority="649" operator="equal">
      <formula>"S"</formula>
    </cfRule>
    <cfRule type="cellIs" dxfId="757" priority="650" operator="equal">
      <formula>"B"</formula>
    </cfRule>
    <cfRule type="expression" dxfId="756" priority="651">
      <formula>$AW1164="D"</formula>
    </cfRule>
    <cfRule type="cellIs" dxfId="755" priority="652" operator="equal">
      <formula>"B"</formula>
    </cfRule>
    <cfRule type="cellIs" dxfId="754" priority="653" operator="equal">
      <formula>"S"</formula>
    </cfRule>
    <cfRule type="expression" dxfId="753" priority="654">
      <formula>$AW1164="D"</formula>
    </cfRule>
    <cfRule type="cellIs" dxfId="752" priority="655" operator="equal">
      <formula>"B"</formula>
    </cfRule>
    <cfRule type="cellIs" dxfId="751" priority="656" operator="equal">
      <formula>"S"</formula>
    </cfRule>
    <cfRule type="cellIs" dxfId="750" priority="657" operator="equal">
      <formula>"S"</formula>
    </cfRule>
    <cfRule type="cellIs" dxfId="749" priority="658" operator="equal">
      <formula>"B"</formula>
    </cfRule>
    <cfRule type="expression" dxfId="748" priority="659">
      <formula>$AW1164="D"</formula>
    </cfRule>
    <cfRule type="cellIs" dxfId="747" priority="660" operator="equal">
      <formula>"B"</formula>
    </cfRule>
    <cfRule type="cellIs" dxfId="746" priority="661" operator="equal">
      <formula>"S"</formula>
    </cfRule>
    <cfRule type="expression" dxfId="745" priority="662">
      <formula>$AW1164="D"</formula>
    </cfRule>
    <cfRule type="cellIs" dxfId="744" priority="663" operator="equal">
      <formula>"B"</formula>
    </cfRule>
    <cfRule type="cellIs" dxfId="743" priority="664" operator="equal">
      <formula>"S"</formula>
    </cfRule>
    <cfRule type="expression" dxfId="742" priority="665">
      <formula>$AW1164="D"</formula>
    </cfRule>
    <cfRule type="cellIs" dxfId="741" priority="666" operator="equal">
      <formula>"B"</formula>
    </cfRule>
    <cfRule type="cellIs" dxfId="740" priority="667" operator="equal">
      <formula>"S"</formula>
    </cfRule>
    <cfRule type="expression" dxfId="739" priority="668">
      <formula>$AW1164="D"</formula>
    </cfRule>
    <cfRule type="cellIs" dxfId="738" priority="669" operator="equal">
      <formula>"B"</formula>
    </cfRule>
    <cfRule type="cellIs" dxfId="737" priority="670" operator="equal">
      <formula>"S"</formula>
    </cfRule>
    <cfRule type="cellIs" dxfId="736" priority="671" operator="equal">
      <formula>"S"</formula>
    </cfRule>
    <cfRule type="cellIs" dxfId="735" priority="672" operator="equal">
      <formula>"B"</formula>
    </cfRule>
    <cfRule type="expression" dxfId="734" priority="673">
      <formula>$AW1164="D"</formula>
    </cfRule>
    <cfRule type="cellIs" dxfId="733" priority="674" operator="equal">
      <formula>"B"</formula>
    </cfRule>
    <cfRule type="cellIs" dxfId="732" priority="675" operator="equal">
      <formula>"S"</formula>
    </cfRule>
    <cfRule type="expression" dxfId="731" priority="676">
      <formula>$AW1164="D"</formula>
    </cfRule>
    <cfRule type="cellIs" dxfId="730" priority="677" operator="equal">
      <formula>"B"</formula>
    </cfRule>
    <cfRule type="cellIs" dxfId="729" priority="678" operator="equal">
      <formula>"S"</formula>
    </cfRule>
    <cfRule type="expression" dxfId="728" priority="679">
      <formula>$AW1164="D"</formula>
    </cfRule>
    <cfRule type="cellIs" dxfId="727" priority="680" operator="equal">
      <formula>"B"</formula>
    </cfRule>
    <cfRule type="cellIs" dxfId="726" priority="681" operator="equal">
      <formula>"S"</formula>
    </cfRule>
    <cfRule type="expression" dxfId="725" priority="682">
      <formula>$AW1164="D"</formula>
    </cfRule>
    <cfRule type="cellIs" dxfId="724" priority="683" operator="equal">
      <formula>"B"</formula>
    </cfRule>
    <cfRule type="cellIs" dxfId="723" priority="684" operator="equal">
      <formula>"S"</formula>
    </cfRule>
    <cfRule type="cellIs" dxfId="722" priority="685" operator="equal">
      <formula>"S"</formula>
    </cfRule>
    <cfRule type="cellIs" dxfId="721" priority="686" operator="equal">
      <formula>"B"</formula>
    </cfRule>
    <cfRule type="expression" dxfId="720" priority="687">
      <formula>$AW1164="D"</formula>
    </cfRule>
    <cfRule type="cellIs" dxfId="719" priority="688" operator="equal">
      <formula>"B"</formula>
    </cfRule>
    <cfRule type="cellIs" dxfId="718" priority="689" operator="equal">
      <formula>"S"</formula>
    </cfRule>
    <cfRule type="expression" dxfId="717" priority="690">
      <formula>$AW1164="D"</formula>
    </cfRule>
    <cfRule type="cellIs" dxfId="716" priority="691" operator="equal">
      <formula>"B"</formula>
    </cfRule>
    <cfRule type="cellIs" dxfId="715" priority="692" operator="equal">
      <formula>"S"</formula>
    </cfRule>
  </conditionalFormatting>
  <conditionalFormatting sqref="Z1164">
    <cfRule type="expression" dxfId="714" priority="693">
      <formula>$AW1164="D"</formula>
    </cfRule>
  </conditionalFormatting>
  <conditionalFormatting sqref="Y1164:Z1164">
    <cfRule type="expression" dxfId="713" priority="632">
      <formula>$AW1164="D"</formula>
    </cfRule>
  </conditionalFormatting>
  <conditionalFormatting sqref="Y1165">
    <cfRule type="cellIs" dxfId="712" priority="571" operator="equal">
      <formula>"S"</formula>
    </cfRule>
    <cfRule type="cellIs" dxfId="711" priority="572" operator="equal">
      <formula>"B"</formula>
    </cfRule>
    <cfRule type="expression" dxfId="710" priority="573">
      <formula>$AW1165="D"</formula>
    </cfRule>
    <cfRule type="cellIs" dxfId="709" priority="574" operator="equal">
      <formula>"B"</formula>
    </cfRule>
    <cfRule type="cellIs" dxfId="708" priority="575" operator="equal">
      <formula>"S"</formula>
    </cfRule>
    <cfRule type="expression" dxfId="707" priority="576">
      <formula>$AW1165="D"</formula>
    </cfRule>
    <cfRule type="cellIs" dxfId="706" priority="577" operator="equal">
      <formula>"B"</formula>
    </cfRule>
    <cfRule type="cellIs" dxfId="705" priority="578" operator="equal">
      <formula>"S"</formula>
    </cfRule>
    <cfRule type="cellIs" dxfId="704" priority="579" operator="equal">
      <formula>"S"</formula>
    </cfRule>
    <cfRule type="cellIs" dxfId="703" priority="580" operator="equal">
      <formula>"B"</formula>
    </cfRule>
    <cfRule type="expression" dxfId="702" priority="581">
      <formula>$AW1165="D"</formula>
    </cfRule>
    <cfRule type="cellIs" dxfId="701" priority="582" operator="equal">
      <formula>"B"</formula>
    </cfRule>
    <cfRule type="cellIs" dxfId="700" priority="583" operator="equal">
      <formula>"S"</formula>
    </cfRule>
    <cfRule type="expression" dxfId="699" priority="584">
      <formula>$AW1165="D"</formula>
    </cfRule>
    <cfRule type="cellIs" dxfId="698" priority="585" operator="equal">
      <formula>"B"</formula>
    </cfRule>
    <cfRule type="cellIs" dxfId="697" priority="586" operator="equal">
      <formula>"S"</formula>
    </cfRule>
    <cfRule type="cellIs" dxfId="696" priority="587" operator="equal">
      <formula>"S"</formula>
    </cfRule>
    <cfRule type="cellIs" dxfId="695" priority="588" operator="equal">
      <formula>"B"</formula>
    </cfRule>
    <cfRule type="expression" dxfId="694" priority="589">
      <formula>$AW1165="D"</formula>
    </cfRule>
    <cfRule type="cellIs" dxfId="693" priority="590" operator="equal">
      <formula>"B"</formula>
    </cfRule>
    <cfRule type="cellIs" dxfId="692" priority="591" operator="equal">
      <formula>"S"</formula>
    </cfRule>
    <cfRule type="expression" dxfId="691" priority="592">
      <formula>$AW1165="D"</formula>
    </cfRule>
    <cfRule type="cellIs" dxfId="690" priority="593" operator="equal">
      <formula>"B"</formula>
    </cfRule>
    <cfRule type="cellIs" dxfId="689" priority="594" operator="equal">
      <formula>"S"</formula>
    </cfRule>
    <cfRule type="cellIs" dxfId="688" priority="595" operator="equal">
      <formula>"S"</formula>
    </cfRule>
    <cfRule type="cellIs" dxfId="687" priority="596" operator="equal">
      <formula>"B"</formula>
    </cfRule>
    <cfRule type="expression" dxfId="686" priority="597">
      <formula>$AW1165="D"</formula>
    </cfRule>
    <cfRule type="cellIs" dxfId="685" priority="598" operator="equal">
      <formula>"B"</formula>
    </cfRule>
    <cfRule type="cellIs" dxfId="684" priority="599" operator="equal">
      <formula>"S"</formula>
    </cfRule>
    <cfRule type="expression" dxfId="683" priority="600">
      <formula>$AW1165="D"</formula>
    </cfRule>
    <cfRule type="cellIs" dxfId="682" priority="601" operator="equal">
      <formula>"B"</formula>
    </cfRule>
    <cfRule type="cellIs" dxfId="681" priority="602" operator="equal">
      <formula>"S"</formula>
    </cfRule>
    <cfRule type="expression" dxfId="680" priority="603">
      <formula>$AW1165="D"</formula>
    </cfRule>
    <cfRule type="cellIs" dxfId="679" priority="604" operator="equal">
      <formula>"B"</formula>
    </cfRule>
    <cfRule type="cellIs" dxfId="678" priority="605" operator="equal">
      <formula>"S"</formula>
    </cfRule>
    <cfRule type="expression" dxfId="677" priority="606">
      <formula>$AW1165="D"</formula>
    </cfRule>
    <cfRule type="cellIs" dxfId="676" priority="607" operator="equal">
      <formula>"B"</formula>
    </cfRule>
    <cfRule type="cellIs" dxfId="675" priority="608" operator="equal">
      <formula>"S"</formula>
    </cfRule>
    <cfRule type="cellIs" dxfId="674" priority="609" operator="equal">
      <formula>"S"</formula>
    </cfRule>
    <cfRule type="cellIs" dxfId="673" priority="610" operator="equal">
      <formula>"B"</formula>
    </cfRule>
    <cfRule type="expression" dxfId="672" priority="611">
      <formula>$AW1165="D"</formula>
    </cfRule>
    <cfRule type="cellIs" dxfId="671" priority="612" operator="equal">
      <formula>"B"</formula>
    </cfRule>
    <cfRule type="cellIs" dxfId="670" priority="613" operator="equal">
      <formula>"S"</formula>
    </cfRule>
    <cfRule type="expression" dxfId="669" priority="614">
      <formula>$AW1165="D"</formula>
    </cfRule>
    <cfRule type="cellIs" dxfId="668" priority="615" operator="equal">
      <formula>"B"</formula>
    </cfRule>
    <cfRule type="cellIs" dxfId="667" priority="616" operator="equal">
      <formula>"S"</formula>
    </cfRule>
    <cfRule type="expression" dxfId="666" priority="617">
      <formula>$AW1165="D"</formula>
    </cfRule>
    <cfRule type="cellIs" dxfId="665" priority="618" operator="equal">
      <formula>"B"</formula>
    </cfRule>
    <cfRule type="cellIs" dxfId="664" priority="619" operator="equal">
      <formula>"S"</formula>
    </cfRule>
    <cfRule type="expression" dxfId="663" priority="620">
      <formula>$AW1165="D"</formula>
    </cfRule>
    <cfRule type="cellIs" dxfId="662" priority="621" operator="equal">
      <formula>"B"</formula>
    </cfRule>
    <cfRule type="cellIs" dxfId="661" priority="622" operator="equal">
      <formula>"S"</formula>
    </cfRule>
    <cfRule type="cellIs" dxfId="660" priority="623" operator="equal">
      <formula>"S"</formula>
    </cfRule>
    <cfRule type="cellIs" dxfId="659" priority="624" operator="equal">
      <formula>"B"</formula>
    </cfRule>
    <cfRule type="expression" dxfId="658" priority="625">
      <formula>$AW1165="D"</formula>
    </cfRule>
    <cfRule type="cellIs" dxfId="657" priority="626" operator="equal">
      <formula>"B"</formula>
    </cfRule>
    <cfRule type="cellIs" dxfId="656" priority="627" operator="equal">
      <formula>"S"</formula>
    </cfRule>
    <cfRule type="expression" dxfId="655" priority="628">
      <formula>$AW1165="D"</formula>
    </cfRule>
    <cfRule type="cellIs" dxfId="654" priority="629" operator="equal">
      <formula>"B"</formula>
    </cfRule>
    <cfRule type="cellIs" dxfId="653" priority="630" operator="equal">
      <formula>"S"</formula>
    </cfRule>
  </conditionalFormatting>
  <conditionalFormatting sqref="Z1165">
    <cfRule type="expression" dxfId="652" priority="631">
      <formula>$AW1165="D"</formula>
    </cfRule>
  </conditionalFormatting>
  <conditionalFormatting sqref="Y1165:Z1165">
    <cfRule type="expression" dxfId="651" priority="570">
      <formula>$AW1165="D"</formula>
    </cfRule>
  </conditionalFormatting>
  <conditionalFormatting sqref="Y1166">
    <cfRule type="cellIs" dxfId="650" priority="509" operator="equal">
      <formula>"S"</formula>
    </cfRule>
    <cfRule type="cellIs" dxfId="649" priority="510" operator="equal">
      <formula>"B"</formula>
    </cfRule>
    <cfRule type="expression" dxfId="648" priority="511">
      <formula>$AW1166="D"</formula>
    </cfRule>
    <cfRule type="cellIs" dxfId="647" priority="512" operator="equal">
      <formula>"B"</formula>
    </cfRule>
    <cfRule type="cellIs" dxfId="646" priority="513" operator="equal">
      <formula>"S"</formula>
    </cfRule>
    <cfRule type="expression" dxfId="645" priority="514">
      <formula>$AW1166="D"</formula>
    </cfRule>
    <cfRule type="cellIs" dxfId="644" priority="515" operator="equal">
      <formula>"B"</formula>
    </cfRule>
    <cfRule type="cellIs" dxfId="643" priority="516" operator="equal">
      <formula>"S"</formula>
    </cfRule>
    <cfRule type="cellIs" dxfId="642" priority="517" operator="equal">
      <formula>"S"</formula>
    </cfRule>
    <cfRule type="cellIs" dxfId="641" priority="518" operator="equal">
      <formula>"B"</formula>
    </cfRule>
    <cfRule type="expression" dxfId="640" priority="519">
      <formula>$AW1166="D"</formula>
    </cfRule>
    <cfRule type="cellIs" dxfId="639" priority="520" operator="equal">
      <formula>"B"</formula>
    </cfRule>
    <cfRule type="cellIs" dxfId="638" priority="521" operator="equal">
      <formula>"S"</formula>
    </cfRule>
    <cfRule type="expression" dxfId="637" priority="522">
      <formula>$AW1166="D"</formula>
    </cfRule>
    <cfRule type="cellIs" dxfId="636" priority="523" operator="equal">
      <formula>"B"</formula>
    </cfRule>
    <cfRule type="cellIs" dxfId="635" priority="524" operator="equal">
      <formula>"S"</formula>
    </cfRule>
    <cfRule type="cellIs" dxfId="634" priority="525" operator="equal">
      <formula>"S"</formula>
    </cfRule>
    <cfRule type="cellIs" dxfId="633" priority="526" operator="equal">
      <formula>"B"</formula>
    </cfRule>
    <cfRule type="expression" dxfId="632" priority="527">
      <formula>$AW1166="D"</formula>
    </cfRule>
    <cfRule type="cellIs" dxfId="631" priority="528" operator="equal">
      <formula>"B"</formula>
    </cfRule>
    <cfRule type="cellIs" dxfId="630" priority="529" operator="equal">
      <formula>"S"</formula>
    </cfRule>
    <cfRule type="expression" dxfId="629" priority="530">
      <formula>$AW1166="D"</formula>
    </cfRule>
    <cfRule type="cellIs" dxfId="628" priority="531" operator="equal">
      <formula>"B"</formula>
    </cfRule>
    <cfRule type="cellIs" dxfId="627" priority="532" operator="equal">
      <formula>"S"</formula>
    </cfRule>
    <cfRule type="cellIs" dxfId="626" priority="533" operator="equal">
      <formula>"S"</formula>
    </cfRule>
    <cfRule type="cellIs" dxfId="625" priority="534" operator="equal">
      <formula>"B"</formula>
    </cfRule>
    <cfRule type="expression" dxfId="624" priority="535">
      <formula>$AW1166="D"</formula>
    </cfRule>
    <cfRule type="cellIs" dxfId="623" priority="536" operator="equal">
      <formula>"B"</formula>
    </cfRule>
    <cfRule type="cellIs" dxfId="622" priority="537" operator="equal">
      <formula>"S"</formula>
    </cfRule>
    <cfRule type="expression" dxfId="621" priority="538">
      <formula>$AW1166="D"</formula>
    </cfRule>
    <cfRule type="cellIs" dxfId="620" priority="539" operator="equal">
      <formula>"B"</formula>
    </cfRule>
    <cfRule type="cellIs" dxfId="619" priority="540" operator="equal">
      <formula>"S"</formula>
    </cfRule>
    <cfRule type="expression" dxfId="618" priority="541">
      <formula>$AW1166="D"</formula>
    </cfRule>
    <cfRule type="cellIs" dxfId="617" priority="542" operator="equal">
      <formula>"B"</formula>
    </cfRule>
    <cfRule type="cellIs" dxfId="616" priority="543" operator="equal">
      <formula>"S"</formula>
    </cfRule>
    <cfRule type="expression" dxfId="615" priority="544">
      <formula>$AW1166="D"</formula>
    </cfRule>
    <cfRule type="cellIs" dxfId="614" priority="545" operator="equal">
      <formula>"B"</formula>
    </cfRule>
    <cfRule type="cellIs" dxfId="613" priority="546" operator="equal">
      <formula>"S"</formula>
    </cfRule>
    <cfRule type="cellIs" dxfId="612" priority="547" operator="equal">
      <formula>"S"</formula>
    </cfRule>
    <cfRule type="cellIs" dxfId="611" priority="548" operator="equal">
      <formula>"B"</formula>
    </cfRule>
    <cfRule type="expression" dxfId="610" priority="549">
      <formula>$AW1166="D"</formula>
    </cfRule>
    <cfRule type="cellIs" dxfId="609" priority="550" operator="equal">
      <formula>"B"</formula>
    </cfRule>
    <cfRule type="cellIs" dxfId="608" priority="551" operator="equal">
      <formula>"S"</formula>
    </cfRule>
    <cfRule type="expression" dxfId="607" priority="552">
      <formula>$AW1166="D"</formula>
    </cfRule>
    <cfRule type="cellIs" dxfId="606" priority="553" operator="equal">
      <formula>"B"</formula>
    </cfRule>
    <cfRule type="cellIs" dxfId="605" priority="554" operator="equal">
      <formula>"S"</formula>
    </cfRule>
    <cfRule type="expression" dxfId="604" priority="555">
      <formula>$AW1166="D"</formula>
    </cfRule>
    <cfRule type="cellIs" dxfId="603" priority="556" operator="equal">
      <formula>"B"</formula>
    </cfRule>
    <cfRule type="cellIs" dxfId="602" priority="557" operator="equal">
      <formula>"S"</formula>
    </cfRule>
    <cfRule type="expression" dxfId="601" priority="558">
      <formula>$AW1166="D"</formula>
    </cfRule>
    <cfRule type="cellIs" dxfId="600" priority="559" operator="equal">
      <formula>"B"</formula>
    </cfRule>
    <cfRule type="cellIs" dxfId="599" priority="560" operator="equal">
      <formula>"S"</formula>
    </cfRule>
    <cfRule type="cellIs" dxfId="598" priority="561" operator="equal">
      <formula>"S"</formula>
    </cfRule>
    <cfRule type="cellIs" dxfId="597" priority="562" operator="equal">
      <formula>"B"</formula>
    </cfRule>
    <cfRule type="expression" dxfId="596" priority="563">
      <formula>$AW1166="D"</formula>
    </cfRule>
    <cfRule type="cellIs" dxfId="595" priority="564" operator="equal">
      <formula>"B"</formula>
    </cfRule>
    <cfRule type="cellIs" dxfId="594" priority="565" operator="equal">
      <formula>"S"</formula>
    </cfRule>
    <cfRule type="expression" dxfId="593" priority="566">
      <formula>$AW1166="D"</formula>
    </cfRule>
    <cfRule type="cellIs" dxfId="592" priority="567" operator="equal">
      <formula>"B"</formula>
    </cfRule>
    <cfRule type="cellIs" dxfId="591" priority="568" operator="equal">
      <formula>"S"</formula>
    </cfRule>
  </conditionalFormatting>
  <conditionalFormatting sqref="Z1166">
    <cfRule type="expression" dxfId="590" priority="569">
      <formula>$AW1166="D"</formula>
    </cfRule>
  </conditionalFormatting>
  <conditionalFormatting sqref="Y1166:Z1166">
    <cfRule type="expression" dxfId="589" priority="508">
      <formula>$AW1166="D"</formula>
    </cfRule>
  </conditionalFormatting>
  <conditionalFormatting sqref="Y1169">
    <cfRule type="cellIs" dxfId="588" priority="447" operator="equal">
      <formula>"S"</formula>
    </cfRule>
    <cfRule type="cellIs" dxfId="587" priority="448" operator="equal">
      <formula>"B"</formula>
    </cfRule>
    <cfRule type="expression" dxfId="586" priority="449">
      <formula>$AW1169="D"</formula>
    </cfRule>
    <cfRule type="cellIs" dxfId="585" priority="450" operator="equal">
      <formula>"B"</formula>
    </cfRule>
    <cfRule type="cellIs" dxfId="584" priority="451" operator="equal">
      <formula>"S"</formula>
    </cfRule>
    <cfRule type="expression" dxfId="583" priority="452">
      <formula>$AW1169="D"</formula>
    </cfRule>
    <cfRule type="cellIs" dxfId="582" priority="453" operator="equal">
      <formula>"B"</formula>
    </cfRule>
    <cfRule type="cellIs" dxfId="581" priority="454" operator="equal">
      <formula>"S"</formula>
    </cfRule>
    <cfRule type="cellIs" dxfId="580" priority="455" operator="equal">
      <formula>"S"</formula>
    </cfRule>
    <cfRule type="cellIs" dxfId="579" priority="456" operator="equal">
      <formula>"B"</formula>
    </cfRule>
    <cfRule type="expression" dxfId="578" priority="457">
      <formula>$AW1169="D"</formula>
    </cfRule>
    <cfRule type="cellIs" dxfId="577" priority="458" operator="equal">
      <formula>"B"</formula>
    </cfRule>
    <cfRule type="cellIs" dxfId="576" priority="459" operator="equal">
      <formula>"S"</formula>
    </cfRule>
    <cfRule type="expression" dxfId="575" priority="460">
      <formula>$AW1169="D"</formula>
    </cfRule>
    <cfRule type="cellIs" dxfId="574" priority="461" operator="equal">
      <formula>"B"</formula>
    </cfRule>
    <cfRule type="cellIs" dxfId="573" priority="462" operator="equal">
      <formula>"S"</formula>
    </cfRule>
    <cfRule type="cellIs" dxfId="572" priority="463" operator="equal">
      <formula>"S"</formula>
    </cfRule>
    <cfRule type="cellIs" dxfId="571" priority="464" operator="equal">
      <formula>"B"</formula>
    </cfRule>
    <cfRule type="expression" dxfId="570" priority="465">
      <formula>$AW1169="D"</formula>
    </cfRule>
    <cfRule type="cellIs" dxfId="569" priority="466" operator="equal">
      <formula>"B"</formula>
    </cfRule>
    <cfRule type="cellIs" dxfId="568" priority="467" operator="equal">
      <formula>"S"</formula>
    </cfRule>
    <cfRule type="expression" dxfId="567" priority="468">
      <formula>$AW1169="D"</formula>
    </cfRule>
    <cfRule type="cellIs" dxfId="566" priority="469" operator="equal">
      <formula>"B"</formula>
    </cfRule>
    <cfRule type="cellIs" dxfId="565" priority="470" operator="equal">
      <formula>"S"</formula>
    </cfRule>
    <cfRule type="cellIs" dxfId="564" priority="471" operator="equal">
      <formula>"S"</formula>
    </cfRule>
    <cfRule type="cellIs" dxfId="563" priority="472" operator="equal">
      <formula>"B"</formula>
    </cfRule>
    <cfRule type="expression" dxfId="562" priority="473">
      <formula>$AW1169="D"</formula>
    </cfRule>
    <cfRule type="cellIs" dxfId="561" priority="474" operator="equal">
      <formula>"B"</formula>
    </cfRule>
    <cfRule type="cellIs" dxfId="560" priority="475" operator="equal">
      <formula>"S"</formula>
    </cfRule>
    <cfRule type="expression" dxfId="559" priority="476">
      <formula>$AW1169="D"</formula>
    </cfRule>
    <cfRule type="cellIs" dxfId="558" priority="477" operator="equal">
      <formula>"B"</formula>
    </cfRule>
    <cfRule type="cellIs" dxfId="557" priority="478" operator="equal">
      <formula>"S"</formula>
    </cfRule>
    <cfRule type="expression" dxfId="556" priority="479">
      <formula>$AW1169="D"</formula>
    </cfRule>
    <cfRule type="cellIs" dxfId="555" priority="480" operator="equal">
      <formula>"B"</formula>
    </cfRule>
    <cfRule type="cellIs" dxfId="554" priority="481" operator="equal">
      <formula>"S"</formula>
    </cfRule>
    <cfRule type="expression" dxfId="553" priority="482">
      <formula>$AW1169="D"</formula>
    </cfRule>
    <cfRule type="cellIs" dxfId="552" priority="483" operator="equal">
      <formula>"B"</formula>
    </cfRule>
    <cfRule type="cellIs" dxfId="551" priority="484" operator="equal">
      <formula>"S"</formula>
    </cfRule>
    <cfRule type="cellIs" dxfId="550" priority="485" operator="equal">
      <formula>"S"</formula>
    </cfRule>
    <cfRule type="cellIs" dxfId="549" priority="486" operator="equal">
      <formula>"B"</formula>
    </cfRule>
    <cfRule type="expression" dxfId="548" priority="487">
      <formula>$AW1169="D"</formula>
    </cfRule>
    <cfRule type="cellIs" dxfId="547" priority="488" operator="equal">
      <formula>"B"</formula>
    </cfRule>
    <cfRule type="cellIs" dxfId="546" priority="489" operator="equal">
      <formula>"S"</formula>
    </cfRule>
    <cfRule type="expression" dxfId="545" priority="490">
      <formula>$AW1169="D"</formula>
    </cfRule>
    <cfRule type="cellIs" dxfId="544" priority="491" operator="equal">
      <formula>"B"</formula>
    </cfRule>
    <cfRule type="cellIs" dxfId="543" priority="492" operator="equal">
      <formula>"S"</formula>
    </cfRule>
    <cfRule type="expression" dxfId="542" priority="493">
      <formula>$AW1169="D"</formula>
    </cfRule>
    <cfRule type="cellIs" dxfId="541" priority="494" operator="equal">
      <formula>"B"</formula>
    </cfRule>
    <cfRule type="cellIs" dxfId="540" priority="495" operator="equal">
      <formula>"S"</formula>
    </cfRule>
    <cfRule type="expression" dxfId="539" priority="496">
      <formula>$AW1169="D"</formula>
    </cfRule>
    <cfRule type="cellIs" dxfId="538" priority="497" operator="equal">
      <formula>"B"</formula>
    </cfRule>
    <cfRule type="cellIs" dxfId="537" priority="498" operator="equal">
      <formula>"S"</formula>
    </cfRule>
    <cfRule type="cellIs" dxfId="536" priority="499" operator="equal">
      <formula>"S"</formula>
    </cfRule>
    <cfRule type="cellIs" dxfId="535" priority="500" operator="equal">
      <formula>"B"</formula>
    </cfRule>
    <cfRule type="expression" dxfId="534" priority="501">
      <formula>$AW1169="D"</formula>
    </cfRule>
    <cfRule type="cellIs" dxfId="533" priority="502" operator="equal">
      <formula>"B"</formula>
    </cfRule>
    <cfRule type="cellIs" dxfId="532" priority="503" operator="equal">
      <formula>"S"</formula>
    </cfRule>
    <cfRule type="expression" dxfId="531" priority="504">
      <formula>$AW1169="D"</formula>
    </cfRule>
    <cfRule type="cellIs" dxfId="530" priority="505" operator="equal">
      <formula>"B"</formula>
    </cfRule>
    <cfRule type="cellIs" dxfId="529" priority="506" operator="equal">
      <formula>"S"</formula>
    </cfRule>
  </conditionalFormatting>
  <conditionalFormatting sqref="Z1169">
    <cfRule type="expression" dxfId="528" priority="507">
      <formula>$AW1169="D"</formula>
    </cfRule>
  </conditionalFormatting>
  <conditionalFormatting sqref="Y1169:Z1169">
    <cfRule type="expression" dxfId="527" priority="446">
      <formula>$AW1169="D"</formula>
    </cfRule>
  </conditionalFormatting>
  <conditionalFormatting sqref="Y1170:Y1179">
    <cfRule type="cellIs" dxfId="526" priority="385" operator="equal">
      <formula>"S"</formula>
    </cfRule>
    <cfRule type="cellIs" dxfId="525" priority="386" operator="equal">
      <formula>"B"</formula>
    </cfRule>
    <cfRule type="expression" dxfId="524" priority="387">
      <formula>$AW1170="D"</formula>
    </cfRule>
    <cfRule type="cellIs" dxfId="523" priority="388" operator="equal">
      <formula>"B"</formula>
    </cfRule>
    <cfRule type="cellIs" dxfId="522" priority="389" operator="equal">
      <formula>"S"</formula>
    </cfRule>
    <cfRule type="expression" dxfId="521" priority="390">
      <formula>$AW1170="D"</formula>
    </cfRule>
    <cfRule type="cellIs" dxfId="520" priority="391" operator="equal">
      <formula>"B"</formula>
    </cfRule>
    <cfRule type="cellIs" dxfId="519" priority="392" operator="equal">
      <formula>"S"</formula>
    </cfRule>
    <cfRule type="cellIs" dxfId="518" priority="393" operator="equal">
      <formula>"S"</formula>
    </cfRule>
    <cfRule type="cellIs" dxfId="517" priority="394" operator="equal">
      <formula>"B"</formula>
    </cfRule>
    <cfRule type="expression" dxfId="516" priority="395">
      <formula>$AW1170="D"</formula>
    </cfRule>
    <cfRule type="cellIs" dxfId="515" priority="396" operator="equal">
      <formula>"B"</formula>
    </cfRule>
    <cfRule type="cellIs" dxfId="514" priority="397" operator="equal">
      <formula>"S"</formula>
    </cfRule>
    <cfRule type="expression" dxfId="513" priority="398">
      <formula>$AW1170="D"</formula>
    </cfRule>
    <cfRule type="cellIs" dxfId="512" priority="399" operator="equal">
      <formula>"B"</formula>
    </cfRule>
    <cfRule type="cellIs" dxfId="511" priority="400" operator="equal">
      <formula>"S"</formula>
    </cfRule>
    <cfRule type="cellIs" dxfId="510" priority="401" operator="equal">
      <formula>"S"</formula>
    </cfRule>
    <cfRule type="cellIs" dxfId="509" priority="402" operator="equal">
      <formula>"B"</formula>
    </cfRule>
    <cfRule type="expression" dxfId="508" priority="403">
      <formula>$AW1170="D"</formula>
    </cfRule>
    <cfRule type="cellIs" dxfId="507" priority="404" operator="equal">
      <formula>"B"</formula>
    </cfRule>
    <cfRule type="cellIs" dxfId="506" priority="405" operator="equal">
      <formula>"S"</formula>
    </cfRule>
    <cfRule type="expression" dxfId="505" priority="406">
      <formula>$AW1170="D"</formula>
    </cfRule>
    <cfRule type="cellIs" dxfId="504" priority="407" operator="equal">
      <formula>"B"</formula>
    </cfRule>
    <cfRule type="cellIs" dxfId="503" priority="408" operator="equal">
      <formula>"S"</formula>
    </cfRule>
    <cfRule type="cellIs" dxfId="502" priority="409" operator="equal">
      <formula>"S"</formula>
    </cfRule>
    <cfRule type="cellIs" dxfId="501" priority="410" operator="equal">
      <formula>"B"</formula>
    </cfRule>
    <cfRule type="expression" dxfId="500" priority="411">
      <formula>$AW1170="D"</formula>
    </cfRule>
    <cfRule type="cellIs" dxfId="499" priority="412" operator="equal">
      <formula>"B"</formula>
    </cfRule>
    <cfRule type="cellIs" dxfId="498" priority="413" operator="equal">
      <formula>"S"</formula>
    </cfRule>
    <cfRule type="expression" dxfId="497" priority="414">
      <formula>$AW1170="D"</formula>
    </cfRule>
    <cfRule type="cellIs" dxfId="496" priority="415" operator="equal">
      <formula>"B"</formula>
    </cfRule>
    <cfRule type="cellIs" dxfId="495" priority="416" operator="equal">
      <formula>"S"</formula>
    </cfRule>
    <cfRule type="expression" dxfId="494" priority="417">
      <formula>$AW1170="D"</formula>
    </cfRule>
    <cfRule type="cellIs" dxfId="493" priority="418" operator="equal">
      <formula>"B"</formula>
    </cfRule>
    <cfRule type="cellIs" dxfId="492" priority="419" operator="equal">
      <formula>"S"</formula>
    </cfRule>
    <cfRule type="expression" dxfId="491" priority="420">
      <formula>$AW1170="D"</formula>
    </cfRule>
    <cfRule type="cellIs" dxfId="490" priority="421" operator="equal">
      <formula>"B"</formula>
    </cfRule>
    <cfRule type="cellIs" dxfId="489" priority="422" operator="equal">
      <formula>"S"</formula>
    </cfRule>
    <cfRule type="cellIs" dxfId="488" priority="423" operator="equal">
      <formula>"S"</formula>
    </cfRule>
    <cfRule type="cellIs" dxfId="487" priority="424" operator="equal">
      <formula>"B"</formula>
    </cfRule>
    <cfRule type="expression" dxfId="486" priority="425">
      <formula>$AW1170="D"</formula>
    </cfRule>
    <cfRule type="cellIs" dxfId="485" priority="426" operator="equal">
      <formula>"B"</formula>
    </cfRule>
    <cfRule type="cellIs" dxfId="484" priority="427" operator="equal">
      <formula>"S"</formula>
    </cfRule>
    <cfRule type="expression" dxfId="483" priority="428">
      <formula>$AW1170="D"</formula>
    </cfRule>
    <cfRule type="cellIs" dxfId="482" priority="429" operator="equal">
      <formula>"B"</formula>
    </cfRule>
    <cfRule type="cellIs" dxfId="481" priority="430" operator="equal">
      <formula>"S"</formula>
    </cfRule>
    <cfRule type="expression" dxfId="480" priority="431">
      <formula>$AW1170="D"</formula>
    </cfRule>
    <cfRule type="cellIs" dxfId="479" priority="432" operator="equal">
      <formula>"B"</formula>
    </cfRule>
    <cfRule type="cellIs" dxfId="478" priority="433" operator="equal">
      <formula>"S"</formula>
    </cfRule>
    <cfRule type="expression" dxfId="477" priority="434">
      <formula>$AW1170="D"</formula>
    </cfRule>
    <cfRule type="cellIs" dxfId="476" priority="435" operator="equal">
      <formula>"B"</formula>
    </cfRule>
    <cfRule type="cellIs" dxfId="475" priority="436" operator="equal">
      <formula>"S"</formula>
    </cfRule>
    <cfRule type="cellIs" dxfId="474" priority="437" operator="equal">
      <formula>"S"</formula>
    </cfRule>
    <cfRule type="cellIs" dxfId="473" priority="438" operator="equal">
      <formula>"B"</formula>
    </cfRule>
    <cfRule type="expression" dxfId="472" priority="439">
      <formula>$AW1170="D"</formula>
    </cfRule>
    <cfRule type="cellIs" dxfId="471" priority="440" operator="equal">
      <formula>"B"</formula>
    </cfRule>
    <cfRule type="cellIs" dxfId="470" priority="441" operator="equal">
      <formula>"S"</formula>
    </cfRule>
    <cfRule type="expression" dxfId="469" priority="442">
      <formula>$AW1170="D"</formula>
    </cfRule>
    <cfRule type="cellIs" dxfId="468" priority="443" operator="equal">
      <formula>"B"</formula>
    </cfRule>
    <cfRule type="cellIs" dxfId="467" priority="444" operator="equal">
      <formula>"S"</formula>
    </cfRule>
  </conditionalFormatting>
  <conditionalFormatting sqref="Z1170:Z1179">
    <cfRule type="expression" dxfId="466" priority="445">
      <formula>$AW1170="D"</formula>
    </cfRule>
  </conditionalFormatting>
  <conditionalFormatting sqref="Y1170:Z1179">
    <cfRule type="expression" dxfId="465" priority="384">
      <formula>$AW1170="D"</formula>
    </cfRule>
  </conditionalFormatting>
  <conditionalFormatting sqref="Y1182">
    <cfRule type="cellIs" dxfId="464" priority="323" operator="equal">
      <formula>"S"</formula>
    </cfRule>
    <cfRule type="cellIs" dxfId="463" priority="324" operator="equal">
      <formula>"B"</formula>
    </cfRule>
    <cfRule type="expression" dxfId="462" priority="325">
      <formula>$AW1182="D"</formula>
    </cfRule>
    <cfRule type="cellIs" dxfId="461" priority="326" operator="equal">
      <formula>"B"</formula>
    </cfRule>
    <cfRule type="cellIs" dxfId="460" priority="327" operator="equal">
      <formula>"S"</formula>
    </cfRule>
    <cfRule type="expression" dxfId="459" priority="328">
      <formula>$AW1182="D"</formula>
    </cfRule>
    <cfRule type="cellIs" dxfId="458" priority="329" operator="equal">
      <formula>"B"</formula>
    </cfRule>
    <cfRule type="cellIs" dxfId="457" priority="330" operator="equal">
      <formula>"S"</formula>
    </cfRule>
    <cfRule type="cellIs" dxfId="456" priority="331" operator="equal">
      <formula>"S"</formula>
    </cfRule>
    <cfRule type="cellIs" dxfId="455" priority="332" operator="equal">
      <formula>"B"</formula>
    </cfRule>
    <cfRule type="expression" dxfId="454" priority="333">
      <formula>$AW1182="D"</formula>
    </cfRule>
    <cfRule type="cellIs" dxfId="453" priority="334" operator="equal">
      <formula>"B"</formula>
    </cfRule>
    <cfRule type="cellIs" dxfId="452" priority="335" operator="equal">
      <formula>"S"</formula>
    </cfRule>
    <cfRule type="expression" dxfId="451" priority="336">
      <formula>$AW1182="D"</formula>
    </cfRule>
    <cfRule type="cellIs" dxfId="450" priority="337" operator="equal">
      <formula>"B"</formula>
    </cfRule>
    <cfRule type="cellIs" dxfId="449" priority="338" operator="equal">
      <formula>"S"</formula>
    </cfRule>
    <cfRule type="cellIs" dxfId="448" priority="339" operator="equal">
      <formula>"S"</formula>
    </cfRule>
    <cfRule type="cellIs" dxfId="447" priority="340" operator="equal">
      <formula>"B"</formula>
    </cfRule>
    <cfRule type="expression" dxfId="446" priority="341">
      <formula>$AW1182="D"</formula>
    </cfRule>
    <cfRule type="cellIs" dxfId="445" priority="342" operator="equal">
      <formula>"B"</formula>
    </cfRule>
    <cfRule type="cellIs" dxfId="444" priority="343" operator="equal">
      <formula>"S"</formula>
    </cfRule>
    <cfRule type="expression" dxfId="443" priority="344">
      <formula>$AW1182="D"</formula>
    </cfRule>
    <cfRule type="cellIs" dxfId="442" priority="345" operator="equal">
      <formula>"B"</formula>
    </cfRule>
    <cfRule type="cellIs" dxfId="441" priority="346" operator="equal">
      <formula>"S"</formula>
    </cfRule>
    <cfRule type="cellIs" dxfId="440" priority="347" operator="equal">
      <formula>"S"</formula>
    </cfRule>
    <cfRule type="cellIs" dxfId="439" priority="348" operator="equal">
      <formula>"B"</formula>
    </cfRule>
    <cfRule type="expression" dxfId="438" priority="349">
      <formula>$AW1182="D"</formula>
    </cfRule>
    <cfRule type="cellIs" dxfId="437" priority="350" operator="equal">
      <formula>"B"</formula>
    </cfRule>
    <cfRule type="cellIs" dxfId="436" priority="351" operator="equal">
      <formula>"S"</formula>
    </cfRule>
    <cfRule type="expression" dxfId="435" priority="352">
      <formula>$AW1182="D"</formula>
    </cfRule>
    <cfRule type="cellIs" dxfId="434" priority="353" operator="equal">
      <formula>"B"</formula>
    </cfRule>
    <cfRule type="cellIs" dxfId="433" priority="354" operator="equal">
      <formula>"S"</formula>
    </cfRule>
    <cfRule type="expression" dxfId="432" priority="355">
      <formula>$AW1182="D"</formula>
    </cfRule>
    <cfRule type="cellIs" dxfId="431" priority="356" operator="equal">
      <formula>"B"</formula>
    </cfRule>
    <cfRule type="cellIs" dxfId="430" priority="357" operator="equal">
      <formula>"S"</formula>
    </cfRule>
    <cfRule type="expression" dxfId="429" priority="358">
      <formula>$AW1182="D"</formula>
    </cfRule>
    <cfRule type="cellIs" dxfId="428" priority="359" operator="equal">
      <formula>"B"</formula>
    </cfRule>
    <cfRule type="cellIs" dxfId="427" priority="360" operator="equal">
      <formula>"S"</formula>
    </cfRule>
    <cfRule type="cellIs" dxfId="426" priority="361" operator="equal">
      <formula>"S"</formula>
    </cfRule>
    <cfRule type="cellIs" dxfId="425" priority="362" operator="equal">
      <formula>"B"</formula>
    </cfRule>
    <cfRule type="expression" dxfId="424" priority="363">
      <formula>$AW1182="D"</formula>
    </cfRule>
    <cfRule type="cellIs" dxfId="423" priority="364" operator="equal">
      <formula>"B"</formula>
    </cfRule>
    <cfRule type="cellIs" dxfId="422" priority="365" operator="equal">
      <formula>"S"</formula>
    </cfRule>
    <cfRule type="expression" dxfId="421" priority="366">
      <formula>$AW1182="D"</formula>
    </cfRule>
    <cfRule type="cellIs" dxfId="420" priority="367" operator="equal">
      <formula>"B"</formula>
    </cfRule>
    <cfRule type="cellIs" dxfId="419" priority="368" operator="equal">
      <formula>"S"</formula>
    </cfRule>
    <cfRule type="expression" dxfId="418" priority="369">
      <formula>$AW1182="D"</formula>
    </cfRule>
    <cfRule type="cellIs" dxfId="417" priority="370" operator="equal">
      <formula>"B"</formula>
    </cfRule>
    <cfRule type="cellIs" dxfId="416" priority="371" operator="equal">
      <formula>"S"</formula>
    </cfRule>
    <cfRule type="expression" dxfId="415" priority="372">
      <formula>$AW1182="D"</formula>
    </cfRule>
    <cfRule type="cellIs" dxfId="414" priority="373" operator="equal">
      <formula>"B"</formula>
    </cfRule>
    <cfRule type="cellIs" dxfId="413" priority="374" operator="equal">
      <formula>"S"</formula>
    </cfRule>
    <cfRule type="cellIs" dxfId="412" priority="375" operator="equal">
      <formula>"S"</formula>
    </cfRule>
    <cfRule type="cellIs" dxfId="411" priority="376" operator="equal">
      <formula>"B"</formula>
    </cfRule>
    <cfRule type="expression" dxfId="410" priority="377">
      <formula>$AW1182="D"</formula>
    </cfRule>
    <cfRule type="cellIs" dxfId="409" priority="378" operator="equal">
      <formula>"B"</formula>
    </cfRule>
    <cfRule type="cellIs" dxfId="408" priority="379" operator="equal">
      <formula>"S"</formula>
    </cfRule>
    <cfRule type="expression" dxfId="407" priority="380">
      <formula>$AW1182="D"</formula>
    </cfRule>
    <cfRule type="cellIs" dxfId="406" priority="381" operator="equal">
      <formula>"B"</formula>
    </cfRule>
    <cfRule type="cellIs" dxfId="405" priority="382" operator="equal">
      <formula>"S"</formula>
    </cfRule>
  </conditionalFormatting>
  <conditionalFormatting sqref="Z1182">
    <cfRule type="expression" dxfId="404" priority="383">
      <formula>$AW1182="D"</formula>
    </cfRule>
  </conditionalFormatting>
  <conditionalFormatting sqref="Y1182:Z1182">
    <cfRule type="expression" dxfId="403" priority="322">
      <formula>$AW1182="D"</formula>
    </cfRule>
  </conditionalFormatting>
  <conditionalFormatting sqref="Y1183">
    <cfRule type="cellIs" dxfId="402" priority="261" operator="equal">
      <formula>"S"</formula>
    </cfRule>
    <cfRule type="cellIs" dxfId="401" priority="262" operator="equal">
      <formula>"B"</formula>
    </cfRule>
    <cfRule type="expression" dxfId="400" priority="263">
      <formula>$AW1183="D"</formula>
    </cfRule>
    <cfRule type="cellIs" dxfId="399" priority="264" operator="equal">
      <formula>"B"</formula>
    </cfRule>
    <cfRule type="cellIs" dxfId="398" priority="265" operator="equal">
      <formula>"S"</formula>
    </cfRule>
    <cfRule type="expression" dxfId="397" priority="266">
      <formula>$AW1183="D"</formula>
    </cfRule>
    <cfRule type="cellIs" dxfId="396" priority="267" operator="equal">
      <formula>"B"</formula>
    </cfRule>
    <cfRule type="cellIs" dxfId="395" priority="268" operator="equal">
      <formula>"S"</formula>
    </cfRule>
    <cfRule type="cellIs" dxfId="394" priority="269" operator="equal">
      <formula>"S"</formula>
    </cfRule>
    <cfRule type="cellIs" dxfId="393" priority="270" operator="equal">
      <formula>"B"</formula>
    </cfRule>
    <cfRule type="expression" dxfId="392" priority="271">
      <formula>$AW1183="D"</formula>
    </cfRule>
    <cfRule type="cellIs" dxfId="391" priority="272" operator="equal">
      <formula>"B"</formula>
    </cfRule>
    <cfRule type="cellIs" dxfId="390" priority="273" operator="equal">
      <formula>"S"</formula>
    </cfRule>
    <cfRule type="expression" dxfId="389" priority="274">
      <formula>$AW1183="D"</formula>
    </cfRule>
    <cfRule type="cellIs" dxfId="388" priority="275" operator="equal">
      <formula>"B"</formula>
    </cfRule>
    <cfRule type="cellIs" dxfId="387" priority="276" operator="equal">
      <formula>"S"</formula>
    </cfRule>
    <cfRule type="cellIs" dxfId="386" priority="277" operator="equal">
      <formula>"S"</formula>
    </cfRule>
    <cfRule type="cellIs" dxfId="385" priority="278" operator="equal">
      <formula>"B"</formula>
    </cfRule>
    <cfRule type="expression" dxfId="384" priority="279">
      <formula>$AW1183="D"</formula>
    </cfRule>
    <cfRule type="cellIs" dxfId="383" priority="280" operator="equal">
      <formula>"B"</formula>
    </cfRule>
    <cfRule type="cellIs" dxfId="382" priority="281" operator="equal">
      <formula>"S"</formula>
    </cfRule>
    <cfRule type="expression" dxfId="381" priority="282">
      <formula>$AW1183="D"</formula>
    </cfRule>
    <cfRule type="cellIs" dxfId="380" priority="283" operator="equal">
      <formula>"B"</formula>
    </cfRule>
    <cfRule type="cellIs" dxfId="379" priority="284" operator="equal">
      <formula>"S"</formula>
    </cfRule>
    <cfRule type="cellIs" dxfId="378" priority="285" operator="equal">
      <formula>"S"</formula>
    </cfRule>
    <cfRule type="cellIs" dxfId="377" priority="286" operator="equal">
      <formula>"B"</formula>
    </cfRule>
    <cfRule type="expression" dxfId="376" priority="287">
      <formula>$AW1183="D"</formula>
    </cfRule>
    <cfRule type="cellIs" dxfId="375" priority="288" operator="equal">
      <formula>"B"</formula>
    </cfRule>
    <cfRule type="cellIs" dxfId="374" priority="289" operator="equal">
      <formula>"S"</formula>
    </cfRule>
    <cfRule type="expression" dxfId="373" priority="290">
      <formula>$AW1183="D"</formula>
    </cfRule>
    <cfRule type="cellIs" dxfId="372" priority="291" operator="equal">
      <formula>"B"</formula>
    </cfRule>
    <cfRule type="cellIs" dxfId="371" priority="292" operator="equal">
      <formula>"S"</formula>
    </cfRule>
    <cfRule type="expression" dxfId="370" priority="293">
      <formula>$AW1183="D"</formula>
    </cfRule>
    <cfRule type="cellIs" dxfId="369" priority="294" operator="equal">
      <formula>"B"</formula>
    </cfRule>
    <cfRule type="cellIs" dxfId="368" priority="295" operator="equal">
      <formula>"S"</formula>
    </cfRule>
    <cfRule type="expression" dxfId="367" priority="296">
      <formula>$AW1183="D"</formula>
    </cfRule>
    <cfRule type="cellIs" dxfId="366" priority="297" operator="equal">
      <formula>"B"</formula>
    </cfRule>
    <cfRule type="cellIs" dxfId="365" priority="298" operator="equal">
      <formula>"S"</formula>
    </cfRule>
    <cfRule type="cellIs" dxfId="364" priority="299" operator="equal">
      <formula>"S"</formula>
    </cfRule>
    <cfRule type="cellIs" dxfId="363" priority="300" operator="equal">
      <formula>"B"</formula>
    </cfRule>
    <cfRule type="expression" dxfId="362" priority="301">
      <formula>$AW1183="D"</formula>
    </cfRule>
    <cfRule type="cellIs" dxfId="361" priority="302" operator="equal">
      <formula>"B"</formula>
    </cfRule>
    <cfRule type="cellIs" dxfId="360" priority="303" operator="equal">
      <formula>"S"</formula>
    </cfRule>
    <cfRule type="expression" dxfId="359" priority="304">
      <formula>$AW1183="D"</formula>
    </cfRule>
    <cfRule type="cellIs" dxfId="358" priority="305" operator="equal">
      <formula>"B"</formula>
    </cfRule>
    <cfRule type="cellIs" dxfId="357" priority="306" operator="equal">
      <formula>"S"</formula>
    </cfRule>
    <cfRule type="expression" dxfId="356" priority="307">
      <formula>$AW1183="D"</formula>
    </cfRule>
    <cfRule type="cellIs" dxfId="355" priority="308" operator="equal">
      <formula>"B"</formula>
    </cfRule>
    <cfRule type="cellIs" dxfId="354" priority="309" operator="equal">
      <formula>"S"</formula>
    </cfRule>
    <cfRule type="expression" dxfId="353" priority="310">
      <formula>$AW1183="D"</formula>
    </cfRule>
    <cfRule type="cellIs" dxfId="352" priority="311" operator="equal">
      <formula>"B"</formula>
    </cfRule>
    <cfRule type="cellIs" dxfId="351" priority="312" operator="equal">
      <formula>"S"</formula>
    </cfRule>
    <cfRule type="cellIs" dxfId="350" priority="313" operator="equal">
      <formula>"S"</formula>
    </cfRule>
    <cfRule type="cellIs" dxfId="349" priority="314" operator="equal">
      <formula>"B"</formula>
    </cfRule>
    <cfRule type="expression" dxfId="348" priority="315">
      <formula>$AW1183="D"</formula>
    </cfRule>
    <cfRule type="cellIs" dxfId="347" priority="316" operator="equal">
      <formula>"B"</formula>
    </cfRule>
    <cfRule type="cellIs" dxfId="346" priority="317" operator="equal">
      <formula>"S"</formula>
    </cfRule>
    <cfRule type="expression" dxfId="345" priority="318">
      <formula>$AW1183="D"</formula>
    </cfRule>
    <cfRule type="cellIs" dxfId="344" priority="319" operator="equal">
      <formula>"B"</formula>
    </cfRule>
    <cfRule type="cellIs" dxfId="343" priority="320" operator="equal">
      <formula>"S"</formula>
    </cfRule>
  </conditionalFormatting>
  <conditionalFormatting sqref="Z1183">
    <cfRule type="expression" dxfId="342" priority="321">
      <formula>$AW1183="D"</formula>
    </cfRule>
  </conditionalFormatting>
  <conditionalFormatting sqref="Y1183:Z1183">
    <cfRule type="expression" dxfId="341" priority="260">
      <formula>$AW1183="D"</formula>
    </cfRule>
  </conditionalFormatting>
  <conditionalFormatting sqref="AM3:AM1234">
    <cfRule type="cellIs" dxfId="340" priority="6958" operator="lessThanOrEqual">
      <formula>$AM$1239</formula>
    </cfRule>
  </conditionalFormatting>
  <conditionalFormatting sqref="A1185:G1186 A1184:F1184 A1187:F1188 A1189:G1189 A1190:F1193">
    <cfRule type="expression" dxfId="339" priority="248">
      <formula>$AW1184="D"</formula>
    </cfRule>
  </conditionalFormatting>
  <conditionalFormatting sqref="H1185:J1193">
    <cfRule type="cellIs" dxfId="338" priority="251" operator="equal">
      <formula>1</formula>
    </cfRule>
  </conditionalFormatting>
  <conditionalFormatting sqref="K1185:K1193">
    <cfRule type="containsText" dxfId="337" priority="252" operator="containsText" text="H">
      <formula>NOT(ISERROR(SEARCH(("H"),(K1185))))</formula>
    </cfRule>
    <cfRule type="containsText" dxfId="336" priority="253" operator="containsText" text="D">
      <formula>NOT(ISERROR(SEARCH(("D"),(K1185))))</formula>
    </cfRule>
  </conditionalFormatting>
  <conditionalFormatting sqref="O1185:O1190 O1193">
    <cfRule type="expression" dxfId="335" priority="250">
      <formula>$AW1185="D"</formula>
    </cfRule>
  </conditionalFormatting>
  <conditionalFormatting sqref="Q1185:Q1190 Q1193">
    <cfRule type="cellIs" dxfId="334" priority="256" operator="equal">
      <formula>"F"</formula>
    </cfRule>
  </conditionalFormatting>
  <conditionalFormatting sqref="U1185:U1190 U1193">
    <cfRule type="containsText" dxfId="333" priority="244" operator="containsText" text="S">
      <formula>NOT(ISERROR(SEARCH("S",U1185)))</formula>
    </cfRule>
    <cfRule type="containsText" dxfId="332" priority="245" operator="containsText" text="B">
      <formula>NOT(ISERROR(SEARCH("B",U1185)))</formula>
    </cfRule>
  </conditionalFormatting>
  <conditionalFormatting sqref="U1185:X1190 U1193:X1193">
    <cfRule type="expression" dxfId="331" priority="242">
      <formula>$AW1185="L"</formula>
    </cfRule>
    <cfRule type="expression" dxfId="330" priority="243">
      <formula>$AW1185="W"</formula>
    </cfRule>
  </conditionalFormatting>
  <conditionalFormatting sqref="U1185:X1190 U1193:X1193">
    <cfRule type="expression" dxfId="329" priority="241">
      <formula>$AW1185="D"</formula>
    </cfRule>
  </conditionalFormatting>
  <conditionalFormatting sqref="A1185:T1186 A1184:F1184 AE1184:AL1184 A1187:F1188 H1187:T1188 A1189:T1189 AA1185:AL1190 H1190:T1190 H1191:N1192 AB1191:AL1192 AN1184:BF1193 A1190:F1193 AA1193:AL1193 H1193:T1193">
    <cfRule type="expression" dxfId="328" priority="247">
      <formula>$AW1184="L"</formula>
    </cfRule>
  </conditionalFormatting>
  <conditionalFormatting sqref="A1185:T1186 A1184:F1184 AE1184:AL1184 A1187:F1188 H1187:T1188 A1189:T1189 AA1185:AL1190 H1190:T1190 H1191:N1192 AB1191:AL1192 AN1184:BF1193 A1190:F1193 AA1193:AL1193 H1193:T1193">
    <cfRule type="expression" dxfId="327" priority="254">
      <formula>$AW1184="D"</formula>
    </cfRule>
  </conditionalFormatting>
  <conditionalFormatting sqref="A1185:T1186 A1184:F1184 AE1184:AL1184 A1187:F1188 H1187:T1188 A1189:T1189 AA1185:AL1190 H1190:T1190 H1191:N1192 AB1191:AL1192 AN1184:BF1193 A1190:F1193 AA1193:AL1193 H1193:T1193">
    <cfRule type="expression" dxfId="326" priority="246">
      <formula>$AW1184="W"</formula>
    </cfRule>
  </conditionalFormatting>
  <conditionalFormatting sqref="AJ1184:AJ1193">
    <cfRule type="expression" dxfId="325" priority="240">
      <formula>$AW1184="D"</formula>
    </cfRule>
  </conditionalFormatting>
  <conditionalFormatting sqref="AL1184:AL1193">
    <cfRule type="cellIs" dxfId="324" priority="255" operator="lessThanOrEqual">
      <formula>-110</formula>
    </cfRule>
  </conditionalFormatting>
  <conditionalFormatting sqref="AL1184:AL1193">
    <cfRule type="expression" dxfId="323" priority="249">
      <formula>$AW1184="D"</formula>
    </cfRule>
  </conditionalFormatting>
  <conditionalFormatting sqref="AU1184:AU1193">
    <cfRule type="cellIs" dxfId="322" priority="257" operator="greaterThan">
      <formula>0</formula>
    </cfRule>
    <cfRule type="cellIs" dxfId="321" priority="258" operator="lessThan">
      <formula>0</formula>
    </cfRule>
  </conditionalFormatting>
  <conditionalFormatting sqref="K1184">
    <cfRule type="containsText" dxfId="320" priority="237" operator="containsText" text="H">
      <formula>NOT(ISERROR(SEARCH(("H"),(K1184))))</formula>
    </cfRule>
    <cfRule type="containsText" dxfId="319" priority="238" operator="containsText" text="D">
      <formula>NOT(ISERROR(SEARCH(("D"),(K1184))))</formula>
    </cfRule>
  </conditionalFormatting>
  <conditionalFormatting sqref="O1184">
    <cfRule type="expression" dxfId="318" priority="236">
      <formula>$AW1184="D"</formula>
    </cfRule>
  </conditionalFormatting>
  <conditionalFormatting sqref="Q1184">
    <cfRule type="cellIs" dxfId="317" priority="239" operator="equal">
      <formula>"F"</formula>
    </cfRule>
  </conditionalFormatting>
  <conditionalFormatting sqref="U1184">
    <cfRule type="containsText" dxfId="316" priority="234" operator="containsText" text="S">
      <formula>NOT(ISERROR(SEARCH("S",U1184)))</formula>
    </cfRule>
    <cfRule type="containsText" dxfId="315" priority="235" operator="containsText" text="B">
      <formula>NOT(ISERROR(SEARCH("B",U1184)))</formula>
    </cfRule>
  </conditionalFormatting>
  <conditionalFormatting sqref="G1184">
    <cfRule type="expression" dxfId="314" priority="231">
      <formula>$AW1184="D"</formula>
    </cfRule>
  </conditionalFormatting>
  <conditionalFormatting sqref="H1184:J1184">
    <cfRule type="cellIs" dxfId="313" priority="232" operator="equal">
      <formula>1</formula>
    </cfRule>
  </conditionalFormatting>
  <conditionalFormatting sqref="U1184:X1184">
    <cfRule type="expression" dxfId="312" priority="227">
      <formula>$AW1184="L"</formula>
    </cfRule>
    <cfRule type="expression" dxfId="311" priority="228">
      <formula>$AW1184="W"</formula>
    </cfRule>
  </conditionalFormatting>
  <conditionalFormatting sqref="U1184:X1184">
    <cfRule type="expression" dxfId="310" priority="226">
      <formula>$AW1184="D"</formula>
    </cfRule>
  </conditionalFormatting>
  <conditionalFormatting sqref="Y1184:AD1184 G1184:T1184 Y1185:Z1188">
    <cfRule type="expression" dxfId="309" priority="230">
      <formula>$AW1184="L"</formula>
    </cfRule>
  </conditionalFormatting>
  <conditionalFormatting sqref="Y1184:AD1184 G1184:T1184 Y1185:Z1188">
    <cfRule type="expression" dxfId="308" priority="233">
      <formula>$AW1184="D"</formula>
    </cfRule>
  </conditionalFormatting>
  <conditionalFormatting sqref="Y1184:AD1184 G1184:T1184 Y1185:Z1188">
    <cfRule type="expression" dxfId="307" priority="229">
      <formula>$AW1184="W"</formula>
    </cfRule>
  </conditionalFormatting>
  <conditionalFormatting sqref="Y1184:Y1190">
    <cfRule type="cellIs" dxfId="306" priority="165" operator="equal">
      <formula>"S"</formula>
    </cfRule>
    <cfRule type="cellIs" dxfId="305" priority="166" operator="equal">
      <formula>"B"</formula>
    </cfRule>
    <cfRule type="expression" dxfId="304" priority="167">
      <formula>$AW1184="D"</formula>
    </cfRule>
    <cfRule type="cellIs" dxfId="303" priority="168" operator="equal">
      <formula>"B"</formula>
    </cfRule>
    <cfRule type="cellIs" dxfId="302" priority="169" operator="equal">
      <formula>"S"</formula>
    </cfRule>
    <cfRule type="expression" dxfId="301" priority="170">
      <formula>$AW1184="D"</formula>
    </cfRule>
    <cfRule type="cellIs" dxfId="300" priority="171" operator="equal">
      <formula>"B"</formula>
    </cfRule>
    <cfRule type="cellIs" dxfId="299" priority="172" operator="equal">
      <formula>"S"</formula>
    </cfRule>
    <cfRule type="cellIs" dxfId="298" priority="173" operator="equal">
      <formula>"S"</formula>
    </cfRule>
    <cfRule type="cellIs" dxfId="297" priority="174" operator="equal">
      <formula>"B"</formula>
    </cfRule>
    <cfRule type="expression" dxfId="296" priority="175">
      <formula>$AW1184="D"</formula>
    </cfRule>
    <cfRule type="cellIs" dxfId="295" priority="176" operator="equal">
      <formula>"B"</formula>
    </cfRule>
    <cfRule type="cellIs" dxfId="294" priority="177" operator="equal">
      <formula>"S"</formula>
    </cfRule>
    <cfRule type="expression" dxfId="293" priority="178">
      <formula>$AW1184="D"</formula>
    </cfRule>
    <cfRule type="cellIs" dxfId="292" priority="179" operator="equal">
      <formula>"B"</formula>
    </cfRule>
    <cfRule type="cellIs" dxfId="291" priority="180" operator="equal">
      <formula>"S"</formula>
    </cfRule>
    <cfRule type="cellIs" dxfId="290" priority="181" operator="equal">
      <formula>"S"</formula>
    </cfRule>
    <cfRule type="cellIs" dxfId="289" priority="182" operator="equal">
      <formula>"B"</formula>
    </cfRule>
    <cfRule type="expression" dxfId="288" priority="183">
      <formula>$AW1184="D"</formula>
    </cfRule>
    <cfRule type="cellIs" dxfId="287" priority="184" operator="equal">
      <formula>"B"</formula>
    </cfRule>
    <cfRule type="cellIs" dxfId="286" priority="185" operator="equal">
      <formula>"S"</formula>
    </cfRule>
    <cfRule type="expression" dxfId="285" priority="186">
      <formula>$AW1184="D"</formula>
    </cfRule>
    <cfRule type="cellIs" dxfId="284" priority="187" operator="equal">
      <formula>"B"</formula>
    </cfRule>
    <cfRule type="cellIs" dxfId="283" priority="188" operator="equal">
      <formula>"S"</formula>
    </cfRule>
    <cfRule type="cellIs" dxfId="282" priority="189" operator="equal">
      <formula>"S"</formula>
    </cfRule>
    <cfRule type="cellIs" dxfId="281" priority="190" operator="equal">
      <formula>"B"</formula>
    </cfRule>
    <cfRule type="expression" dxfId="280" priority="191">
      <formula>$AW1184="D"</formula>
    </cfRule>
    <cfRule type="cellIs" dxfId="279" priority="192" operator="equal">
      <formula>"B"</formula>
    </cfRule>
    <cfRule type="cellIs" dxfId="278" priority="193" operator="equal">
      <formula>"S"</formula>
    </cfRule>
    <cfRule type="expression" dxfId="277" priority="194">
      <formula>$AW1184="D"</formula>
    </cfRule>
    <cfRule type="cellIs" dxfId="276" priority="195" operator="equal">
      <formula>"B"</formula>
    </cfRule>
    <cfRule type="cellIs" dxfId="275" priority="196" operator="equal">
      <formula>"S"</formula>
    </cfRule>
    <cfRule type="expression" dxfId="274" priority="197">
      <formula>$AW1184="D"</formula>
    </cfRule>
    <cfRule type="cellIs" dxfId="273" priority="198" operator="equal">
      <formula>"B"</formula>
    </cfRule>
    <cfRule type="cellIs" dxfId="272" priority="199" operator="equal">
      <formula>"S"</formula>
    </cfRule>
    <cfRule type="expression" dxfId="271" priority="200">
      <formula>$AW1184="D"</formula>
    </cfRule>
    <cfRule type="cellIs" dxfId="270" priority="201" operator="equal">
      <formula>"B"</formula>
    </cfRule>
    <cfRule type="cellIs" dxfId="269" priority="202" operator="equal">
      <formula>"S"</formula>
    </cfRule>
    <cfRule type="cellIs" dxfId="268" priority="203" operator="equal">
      <formula>"S"</formula>
    </cfRule>
    <cfRule type="cellIs" dxfId="267" priority="204" operator="equal">
      <formula>"B"</formula>
    </cfRule>
    <cfRule type="expression" dxfId="266" priority="205">
      <formula>$AW1184="D"</formula>
    </cfRule>
    <cfRule type="cellIs" dxfId="265" priority="206" operator="equal">
      <formula>"B"</formula>
    </cfRule>
    <cfRule type="cellIs" dxfId="264" priority="207" operator="equal">
      <formula>"S"</formula>
    </cfRule>
    <cfRule type="expression" dxfId="263" priority="208">
      <formula>$AW1184="D"</formula>
    </cfRule>
    <cfRule type="cellIs" dxfId="262" priority="209" operator="equal">
      <formula>"B"</formula>
    </cfRule>
    <cfRule type="cellIs" dxfId="261" priority="210" operator="equal">
      <formula>"S"</formula>
    </cfRule>
    <cfRule type="expression" dxfId="260" priority="211">
      <formula>$AW1184="D"</formula>
    </cfRule>
    <cfRule type="cellIs" dxfId="259" priority="212" operator="equal">
      <formula>"B"</formula>
    </cfRule>
    <cfRule type="cellIs" dxfId="258" priority="213" operator="equal">
      <formula>"S"</formula>
    </cfRule>
    <cfRule type="expression" dxfId="257" priority="214">
      <formula>$AW1184="D"</formula>
    </cfRule>
    <cfRule type="cellIs" dxfId="256" priority="215" operator="equal">
      <formula>"B"</formula>
    </cfRule>
    <cfRule type="cellIs" dxfId="255" priority="216" operator="equal">
      <formula>"S"</formula>
    </cfRule>
    <cfRule type="cellIs" dxfId="254" priority="217" operator="equal">
      <formula>"S"</formula>
    </cfRule>
    <cfRule type="cellIs" dxfId="253" priority="218" operator="equal">
      <formula>"B"</formula>
    </cfRule>
    <cfRule type="expression" dxfId="252" priority="219">
      <formula>$AW1184="D"</formula>
    </cfRule>
    <cfRule type="cellIs" dxfId="251" priority="220" operator="equal">
      <formula>"B"</formula>
    </cfRule>
    <cfRule type="cellIs" dxfId="250" priority="221" operator="equal">
      <formula>"S"</formula>
    </cfRule>
    <cfRule type="expression" dxfId="249" priority="222">
      <formula>$AW1184="D"</formula>
    </cfRule>
    <cfRule type="cellIs" dxfId="248" priority="223" operator="equal">
      <formula>"B"</formula>
    </cfRule>
    <cfRule type="cellIs" dxfId="247" priority="224" operator="equal">
      <formula>"S"</formula>
    </cfRule>
  </conditionalFormatting>
  <conditionalFormatting sqref="Z1184:Z1190">
    <cfRule type="expression" dxfId="246" priority="225">
      <formula>$AW1184="D"</formula>
    </cfRule>
  </conditionalFormatting>
  <conditionalFormatting sqref="Y1184:Z1188">
    <cfRule type="expression" dxfId="245" priority="164">
      <formula>$AW1184="D"</formula>
    </cfRule>
  </conditionalFormatting>
  <conditionalFormatting sqref="G1187:G1188">
    <cfRule type="expression" dxfId="244" priority="162">
      <formula>$AW1187="D"</formula>
    </cfRule>
  </conditionalFormatting>
  <conditionalFormatting sqref="G1187:G1188">
    <cfRule type="expression" dxfId="243" priority="161">
      <formula>$AW1187="L"</formula>
    </cfRule>
  </conditionalFormatting>
  <conditionalFormatting sqref="G1187:G1188">
    <cfRule type="expression" dxfId="242" priority="163">
      <formula>$AW1187="D"</formula>
    </cfRule>
  </conditionalFormatting>
  <conditionalFormatting sqref="G1187:G1188">
    <cfRule type="expression" dxfId="241" priority="160">
      <formula>$AW1187="W"</formula>
    </cfRule>
  </conditionalFormatting>
  <conditionalFormatting sqref="Y1189:Z1189">
    <cfRule type="expression" dxfId="240" priority="158">
      <formula>$AW1189="L"</formula>
    </cfRule>
  </conditionalFormatting>
  <conditionalFormatting sqref="Y1189:Z1189">
    <cfRule type="expression" dxfId="239" priority="159">
      <formula>$AW1189="D"</formula>
    </cfRule>
  </conditionalFormatting>
  <conditionalFormatting sqref="Y1189:Z1189">
    <cfRule type="expression" dxfId="238" priority="157">
      <formula>$AW1189="W"</formula>
    </cfRule>
  </conditionalFormatting>
  <conditionalFormatting sqref="Y1189:Z1189">
    <cfRule type="expression" dxfId="237" priority="156">
      <formula>$AW1189="D"</formula>
    </cfRule>
  </conditionalFormatting>
  <conditionalFormatting sqref="G1190:G1193">
    <cfRule type="expression" dxfId="236" priority="154">
      <formula>$AW1190="D"</formula>
    </cfRule>
  </conditionalFormatting>
  <conditionalFormatting sqref="G1190:G1193">
    <cfRule type="expression" dxfId="235" priority="153">
      <formula>$AW1190="L"</formula>
    </cfRule>
  </conditionalFormatting>
  <conditionalFormatting sqref="G1190:G1193">
    <cfRule type="expression" dxfId="234" priority="155">
      <formula>$AW1190="D"</formula>
    </cfRule>
  </conditionalFormatting>
  <conditionalFormatting sqref="G1190:G1193">
    <cfRule type="expression" dxfId="233" priority="152">
      <formula>$AW1190="W"</formula>
    </cfRule>
  </conditionalFormatting>
  <conditionalFormatting sqref="Y1190:Z1190">
    <cfRule type="expression" dxfId="232" priority="150">
      <formula>$AW1190="L"</formula>
    </cfRule>
  </conditionalFormatting>
  <conditionalFormatting sqref="Y1190:Z1190">
    <cfRule type="expression" dxfId="231" priority="151">
      <formula>$AW1190="D"</formula>
    </cfRule>
  </conditionalFormatting>
  <conditionalFormatting sqref="Y1190:Z1190">
    <cfRule type="expression" dxfId="230" priority="149">
      <formula>$AW1190="W"</formula>
    </cfRule>
  </conditionalFormatting>
  <conditionalFormatting sqref="Y1190:Z1190">
    <cfRule type="expression" dxfId="229" priority="148">
      <formula>$AW1190="D"</formula>
    </cfRule>
  </conditionalFormatting>
  <conditionalFormatting sqref="O1191:O1192">
    <cfRule type="expression" dxfId="228" priority="145">
      <formula>$AW1191="D"</formula>
    </cfRule>
  </conditionalFormatting>
  <conditionalFormatting sqref="Q1191:Q1192">
    <cfRule type="cellIs" dxfId="227" priority="147" operator="equal">
      <formula>"F"</formula>
    </cfRule>
  </conditionalFormatting>
  <conditionalFormatting sqref="U1191:U1192">
    <cfRule type="containsText" dxfId="226" priority="141" operator="containsText" text="S">
      <formula>NOT(ISERROR(SEARCH("S",U1191)))</formula>
    </cfRule>
    <cfRule type="containsText" dxfId="225" priority="142" operator="containsText" text="B">
      <formula>NOT(ISERROR(SEARCH("B",U1191)))</formula>
    </cfRule>
  </conditionalFormatting>
  <conditionalFormatting sqref="U1191:X1191">
    <cfRule type="expression" dxfId="224" priority="139">
      <formula>$AW1191="L"</formula>
    </cfRule>
    <cfRule type="expression" dxfId="223" priority="140">
      <formula>$AW1191="W"</formula>
    </cfRule>
  </conditionalFormatting>
  <conditionalFormatting sqref="U1191:X1191">
    <cfRule type="expression" dxfId="222" priority="138">
      <formula>$AW1191="D"</formula>
    </cfRule>
  </conditionalFormatting>
  <conditionalFormatting sqref="Y1191:AA1191 O1191:T1191">
    <cfRule type="expression" dxfId="221" priority="144">
      <formula>$AW1191="L"</formula>
    </cfRule>
  </conditionalFormatting>
  <conditionalFormatting sqref="Y1191:AA1191 O1191:T1191">
    <cfRule type="expression" dxfId="220" priority="146">
      <formula>$AW1191="D"</formula>
    </cfRule>
  </conditionalFormatting>
  <conditionalFormatting sqref="Y1191:AA1191 O1191:T1191">
    <cfRule type="expression" dxfId="219" priority="143">
      <formula>$AW1191="W"</formula>
    </cfRule>
  </conditionalFormatting>
  <conditionalFormatting sqref="Y1191:Y1192">
    <cfRule type="cellIs" dxfId="218" priority="77" operator="equal">
      <formula>"S"</formula>
    </cfRule>
    <cfRule type="cellIs" dxfId="217" priority="78" operator="equal">
      <formula>"B"</formula>
    </cfRule>
    <cfRule type="expression" dxfId="216" priority="79">
      <formula>$AW1191="D"</formula>
    </cfRule>
    <cfRule type="cellIs" dxfId="215" priority="80" operator="equal">
      <formula>"B"</formula>
    </cfRule>
    <cfRule type="cellIs" dxfId="214" priority="81" operator="equal">
      <formula>"S"</formula>
    </cfRule>
    <cfRule type="expression" dxfId="213" priority="82">
      <formula>$AW1191="D"</formula>
    </cfRule>
    <cfRule type="cellIs" dxfId="212" priority="83" operator="equal">
      <formula>"B"</formula>
    </cfRule>
    <cfRule type="cellIs" dxfId="211" priority="84" operator="equal">
      <formula>"S"</formula>
    </cfRule>
    <cfRule type="cellIs" dxfId="210" priority="85" operator="equal">
      <formula>"S"</formula>
    </cfRule>
    <cfRule type="cellIs" dxfId="209" priority="86" operator="equal">
      <formula>"B"</formula>
    </cfRule>
    <cfRule type="expression" dxfId="208" priority="87">
      <formula>$AW1191="D"</formula>
    </cfRule>
    <cfRule type="cellIs" dxfId="207" priority="88" operator="equal">
      <formula>"B"</formula>
    </cfRule>
    <cfRule type="cellIs" dxfId="206" priority="89" operator="equal">
      <formula>"S"</formula>
    </cfRule>
    <cfRule type="expression" dxfId="205" priority="90">
      <formula>$AW1191="D"</formula>
    </cfRule>
    <cfRule type="cellIs" dxfId="204" priority="91" operator="equal">
      <formula>"B"</formula>
    </cfRule>
    <cfRule type="cellIs" dxfId="203" priority="92" operator="equal">
      <formula>"S"</formula>
    </cfRule>
    <cfRule type="cellIs" dxfId="202" priority="93" operator="equal">
      <formula>"S"</formula>
    </cfRule>
    <cfRule type="cellIs" dxfId="201" priority="94" operator="equal">
      <formula>"B"</formula>
    </cfRule>
    <cfRule type="expression" dxfId="200" priority="95">
      <formula>$AW1191="D"</formula>
    </cfRule>
    <cfRule type="cellIs" dxfId="199" priority="96" operator="equal">
      <formula>"B"</formula>
    </cfRule>
    <cfRule type="cellIs" dxfId="198" priority="97" operator="equal">
      <formula>"S"</formula>
    </cfRule>
    <cfRule type="expression" dxfId="197" priority="98">
      <formula>$AW1191="D"</formula>
    </cfRule>
    <cfRule type="cellIs" dxfId="196" priority="99" operator="equal">
      <formula>"B"</formula>
    </cfRule>
    <cfRule type="cellIs" dxfId="195" priority="100" operator="equal">
      <formula>"S"</formula>
    </cfRule>
    <cfRule type="cellIs" dxfId="194" priority="101" operator="equal">
      <formula>"S"</formula>
    </cfRule>
    <cfRule type="cellIs" dxfId="193" priority="102" operator="equal">
      <formula>"B"</formula>
    </cfRule>
    <cfRule type="expression" dxfId="192" priority="103">
      <formula>$AW1191="D"</formula>
    </cfRule>
    <cfRule type="cellIs" dxfId="191" priority="104" operator="equal">
      <formula>"B"</formula>
    </cfRule>
    <cfRule type="cellIs" dxfId="190" priority="105" operator="equal">
      <formula>"S"</formula>
    </cfRule>
    <cfRule type="expression" dxfId="189" priority="106">
      <formula>$AW1191="D"</formula>
    </cfRule>
    <cfRule type="cellIs" dxfId="188" priority="107" operator="equal">
      <formula>"B"</formula>
    </cfRule>
    <cfRule type="cellIs" dxfId="187" priority="108" operator="equal">
      <formula>"S"</formula>
    </cfRule>
    <cfRule type="expression" dxfId="186" priority="109">
      <formula>$AW1191="D"</formula>
    </cfRule>
    <cfRule type="cellIs" dxfId="185" priority="110" operator="equal">
      <formula>"B"</formula>
    </cfRule>
    <cfRule type="cellIs" dxfId="184" priority="111" operator="equal">
      <formula>"S"</formula>
    </cfRule>
    <cfRule type="expression" dxfId="183" priority="112">
      <formula>$AW1191="D"</formula>
    </cfRule>
    <cfRule type="cellIs" dxfId="182" priority="113" operator="equal">
      <formula>"B"</formula>
    </cfRule>
    <cfRule type="cellIs" dxfId="181" priority="114" operator="equal">
      <formula>"S"</formula>
    </cfRule>
    <cfRule type="cellIs" dxfId="180" priority="115" operator="equal">
      <formula>"S"</formula>
    </cfRule>
    <cfRule type="cellIs" dxfId="179" priority="116" operator="equal">
      <formula>"B"</formula>
    </cfRule>
    <cfRule type="expression" dxfId="178" priority="117">
      <formula>$AW1191="D"</formula>
    </cfRule>
    <cfRule type="cellIs" dxfId="177" priority="118" operator="equal">
      <formula>"B"</formula>
    </cfRule>
    <cfRule type="cellIs" dxfId="176" priority="119" operator="equal">
      <formula>"S"</formula>
    </cfRule>
    <cfRule type="expression" dxfId="175" priority="120">
      <formula>$AW1191="D"</formula>
    </cfRule>
    <cfRule type="cellIs" dxfId="174" priority="121" operator="equal">
      <formula>"B"</formula>
    </cfRule>
    <cfRule type="cellIs" dxfId="173" priority="122" operator="equal">
      <formula>"S"</formula>
    </cfRule>
    <cfRule type="expression" dxfId="172" priority="123">
      <formula>$AW1191="D"</formula>
    </cfRule>
    <cfRule type="cellIs" dxfId="171" priority="124" operator="equal">
      <formula>"B"</formula>
    </cfRule>
    <cfRule type="cellIs" dxfId="170" priority="125" operator="equal">
      <formula>"S"</formula>
    </cfRule>
    <cfRule type="expression" dxfId="169" priority="126">
      <formula>$AW1191="D"</formula>
    </cfRule>
    <cfRule type="cellIs" dxfId="168" priority="127" operator="equal">
      <formula>"B"</formula>
    </cfRule>
    <cfRule type="cellIs" dxfId="167" priority="128" operator="equal">
      <formula>"S"</formula>
    </cfRule>
    <cfRule type="cellIs" dxfId="166" priority="129" operator="equal">
      <formula>"S"</formula>
    </cfRule>
    <cfRule type="cellIs" dxfId="165" priority="130" operator="equal">
      <formula>"B"</formula>
    </cfRule>
    <cfRule type="expression" dxfId="164" priority="131">
      <formula>$AW1191="D"</formula>
    </cfRule>
    <cfRule type="cellIs" dxfId="163" priority="132" operator="equal">
      <formula>"B"</formula>
    </cfRule>
    <cfRule type="cellIs" dxfId="162" priority="133" operator="equal">
      <formula>"S"</formula>
    </cfRule>
    <cfRule type="expression" dxfId="161" priority="134">
      <formula>$AW1191="D"</formula>
    </cfRule>
    <cfRule type="cellIs" dxfId="160" priority="135" operator="equal">
      <formula>"B"</formula>
    </cfRule>
    <cfRule type="cellIs" dxfId="159" priority="136" operator="equal">
      <formula>"S"</formula>
    </cfRule>
  </conditionalFormatting>
  <conditionalFormatting sqref="Z1191:Z1192">
    <cfRule type="expression" dxfId="158" priority="137">
      <formula>$AW1191="D"</formula>
    </cfRule>
  </conditionalFormatting>
  <conditionalFormatting sqref="Y1191:Z1191">
    <cfRule type="expression" dxfId="157" priority="76">
      <formula>$AW1191="D"</formula>
    </cfRule>
  </conditionalFormatting>
  <conditionalFormatting sqref="U1192:X1192">
    <cfRule type="expression" dxfId="156" priority="71">
      <formula>$AW1192="L"</formula>
    </cfRule>
    <cfRule type="expression" dxfId="155" priority="72">
      <formula>$AW1192="W"</formula>
    </cfRule>
  </conditionalFormatting>
  <conditionalFormatting sqref="U1192:X1192">
    <cfRule type="expression" dxfId="154" priority="70">
      <formula>$AW1192="D"</formula>
    </cfRule>
  </conditionalFormatting>
  <conditionalFormatting sqref="Y1192:AA1192 O1192:T1192">
    <cfRule type="expression" dxfId="153" priority="74">
      <formula>$AW1192="L"</formula>
    </cfRule>
  </conditionalFormatting>
  <conditionalFormatting sqref="Y1192:AA1192 O1192:T1192">
    <cfRule type="expression" dxfId="152" priority="75">
      <formula>$AW1192="D"</formula>
    </cfRule>
  </conditionalFormatting>
  <conditionalFormatting sqref="Y1192:AA1192 O1192:T1192">
    <cfRule type="expression" dxfId="151" priority="73">
      <formula>$AW1192="W"</formula>
    </cfRule>
  </conditionalFormatting>
  <conditionalFormatting sqref="Y1192:Z1192">
    <cfRule type="expression" dxfId="150" priority="69">
      <formula>$AW1192="D"</formula>
    </cfRule>
  </conditionalFormatting>
  <conditionalFormatting sqref="Y1193">
    <cfRule type="cellIs" dxfId="149" priority="8" operator="equal">
      <formula>"S"</formula>
    </cfRule>
    <cfRule type="cellIs" dxfId="148" priority="9" operator="equal">
      <formula>"B"</formula>
    </cfRule>
    <cfRule type="expression" dxfId="147" priority="10">
      <formula>$AW1193="D"</formula>
    </cfRule>
    <cfRule type="cellIs" dxfId="146" priority="11" operator="equal">
      <formula>"B"</formula>
    </cfRule>
    <cfRule type="cellIs" dxfId="145" priority="12" operator="equal">
      <formula>"S"</formula>
    </cfRule>
    <cfRule type="expression" dxfId="144" priority="13">
      <formula>$AW1193="D"</formula>
    </cfRule>
    <cfRule type="cellIs" dxfId="143" priority="14" operator="equal">
      <formula>"B"</formula>
    </cfRule>
    <cfRule type="cellIs" dxfId="142" priority="15" operator="equal">
      <formula>"S"</formula>
    </cfRule>
    <cfRule type="cellIs" dxfId="141" priority="16" operator="equal">
      <formula>"S"</formula>
    </cfRule>
    <cfRule type="cellIs" dxfId="140" priority="17" operator="equal">
      <formula>"B"</formula>
    </cfRule>
    <cfRule type="expression" dxfId="139" priority="18">
      <formula>$AW1193="D"</formula>
    </cfRule>
    <cfRule type="cellIs" dxfId="138" priority="19" operator="equal">
      <formula>"B"</formula>
    </cfRule>
    <cfRule type="cellIs" dxfId="137" priority="20" operator="equal">
      <formula>"S"</formula>
    </cfRule>
    <cfRule type="expression" dxfId="136" priority="21">
      <formula>$AW1193="D"</formula>
    </cfRule>
    <cfRule type="cellIs" dxfId="135" priority="22" operator="equal">
      <formula>"B"</formula>
    </cfRule>
    <cfRule type="cellIs" dxfId="134" priority="23" operator="equal">
      <formula>"S"</formula>
    </cfRule>
    <cfRule type="cellIs" dxfId="133" priority="24" operator="equal">
      <formula>"S"</formula>
    </cfRule>
    <cfRule type="cellIs" dxfId="132" priority="25" operator="equal">
      <formula>"B"</formula>
    </cfRule>
    <cfRule type="expression" dxfId="131" priority="26">
      <formula>$AW1193="D"</formula>
    </cfRule>
    <cfRule type="cellIs" dxfId="130" priority="27" operator="equal">
      <formula>"B"</formula>
    </cfRule>
    <cfRule type="cellIs" dxfId="129" priority="28" operator="equal">
      <formula>"S"</formula>
    </cfRule>
    <cfRule type="expression" dxfId="128" priority="29">
      <formula>$AW1193="D"</formula>
    </cfRule>
    <cfRule type="cellIs" dxfId="127" priority="30" operator="equal">
      <formula>"B"</formula>
    </cfRule>
    <cfRule type="cellIs" dxfId="126" priority="31" operator="equal">
      <formula>"S"</formula>
    </cfRule>
    <cfRule type="cellIs" dxfId="125" priority="32" operator="equal">
      <formula>"S"</formula>
    </cfRule>
    <cfRule type="cellIs" dxfId="124" priority="33" operator="equal">
      <formula>"B"</formula>
    </cfRule>
    <cfRule type="expression" dxfId="123" priority="34">
      <formula>$AW1193="D"</formula>
    </cfRule>
    <cfRule type="cellIs" dxfId="122" priority="35" operator="equal">
      <formula>"B"</formula>
    </cfRule>
    <cfRule type="cellIs" dxfId="121" priority="36" operator="equal">
      <formula>"S"</formula>
    </cfRule>
    <cfRule type="expression" dxfId="120" priority="37">
      <formula>$AW1193="D"</formula>
    </cfRule>
    <cfRule type="cellIs" dxfId="119" priority="38" operator="equal">
      <formula>"B"</formula>
    </cfRule>
    <cfRule type="cellIs" dxfId="118" priority="39" operator="equal">
      <formula>"S"</formula>
    </cfRule>
    <cfRule type="expression" dxfId="117" priority="40">
      <formula>$AW1193="D"</formula>
    </cfRule>
    <cfRule type="cellIs" dxfId="116" priority="41" operator="equal">
      <formula>"B"</formula>
    </cfRule>
    <cfRule type="cellIs" dxfId="115" priority="42" operator="equal">
      <formula>"S"</formula>
    </cfRule>
    <cfRule type="expression" dxfId="114" priority="43">
      <formula>$AW1193="D"</formula>
    </cfRule>
    <cfRule type="cellIs" dxfId="113" priority="44" operator="equal">
      <formula>"B"</formula>
    </cfRule>
    <cfRule type="cellIs" dxfId="112" priority="45" operator="equal">
      <formula>"S"</formula>
    </cfRule>
    <cfRule type="cellIs" dxfId="111" priority="46" operator="equal">
      <formula>"S"</formula>
    </cfRule>
    <cfRule type="cellIs" dxfId="110" priority="47" operator="equal">
      <formula>"B"</formula>
    </cfRule>
    <cfRule type="expression" dxfId="109" priority="48">
      <formula>$AW1193="D"</formula>
    </cfRule>
    <cfRule type="cellIs" dxfId="108" priority="49" operator="equal">
      <formula>"B"</formula>
    </cfRule>
    <cfRule type="cellIs" dxfId="107" priority="50" operator="equal">
      <formula>"S"</formula>
    </cfRule>
    <cfRule type="expression" dxfId="106" priority="51">
      <formula>$AW1193="D"</formula>
    </cfRule>
    <cfRule type="cellIs" dxfId="105" priority="52" operator="equal">
      <formula>"B"</formula>
    </cfRule>
    <cfRule type="cellIs" dxfId="104" priority="53" operator="equal">
      <formula>"S"</formula>
    </cfRule>
    <cfRule type="expression" dxfId="103" priority="54">
      <formula>$AW1193="D"</formula>
    </cfRule>
    <cfRule type="cellIs" dxfId="102" priority="55" operator="equal">
      <formula>"B"</formula>
    </cfRule>
    <cfRule type="cellIs" dxfId="101" priority="56" operator="equal">
      <formula>"S"</formula>
    </cfRule>
    <cfRule type="expression" dxfId="100" priority="57">
      <formula>$AW1193="D"</formula>
    </cfRule>
    <cfRule type="cellIs" dxfId="99" priority="58" operator="equal">
      <formula>"B"</formula>
    </cfRule>
    <cfRule type="cellIs" dxfId="98" priority="59" operator="equal">
      <formula>"S"</formula>
    </cfRule>
    <cfRule type="cellIs" dxfId="97" priority="60" operator="equal">
      <formula>"S"</formula>
    </cfRule>
    <cfRule type="cellIs" dxfId="96" priority="61" operator="equal">
      <formula>"B"</formula>
    </cfRule>
    <cfRule type="expression" dxfId="95" priority="62">
      <formula>$AW1193="D"</formula>
    </cfRule>
    <cfRule type="cellIs" dxfId="94" priority="63" operator="equal">
      <formula>"B"</formula>
    </cfRule>
    <cfRule type="cellIs" dxfId="93" priority="64" operator="equal">
      <formula>"S"</formula>
    </cfRule>
    <cfRule type="expression" dxfId="92" priority="65">
      <formula>$AW1193="D"</formula>
    </cfRule>
    <cfRule type="cellIs" dxfId="91" priority="66" operator="equal">
      <formula>"B"</formula>
    </cfRule>
    <cfRule type="cellIs" dxfId="90" priority="67" operator="equal">
      <formula>"S"</formula>
    </cfRule>
  </conditionalFormatting>
  <conditionalFormatting sqref="Z1193">
    <cfRule type="expression" dxfId="89" priority="68">
      <formula>$AW1193="D"</formula>
    </cfRule>
  </conditionalFormatting>
  <conditionalFormatting sqref="Y1193:Z1193">
    <cfRule type="expression" dxfId="88" priority="6">
      <formula>$AW1193="L"</formula>
    </cfRule>
  </conditionalFormatting>
  <conditionalFormatting sqref="Y1193:Z1193">
    <cfRule type="expression" dxfId="87" priority="7">
      <formula>$AW1193="D"</formula>
    </cfRule>
  </conditionalFormatting>
  <conditionalFormatting sqref="Y1193:Z1193">
    <cfRule type="expression" dxfId="86" priority="5">
      <formula>$AW1193="W"</formula>
    </cfRule>
  </conditionalFormatting>
  <conditionalFormatting sqref="Y1193:Z1193">
    <cfRule type="expression" dxfId="85" priority="4">
      <formula>$AW1193="D"</formula>
    </cfRule>
  </conditionalFormatting>
  <conditionalFormatting sqref="AX1194:AY1194">
    <cfRule type="expression" dxfId="84" priority="2">
      <formula>$AW1194="L"</formula>
    </cfRule>
  </conditionalFormatting>
  <conditionalFormatting sqref="AX1194:AY1194">
    <cfRule type="expression" dxfId="83" priority="3">
      <formula>$AW1194="D"</formula>
    </cfRule>
  </conditionalFormatting>
  <conditionalFormatting sqref="AX1194:AY1194">
    <cfRule type="expression" dxfId="82" priority="1">
      <formula>$AW1194="W"</formula>
    </cfRule>
  </conditionalFormatting>
  <dataValidations count="15">
    <dataValidation type="list" allowBlank="1" sqref="Y140 Y260 Y353 Y544 Y739 Y1211 Y1094 U4:U1234" xr:uid="{00000000-0002-0000-0000-000002000000}">
      <formula1>"B,S"</formula1>
    </dataValidation>
    <dataValidation type="list" allowBlank="1" sqref="O4:O22 O24:O44 O46:O63 O65:O67 O71:O74 O76:O77 O80:O83 O85 O87:O99 O102:O107 O143:O146 O109:O141 O148:O158 O165:O171 O173:O176 O161:O163 O178 O181:O182 O184:O192 O194:O208 O212:O216 O218:O219 O223:O226 O231 O236 O238:O248 O250:O251 O253:O269 O274:O275 O277:O278 O280:O282 O287:O291 O294:O302 O305:O311 O313:O318 O320:O321 O325:O335 O337 O339:O363 O365 O367:O372 O374:O378 O380:O381 O383:O385 O388 O390:O392 O394:O398 O402:O411 O413:O423 O425:O426 O428:O429 O431:O436 O438:O446 O448:O456 O458:O463 O465:O470 O472:O489 O491:O496 O498:O500 O502:O511 O514:O517 O519:O536 O539:O552 O554:O565 O567:O591 O593:O619 O621:O630 O632:O643 O645:O654 O656:O666 O668:O712 O714 O717:O723 O726:O727 O730:O793 O796 O800:O804 O815" xr:uid="{00000000-0002-0000-0000-000006000000}">
      <formula1>"IB,IR"</formula1>
    </dataValidation>
    <dataValidation type="list" allowBlank="1" sqref="P4:P22 P24:P44 P46:P63 P65:P67 P71:P74 P76:P77 P80:P83 P85 P87:P99 P102:P107 P143:P146 P109:P141 P148:P158 P165:P171 P173:P176 P161:P163 P178 P181:P192 P194:P208 P210:P216 P218:P219 P223:P226 P231 P234:P236 P238:P248 P250:P251 P253:P269 P274:P275 P277:P278 P280:P282 P287:P291 P294:P302 P305:P311 P313:P318 P320:P321 P325:P335 P337 P339:P363 P365 P367:P372 P374:P378 P380:P381 P383:P385 P387:P388 P390:P392 P394:P400 P402:P411 P413:P436 P438:P456 P458:P463 P465:P470 P472:P489 P491:P517 P519:P537 P539:P552 P554:P565 P567:P591 P593:P643 P645:P654 P656:P666 P668:P712 P714:P724 P726:P727 P729:P818 P820:P862 P864:P916 P918:P940 P942:P982 P984:P986 P988:P1000 P1002:P1019 P1021:P1040 P1043:P1081 P1083:P1139 P1141:P1234" xr:uid="{00000000-0002-0000-0000-000003000000}">
      <formula1>"W,R,G"</formula1>
    </dataValidation>
    <dataValidation type="list" allowBlank="1" sqref="P23 P45 P64 P68:P70 P75 P78:P79 P84 P86 P100:P101 P108 P142 P147 P159:P160 P164 P172 P177 P179:P180 P193 P209 P217 P220:P222 P232:P233 P237 P227:P230 P249 P252 P270:P273 P276 P279 P283:P286 P292:P293 P303:P304 P312 P319 P322:P324 P336 P338 P364 P366 P373 P379 P382 P412 P389 P393 P386 P401 P437 P457 P464 P471 P490 P518 P538 P553 P566 P592 P644 P655 P667 P713 P725 P728 P819 P863 P917 P941 P983 P987 P1001 P1020 P1041:P1042 P1082 P1140" xr:uid="{AE8ADD96-2620-4DEA-9348-E7F216DFD6F8}">
      <formula1>"W,R,G,BONDS"</formula1>
    </dataValidation>
    <dataValidation type="list" allowBlank="1" sqref="O45 O64 O68:O70 O75 O78:O79 O86 O100 O147 O164 O177 O180 O217 O220:O221 O232:O233 O237 O252 O270:O273 O276 O283:O286 O322:O323 O336 O338 O364 O373 O382 O412 O389 O393 O538 O655" xr:uid="{534A0710-D201-4A04-857F-1A5321CB2206}">
      <formula1>"IB,IR,YT, TED,YT-XT"</formula1>
    </dataValidation>
    <dataValidation type="list" allowBlank="1" sqref="O23 O84 O101 O108 O142 O159:O160 O172 O179 O193 O209 O222 O227:O230 O249 O279 O292:O293 O303:O304 O312 O319 O324 O366 O379 O386 O401 O437 O457 O464 O471 O490 O518 O553 O566 O592 O644 O667 O713 O725 O728 O794:O795 O797:O799 O805:O814 O816:O851 O853:O859 O863:O867 O906:O996 O998:O1093 O1095:O1133 O1212:O1234 O869:O895 O897:O904 O1135:O1210" xr:uid="{B11DF17E-5C76-470F-B4F2-1EA3D3BE5595}">
      <formula1>"IB,IR,YT, TED,YT-XT,XT"</formula1>
    </dataValidation>
    <dataValidation type="list" allowBlank="1" sqref="AQ907:AR907 AQ4:AQ906 AQ908:AQ1234" xr:uid="{00000000-0002-0000-0000-000004000000}">
      <formula1>"M,H,D,W"</formula1>
    </dataValidation>
    <dataValidation type="list" allowBlank="1" sqref="AW4:AW543 AW545:AW738 AW1212:AW1234 AW740:AW895 AW897:AW996 AW998:AW1093 AW1095:AW1133 AW1135:AW1210" xr:uid="{00000000-0002-0000-0000-000007000000}">
      <formula1>"W,L,D"</formula1>
    </dataValidation>
    <dataValidation type="list" allowBlank="1" sqref="O183 O210:O211 O234:O235 O387 O399:O400 O424 O427 O430 O447 O497 O501 O512:O513 O537 O620 O631 O715:O716 O724 O729 O852 O860:O862 O868 O905" xr:uid="{647BCF34-E3D4-417E-A9FE-66459947C340}">
      <formula1>"IB,IR,IR|YT"</formula1>
    </dataValidation>
    <dataValidation type="list" allowBlank="1" showInputMessage="1" showErrorMessage="1" sqref="BB741:BB749" xr:uid="{ACD14362-050F-40EF-A03D-D82DBE74762E}">
      <formula1>"DONE, NOT DONE"</formula1>
    </dataValidation>
    <dataValidation type="list" allowBlank="1" showInputMessage="1" showErrorMessage="1" sqref="Y997:Z997 W3:W1234" xr:uid="{D9FF0260-1196-45BF-8B8A-99177E40C5BF}">
      <formula1>"UD,D,B,A,UA"</formula1>
    </dataValidation>
    <dataValidation type="list" allowBlank="1" sqref="Q4:Q1234" xr:uid="{00000000-0002-0000-0000-000000000000}">
      <formula1>"O,S,F"</formula1>
    </dataValidation>
    <dataValidation type="list" allowBlank="1" sqref="K4:K1234" xr:uid="{00000000-0002-0000-0000-000001000000}">
      <formula1>"D,H"</formula1>
    </dataValidation>
    <dataValidation type="list" allowBlank="1" showInputMessage="1" showErrorMessage="1" sqref="V3:V1234" xr:uid="{F83D1A7F-7BD7-46E1-A1D8-84736446450A}">
      <formula1>"P,I"</formula1>
    </dataValidation>
    <dataValidation type="list" allowBlank="1" showInputMessage="1" showErrorMessage="1" sqref="X3:X1234" xr:uid="{5CBB5ACC-C6AC-445B-A1B2-A8D431074E53}">
      <formula1>"3MS,6MS,3MF,6MF/C/DC,9MS,1YS"</formula1>
    </dataValidation>
  </dataValidations>
  <hyperlinks>
    <hyperlink ref="G1" location="'Journal Live'!A1204" display="PRESENT   " xr:uid="{00000000-0004-0000-0000-000000000000}"/>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A2E3AF6023D84884EED0147DEC427E" ma:contentTypeVersion="15" ma:contentTypeDescription="Create a new document." ma:contentTypeScope="" ma:versionID="87693393b15359b81a50360175132977">
  <xsd:schema xmlns:xsd="http://www.w3.org/2001/XMLSchema" xmlns:xs="http://www.w3.org/2001/XMLSchema" xmlns:p="http://schemas.microsoft.com/office/2006/metadata/properties" xmlns:ns3="99d34660-55e9-46d4-82c8-d666ea6d9a3b" xmlns:ns4="7b7a9113-cd69-4797-96ae-245a5283c906" targetNamespace="http://schemas.microsoft.com/office/2006/metadata/properties" ma:root="true" ma:fieldsID="0f3f85bd6c3614b7ce39e839efe649f6" ns3:_="" ns4:_="">
    <xsd:import namespace="99d34660-55e9-46d4-82c8-d666ea6d9a3b"/>
    <xsd:import namespace="7b7a9113-cd69-4797-96ae-245a5283c906"/>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igrationWizId" minOccurs="0"/>
                <xsd:element ref="ns3:MigrationWizIdPermissions" minOccurs="0"/>
                <xsd:element ref="ns3:MigrationWizIdVersion" minOccurs="0"/>
                <xsd:element ref="ns3:MediaServiceDateTake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d34660-55e9-46d4-82c8-d666ea6d9a3b"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igrationWizId" ma:index="18" nillable="true" ma:displayName="MigrationWizId" ma:internalName="MigrationWizId">
      <xsd:simpleType>
        <xsd:restriction base="dms:Text"/>
      </xsd:simpleType>
    </xsd:element>
    <xsd:element name="MigrationWizIdPermissions" ma:index="19" nillable="true" ma:displayName="MigrationWizIdPermissions" ma:internalName="MigrationWizIdPermissions">
      <xsd:simpleType>
        <xsd:restriction base="dms:Text"/>
      </xsd:simpleType>
    </xsd:element>
    <xsd:element name="MigrationWizIdVersion" ma:index="20" nillable="true" ma:displayName="MigrationWizIdVersion" ma:internalName="MigrationWizIdVersion">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7a9113-cd69-4797-96ae-245a5283c906"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9d34660-55e9-46d4-82c8-d666ea6d9a3b" xsi:nil="true"/>
    <MigrationWizIdPermissions xmlns="99d34660-55e9-46d4-82c8-d666ea6d9a3b" xsi:nil="true"/>
    <MigrationWizIdVersion xmlns="99d34660-55e9-46d4-82c8-d666ea6d9a3b" xsi:nil="true"/>
    <MigrationWizId xmlns="99d34660-55e9-46d4-82c8-d666ea6d9a3b" xsi:nil="true"/>
  </documentManagement>
</p:properties>
</file>

<file path=customXml/itemProps1.xml><?xml version="1.0" encoding="utf-8"?>
<ds:datastoreItem xmlns:ds="http://schemas.openxmlformats.org/officeDocument/2006/customXml" ds:itemID="{DC725D6F-1501-4325-A97C-E9560FD20DFB}"/>
</file>

<file path=customXml/itemProps2.xml><?xml version="1.0" encoding="utf-8"?>
<ds:datastoreItem xmlns:ds="http://schemas.openxmlformats.org/officeDocument/2006/customXml" ds:itemID="{E37D47E7-2ACF-4BB6-9488-A2E8BD0C6808}"/>
</file>

<file path=customXml/itemProps3.xml><?xml version="1.0" encoding="utf-8"?>
<ds:datastoreItem xmlns:ds="http://schemas.openxmlformats.org/officeDocument/2006/customXml" ds:itemID="{6740F275-1EB1-4B14-A507-83C40D1328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Sujay Bhaumik</dc:creator>
  <cp:keywords/>
  <dc:description/>
  <cp:lastModifiedBy/>
  <cp:revision/>
  <dcterms:created xsi:type="dcterms:W3CDTF">2023-02-07T07:26:28Z</dcterms:created>
  <dcterms:modified xsi:type="dcterms:W3CDTF">2024-10-17T03:41:59Z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0x01010078A2E3AF6023D84884EED0147DEC427E</vt:lpwstr>
  </property>
</Properties>
</file>